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mpe\Documents\Region 1 post FasTracks\Resiliency\reedundancy measure\final detour tool\"/>
    </mc:Choice>
  </mc:AlternateContent>
  <bookViews>
    <workbookView xWindow="0" yWindow="0" windowWidth="28800" windowHeight="14100" tabRatio="766" activeTab="3"/>
  </bookViews>
  <sheets>
    <sheet name="Instructions" sheetId="10" r:id="rId1"/>
    <sheet name="ClosureLocation" sheetId="6" r:id="rId2"/>
    <sheet name="DetourInfo" sheetId="5" r:id="rId3"/>
    <sheet name="State Detour Map" sheetId="11" r:id="rId4"/>
    <sheet name="StateHighwaySegments" sheetId="1" r:id="rId5"/>
    <sheet name="SecondaryCouplets" sheetId="2" r:id="rId6"/>
    <sheet name="LocalSegments" sheetId="4" r:id="rId7"/>
    <sheet name="LocalMaps" sheetId="8" r:id="rId8"/>
    <sheet name="SegmentsPerRoute" sheetId="3" state="hidden" r:id="rId9"/>
    <sheet name="DefaultValues" sheetId="9" r:id="rId10"/>
    <sheet name="RouteMileposts" sheetId="7" r:id="rId11"/>
  </sheets>
  <calcPr calcId="162913"/>
  <pivotCaches>
    <pivotCache cacheId="6" r:id="rId12"/>
    <pivotCache cacheId="7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07" i="5" l="1"/>
  <c r="O2307" i="5"/>
  <c r="P2307" i="5"/>
  <c r="Q2307" i="5"/>
  <c r="K2002" i="5"/>
  <c r="L2002" i="5"/>
  <c r="M2002" i="5"/>
  <c r="O2297" i="5"/>
  <c r="P2297" i="5"/>
  <c r="Q2297" i="5"/>
  <c r="O2313" i="5"/>
  <c r="O2332" i="5"/>
  <c r="P2332" i="5"/>
  <c r="P2313" i="5"/>
  <c r="Q2332" i="5"/>
  <c r="Q2313" i="5"/>
  <c r="N3" i="5"/>
  <c r="M143" i="5"/>
  <c r="L143" i="5"/>
  <c r="K143" i="5"/>
  <c r="M142" i="5"/>
  <c r="L142" i="5"/>
  <c r="K142" i="5"/>
  <c r="M141" i="5"/>
  <c r="L141" i="5"/>
  <c r="K141" i="5"/>
  <c r="M140" i="5"/>
  <c r="L140" i="5"/>
  <c r="K140" i="5"/>
  <c r="M139" i="5"/>
  <c r="L139" i="5"/>
  <c r="K139" i="5"/>
  <c r="M138" i="5"/>
  <c r="L138" i="5"/>
  <c r="K138" i="5"/>
  <c r="M137" i="5"/>
  <c r="L137" i="5"/>
  <c r="K137" i="5"/>
  <c r="M136" i="5"/>
  <c r="L136" i="5"/>
  <c r="K136" i="5"/>
  <c r="N143" i="5"/>
  <c r="N141" i="5"/>
  <c r="N139" i="5"/>
  <c r="N137" i="5"/>
  <c r="O142" i="5"/>
  <c r="O143" i="5"/>
  <c r="P142" i="5"/>
  <c r="P143" i="5"/>
  <c r="Q142" i="5"/>
  <c r="Q143" i="5"/>
  <c r="O140" i="5"/>
  <c r="O141" i="5"/>
  <c r="P140" i="5"/>
  <c r="P141" i="5"/>
  <c r="Q140" i="5"/>
  <c r="Q141" i="5"/>
  <c r="O138" i="5"/>
  <c r="O139" i="5"/>
  <c r="P138" i="5"/>
  <c r="P139" i="5"/>
  <c r="Q138" i="5"/>
  <c r="Q139" i="5"/>
  <c r="O136" i="5"/>
  <c r="O137" i="5"/>
  <c r="P136" i="5"/>
  <c r="P137" i="5"/>
  <c r="Q136" i="5"/>
  <c r="Q137" i="5"/>
  <c r="M135" i="5"/>
  <c r="L135" i="5"/>
  <c r="K135" i="5"/>
  <c r="M134" i="5"/>
  <c r="L134" i="5"/>
  <c r="K134" i="5"/>
  <c r="M133" i="5"/>
  <c r="L133" i="5"/>
  <c r="K133" i="5"/>
  <c r="M132" i="5"/>
  <c r="L132" i="5"/>
  <c r="K132" i="5"/>
  <c r="M131" i="5"/>
  <c r="L131" i="5"/>
  <c r="K131" i="5"/>
  <c r="M130" i="5"/>
  <c r="L130" i="5"/>
  <c r="K130" i="5"/>
  <c r="M129" i="5"/>
  <c r="L129" i="5"/>
  <c r="K129" i="5"/>
  <c r="M128" i="5"/>
  <c r="L128" i="5"/>
  <c r="K128" i="5"/>
  <c r="M127" i="5"/>
  <c r="L127" i="5"/>
  <c r="K127" i="5"/>
  <c r="M126" i="5"/>
  <c r="L126" i="5"/>
  <c r="K126" i="5"/>
  <c r="M125" i="5"/>
  <c r="L125" i="5"/>
  <c r="K125" i="5"/>
  <c r="M124" i="5"/>
  <c r="L124" i="5"/>
  <c r="K124" i="5"/>
  <c r="M123" i="5"/>
  <c r="L123" i="5"/>
  <c r="K123" i="5"/>
  <c r="M122" i="5"/>
  <c r="L122" i="5"/>
  <c r="K122" i="5"/>
  <c r="M120" i="5"/>
  <c r="L120" i="5"/>
  <c r="K120" i="5"/>
  <c r="M119" i="5"/>
  <c r="L119" i="5"/>
  <c r="K119" i="5"/>
  <c r="M121" i="5"/>
  <c r="L121" i="5"/>
  <c r="K121" i="5"/>
  <c r="M118" i="5"/>
  <c r="L118" i="5"/>
  <c r="K118" i="5"/>
  <c r="M117" i="5"/>
  <c r="L117" i="5"/>
  <c r="K117" i="5"/>
  <c r="M116" i="5"/>
  <c r="L116" i="5"/>
  <c r="K116" i="5"/>
  <c r="M115" i="5"/>
  <c r="L115" i="5"/>
  <c r="K115" i="5"/>
  <c r="M114" i="5"/>
  <c r="L114" i="5"/>
  <c r="K114" i="5"/>
  <c r="M113" i="5"/>
  <c r="L113" i="5"/>
  <c r="K113" i="5"/>
  <c r="M112" i="5"/>
  <c r="L112" i="5"/>
  <c r="K112" i="5"/>
  <c r="N135" i="5"/>
  <c r="N133" i="5"/>
  <c r="N131" i="5"/>
  <c r="N129" i="5"/>
  <c r="N127" i="5"/>
  <c r="N125" i="5"/>
  <c r="N123" i="5"/>
  <c r="O134" i="5"/>
  <c r="O135" i="5"/>
  <c r="P134" i="5"/>
  <c r="P135" i="5"/>
  <c r="Q134" i="5"/>
  <c r="Q135" i="5"/>
  <c r="O132" i="5"/>
  <c r="O133" i="5"/>
  <c r="P132" i="5"/>
  <c r="P133" i="5"/>
  <c r="Q132" i="5"/>
  <c r="Q133" i="5"/>
  <c r="O129" i="5"/>
  <c r="P129" i="5"/>
  <c r="Q129" i="5"/>
  <c r="O130" i="5"/>
  <c r="O131" i="5"/>
  <c r="P130" i="5"/>
  <c r="P131" i="5"/>
  <c r="Q130" i="5"/>
  <c r="Q131" i="5"/>
  <c r="O128" i="5"/>
  <c r="P128" i="5"/>
  <c r="Q128" i="5"/>
  <c r="O126" i="5"/>
  <c r="O127" i="5"/>
  <c r="P126" i="5"/>
  <c r="P127" i="5"/>
  <c r="Q126" i="5"/>
  <c r="Q127" i="5"/>
  <c r="O124" i="5"/>
  <c r="O125" i="5"/>
  <c r="P124" i="5"/>
  <c r="P125" i="5"/>
  <c r="Q124" i="5"/>
  <c r="Q125" i="5"/>
  <c r="O122" i="5"/>
  <c r="O123" i="5"/>
  <c r="P122" i="5"/>
  <c r="P123" i="5"/>
  <c r="Q122" i="5"/>
  <c r="Q123" i="5"/>
  <c r="N120" i="5"/>
  <c r="N121" i="5"/>
  <c r="N117" i="5"/>
  <c r="N113" i="5"/>
  <c r="O118" i="5"/>
  <c r="O121" i="5"/>
  <c r="O119" i="5"/>
  <c r="O120" i="5"/>
  <c r="P118" i="5"/>
  <c r="P121" i="5"/>
  <c r="P119" i="5"/>
  <c r="P120" i="5"/>
  <c r="Q118" i="5"/>
  <c r="Q121" i="5"/>
  <c r="Q119" i="5"/>
  <c r="Q120" i="5"/>
  <c r="O116" i="5"/>
  <c r="O117" i="5"/>
  <c r="P116" i="5"/>
  <c r="P117" i="5"/>
  <c r="Q116" i="5"/>
  <c r="Q117" i="5"/>
  <c r="O114" i="5"/>
  <c r="O115" i="5"/>
  <c r="P114" i="5"/>
  <c r="P115" i="5"/>
  <c r="Q114" i="5"/>
  <c r="Q115" i="5"/>
  <c r="O112" i="5"/>
  <c r="O113" i="5"/>
  <c r="P112" i="5"/>
  <c r="P113" i="5"/>
  <c r="Q112" i="5"/>
  <c r="Q113" i="5"/>
  <c r="M111" i="5"/>
  <c r="L111" i="5"/>
  <c r="K111" i="5"/>
  <c r="M110" i="5"/>
  <c r="L110" i="5"/>
  <c r="K110" i="5"/>
  <c r="M109" i="5"/>
  <c r="L109" i="5"/>
  <c r="K109" i="5"/>
  <c r="M108" i="5"/>
  <c r="L108" i="5"/>
  <c r="K108" i="5"/>
  <c r="M107" i="5"/>
  <c r="L107" i="5"/>
  <c r="K107" i="5"/>
  <c r="M106" i="5"/>
  <c r="L106" i="5"/>
  <c r="K106" i="5"/>
  <c r="M105" i="5"/>
  <c r="L105" i="5"/>
  <c r="K105" i="5"/>
  <c r="M104" i="5"/>
  <c r="L104" i="5"/>
  <c r="K104" i="5"/>
  <c r="M103" i="5"/>
  <c r="L103" i="5"/>
  <c r="K103" i="5"/>
  <c r="M102" i="5"/>
  <c r="L102" i="5"/>
  <c r="K102" i="5"/>
  <c r="M101" i="5"/>
  <c r="L101" i="5"/>
  <c r="K101" i="5"/>
  <c r="M100" i="5"/>
  <c r="L100" i="5"/>
  <c r="K100" i="5"/>
  <c r="M99" i="5"/>
  <c r="L99" i="5"/>
  <c r="K99" i="5"/>
  <c r="M98" i="5"/>
  <c r="L98" i="5"/>
  <c r="K98" i="5"/>
  <c r="N111" i="5"/>
  <c r="N109" i="5"/>
  <c r="N107" i="5"/>
  <c r="N105" i="5"/>
  <c r="O110" i="5"/>
  <c r="O111" i="5"/>
  <c r="P110" i="5"/>
  <c r="P111" i="5"/>
  <c r="Q110" i="5"/>
  <c r="Q111" i="5"/>
  <c r="O108" i="5"/>
  <c r="O109" i="5"/>
  <c r="P108" i="5"/>
  <c r="P109" i="5"/>
  <c r="Q108" i="5"/>
  <c r="Q109" i="5"/>
  <c r="O106" i="5"/>
  <c r="O107" i="5"/>
  <c r="P106" i="5"/>
  <c r="P107" i="5"/>
  <c r="Q106" i="5"/>
  <c r="Q107" i="5"/>
  <c r="O104" i="5"/>
  <c r="O105" i="5"/>
  <c r="P104" i="5"/>
  <c r="P105" i="5"/>
  <c r="Q104" i="5"/>
  <c r="Q105" i="5"/>
  <c r="N103" i="5"/>
  <c r="N101" i="5"/>
  <c r="O102" i="5"/>
  <c r="O103" i="5"/>
  <c r="P102" i="5"/>
  <c r="P103" i="5"/>
  <c r="Q102" i="5"/>
  <c r="Q103" i="5"/>
  <c r="R2307" i="5" l="1"/>
  <c r="R2297" i="5"/>
  <c r="R2332" i="5"/>
  <c r="R2313" i="5"/>
  <c r="R142" i="5"/>
  <c r="R141" i="5"/>
  <c r="R143" i="5"/>
  <c r="R140" i="5"/>
  <c r="R132" i="5"/>
  <c r="R139" i="5"/>
  <c r="R129" i="5"/>
  <c r="R137" i="5"/>
  <c r="R138" i="5"/>
  <c r="R136" i="5"/>
  <c r="R125" i="5"/>
  <c r="R130" i="5"/>
  <c r="R133" i="5"/>
  <c r="R135" i="5"/>
  <c r="R134" i="5"/>
  <c r="R131" i="5"/>
  <c r="R126" i="5"/>
  <c r="R128" i="5"/>
  <c r="R127" i="5"/>
  <c r="R124" i="5"/>
  <c r="R123" i="5"/>
  <c r="R121" i="5"/>
  <c r="R119" i="5"/>
  <c r="R117" i="5"/>
  <c r="R122" i="5"/>
  <c r="R118" i="5"/>
  <c r="R120" i="5"/>
  <c r="R115" i="5"/>
  <c r="R116" i="5"/>
  <c r="R114" i="5"/>
  <c r="R113" i="5"/>
  <c r="R110" i="5"/>
  <c r="R112" i="5"/>
  <c r="R111" i="5"/>
  <c r="R108" i="5"/>
  <c r="R105" i="5"/>
  <c r="R109" i="5"/>
  <c r="R107" i="5"/>
  <c r="R106" i="5"/>
  <c r="R102" i="5"/>
  <c r="R104" i="5"/>
  <c r="R103" i="5"/>
  <c r="O100" i="5" l="1"/>
  <c r="O101" i="5"/>
  <c r="P100" i="5"/>
  <c r="P101" i="5"/>
  <c r="Q100" i="5"/>
  <c r="Q101" i="5"/>
  <c r="N99" i="5"/>
  <c r="O98" i="5"/>
  <c r="O99" i="5"/>
  <c r="P98" i="5"/>
  <c r="P99" i="5"/>
  <c r="Q98" i="5"/>
  <c r="Q99" i="5"/>
  <c r="M97" i="5"/>
  <c r="L97" i="5"/>
  <c r="K97" i="5"/>
  <c r="M96" i="5"/>
  <c r="L96" i="5"/>
  <c r="K96" i="5"/>
  <c r="M95" i="5"/>
  <c r="L95" i="5"/>
  <c r="K95" i="5"/>
  <c r="M94" i="5"/>
  <c r="L94" i="5"/>
  <c r="K94" i="5"/>
  <c r="M93" i="5"/>
  <c r="L93" i="5"/>
  <c r="K93" i="5"/>
  <c r="M92" i="5"/>
  <c r="L92" i="5"/>
  <c r="K92" i="5"/>
  <c r="M90" i="5"/>
  <c r="L90" i="5"/>
  <c r="K90" i="5"/>
  <c r="M89" i="5"/>
  <c r="L89" i="5"/>
  <c r="K89" i="5"/>
  <c r="M91" i="5"/>
  <c r="L91" i="5"/>
  <c r="K91" i="5"/>
  <c r="M88" i="5"/>
  <c r="L88" i="5"/>
  <c r="K88" i="5"/>
  <c r="N97" i="5"/>
  <c r="O96" i="5"/>
  <c r="O97" i="5"/>
  <c r="P96" i="5"/>
  <c r="P97" i="5"/>
  <c r="Q96" i="5"/>
  <c r="Q97" i="5"/>
  <c r="N95" i="5"/>
  <c r="O94" i="5"/>
  <c r="O95" i="5"/>
  <c r="P94" i="5"/>
  <c r="P95" i="5"/>
  <c r="Q94" i="5"/>
  <c r="Q95" i="5"/>
  <c r="N93" i="5"/>
  <c r="N90" i="5"/>
  <c r="N91" i="5"/>
  <c r="O92" i="5"/>
  <c r="O93" i="5"/>
  <c r="P92" i="5"/>
  <c r="P93" i="5"/>
  <c r="Q92" i="5"/>
  <c r="Q93" i="5"/>
  <c r="O88" i="5"/>
  <c r="O91" i="5"/>
  <c r="O89" i="5"/>
  <c r="O90" i="5"/>
  <c r="P88" i="5"/>
  <c r="P91" i="5"/>
  <c r="P89" i="5"/>
  <c r="P90" i="5"/>
  <c r="Q88" i="5"/>
  <c r="Q91" i="5"/>
  <c r="Q89" i="5"/>
  <c r="Q90" i="5"/>
  <c r="M85" i="5"/>
  <c r="L85" i="5"/>
  <c r="K85" i="5"/>
  <c r="M84" i="5"/>
  <c r="L84" i="5"/>
  <c r="K84" i="5"/>
  <c r="M86" i="5"/>
  <c r="L86" i="5"/>
  <c r="K86" i="5"/>
  <c r="M83" i="5"/>
  <c r="L83" i="5"/>
  <c r="K83" i="5"/>
  <c r="M87" i="5"/>
  <c r="L87" i="5"/>
  <c r="K87" i="5"/>
  <c r="M82" i="5"/>
  <c r="L82" i="5"/>
  <c r="K82" i="5"/>
  <c r="M81" i="5"/>
  <c r="L81" i="5"/>
  <c r="K81" i="5"/>
  <c r="M80" i="5"/>
  <c r="L80" i="5"/>
  <c r="K80" i="5"/>
  <c r="N85" i="5"/>
  <c r="N86" i="5"/>
  <c r="N87" i="5"/>
  <c r="N81" i="5"/>
  <c r="O82" i="5"/>
  <c r="O87" i="5"/>
  <c r="O83" i="5"/>
  <c r="O86" i="5"/>
  <c r="O84" i="5"/>
  <c r="O85" i="5"/>
  <c r="P82" i="5"/>
  <c r="P87" i="5"/>
  <c r="P83" i="5"/>
  <c r="P86" i="5"/>
  <c r="P84" i="5"/>
  <c r="P85" i="5"/>
  <c r="Q82" i="5"/>
  <c r="Q87" i="5"/>
  <c r="Q83" i="5"/>
  <c r="Q86" i="5"/>
  <c r="Q84" i="5"/>
  <c r="Q85" i="5"/>
  <c r="O80" i="5"/>
  <c r="O81" i="5"/>
  <c r="P80" i="5"/>
  <c r="P81" i="5"/>
  <c r="Q80" i="5"/>
  <c r="Q81" i="5"/>
  <c r="M79" i="5"/>
  <c r="L79" i="5"/>
  <c r="K79" i="5"/>
  <c r="M78" i="5"/>
  <c r="L78" i="5"/>
  <c r="K78" i="5"/>
  <c r="M77" i="5"/>
  <c r="L77" i="5"/>
  <c r="K77" i="5"/>
  <c r="M76" i="5"/>
  <c r="L76" i="5"/>
  <c r="K76" i="5"/>
  <c r="M75" i="5"/>
  <c r="L75" i="5"/>
  <c r="K75" i="5"/>
  <c r="M74" i="5"/>
  <c r="L74" i="5"/>
  <c r="K74" i="5"/>
  <c r="M73" i="5"/>
  <c r="L73" i="5"/>
  <c r="K73" i="5"/>
  <c r="M72" i="5"/>
  <c r="L72" i="5"/>
  <c r="K72" i="5"/>
  <c r="N79" i="5"/>
  <c r="O78" i="5"/>
  <c r="O79" i="5"/>
  <c r="P78" i="5"/>
  <c r="P79" i="5"/>
  <c r="Q78" i="5"/>
  <c r="Q79" i="5"/>
  <c r="N77" i="5"/>
  <c r="O76" i="5"/>
  <c r="O77" i="5"/>
  <c r="P76" i="5"/>
  <c r="P77" i="5"/>
  <c r="Q76" i="5"/>
  <c r="Q77" i="5"/>
  <c r="N75" i="5"/>
  <c r="O74" i="5"/>
  <c r="O75" i="5"/>
  <c r="P74" i="5"/>
  <c r="P75" i="5"/>
  <c r="Q74" i="5"/>
  <c r="Q75" i="5"/>
  <c r="N73" i="5"/>
  <c r="O72" i="5"/>
  <c r="O73" i="5"/>
  <c r="P72" i="5"/>
  <c r="P73" i="5"/>
  <c r="Q72" i="5"/>
  <c r="Q73" i="5"/>
  <c r="M71" i="5"/>
  <c r="L71" i="5"/>
  <c r="K71" i="5"/>
  <c r="M70" i="5"/>
  <c r="L70" i="5"/>
  <c r="K70" i="5"/>
  <c r="M68" i="5"/>
  <c r="L68" i="5"/>
  <c r="K68" i="5"/>
  <c r="M67" i="5"/>
  <c r="L67" i="5"/>
  <c r="K67" i="5"/>
  <c r="M69" i="5"/>
  <c r="L69" i="5"/>
  <c r="K69" i="5"/>
  <c r="M66" i="5"/>
  <c r="L66" i="5"/>
  <c r="K66" i="5"/>
  <c r="M65" i="5"/>
  <c r="L65" i="5"/>
  <c r="K65" i="5"/>
  <c r="M64" i="5"/>
  <c r="L64" i="5"/>
  <c r="K64" i="5"/>
  <c r="N71" i="5"/>
  <c r="O70" i="5"/>
  <c r="O71" i="5"/>
  <c r="P70" i="5"/>
  <c r="P71" i="5"/>
  <c r="Q70" i="5"/>
  <c r="Q71" i="5"/>
  <c r="N68" i="5"/>
  <c r="N69" i="5"/>
  <c r="N65" i="5"/>
  <c r="O66" i="5"/>
  <c r="O69" i="5"/>
  <c r="O67" i="5"/>
  <c r="O68" i="5"/>
  <c r="P66" i="5"/>
  <c r="P69" i="5"/>
  <c r="P67" i="5"/>
  <c r="P68" i="5"/>
  <c r="Q66" i="5"/>
  <c r="Q69" i="5"/>
  <c r="Q67" i="5"/>
  <c r="Q68" i="5"/>
  <c r="O64" i="5"/>
  <c r="O65" i="5"/>
  <c r="P64" i="5"/>
  <c r="P65" i="5"/>
  <c r="Q64" i="5"/>
  <c r="Q65" i="5"/>
  <c r="M63" i="5"/>
  <c r="L63" i="5"/>
  <c r="K63" i="5"/>
  <c r="M62" i="5"/>
  <c r="L62" i="5"/>
  <c r="K62" i="5"/>
  <c r="M61" i="5"/>
  <c r="L61" i="5"/>
  <c r="K61" i="5"/>
  <c r="M60" i="5"/>
  <c r="L60" i="5"/>
  <c r="K60" i="5"/>
  <c r="M59" i="5"/>
  <c r="L59" i="5"/>
  <c r="K59" i="5"/>
  <c r="M58" i="5"/>
  <c r="L58" i="5"/>
  <c r="K58" i="5"/>
  <c r="N63" i="5"/>
  <c r="N61" i="5"/>
  <c r="N59" i="5"/>
  <c r="O62" i="5"/>
  <c r="O63" i="5"/>
  <c r="P62" i="5"/>
  <c r="P63" i="5"/>
  <c r="Q62" i="5"/>
  <c r="Q63" i="5"/>
  <c r="O60" i="5"/>
  <c r="O61" i="5"/>
  <c r="P60" i="5"/>
  <c r="P61" i="5"/>
  <c r="Q60" i="5"/>
  <c r="Q61" i="5"/>
  <c r="O58" i="5"/>
  <c r="O59" i="5"/>
  <c r="P58" i="5"/>
  <c r="P59" i="5"/>
  <c r="Q58" i="5"/>
  <c r="Q59" i="5"/>
  <c r="M57" i="5"/>
  <c r="L57" i="5"/>
  <c r="K57" i="5"/>
  <c r="M56" i="5"/>
  <c r="L56" i="5"/>
  <c r="K56" i="5"/>
  <c r="N57" i="5"/>
  <c r="O56" i="5"/>
  <c r="O57" i="5"/>
  <c r="P56" i="5"/>
  <c r="P57" i="5"/>
  <c r="Q56" i="5"/>
  <c r="Q57" i="5"/>
  <c r="R101" i="5" l="1"/>
  <c r="R99" i="5"/>
  <c r="R100" i="5"/>
  <c r="R89" i="5"/>
  <c r="R86" i="5"/>
  <c r="R98" i="5"/>
  <c r="R97" i="5"/>
  <c r="R90" i="5"/>
  <c r="R93" i="5"/>
  <c r="R96" i="5"/>
  <c r="R88" i="5"/>
  <c r="R95" i="5"/>
  <c r="R94" i="5"/>
  <c r="R91" i="5"/>
  <c r="R92" i="5"/>
  <c r="R84" i="5"/>
  <c r="R83" i="5"/>
  <c r="R85" i="5"/>
  <c r="R81" i="5"/>
  <c r="R87" i="5"/>
  <c r="R82" i="5"/>
  <c r="R80" i="5"/>
  <c r="R78" i="5"/>
  <c r="R79" i="5"/>
  <c r="R77" i="5"/>
  <c r="R76" i="5"/>
  <c r="R75" i="5"/>
  <c r="R72" i="5"/>
  <c r="R74" i="5"/>
  <c r="R73" i="5"/>
  <c r="R69" i="5"/>
  <c r="R70" i="5"/>
  <c r="R58" i="5"/>
  <c r="R68" i="5"/>
  <c r="R64" i="5"/>
  <c r="R67" i="5"/>
  <c r="R71" i="5"/>
  <c r="R63" i="5"/>
  <c r="R66" i="5"/>
  <c r="R65" i="5"/>
  <c r="R62" i="5"/>
  <c r="R60" i="5"/>
  <c r="R61" i="5"/>
  <c r="R59" i="5"/>
  <c r="R57" i="5"/>
  <c r="R56" i="5"/>
  <c r="N55" i="5"/>
  <c r="N52" i="5"/>
  <c r="N53" i="5"/>
  <c r="N49" i="5"/>
  <c r="N47" i="5"/>
  <c r="M55" i="5"/>
  <c r="L55" i="5"/>
  <c r="K55" i="5"/>
  <c r="M54" i="5"/>
  <c r="L54" i="5"/>
  <c r="K54" i="5"/>
  <c r="M52" i="5"/>
  <c r="L52" i="5"/>
  <c r="K52" i="5"/>
  <c r="M51" i="5"/>
  <c r="L51" i="5"/>
  <c r="K51" i="5"/>
  <c r="M53" i="5"/>
  <c r="L53" i="5"/>
  <c r="K53" i="5"/>
  <c r="M50" i="5"/>
  <c r="L50" i="5"/>
  <c r="K50" i="5"/>
  <c r="M49" i="5"/>
  <c r="L49" i="5"/>
  <c r="K49" i="5"/>
  <c r="M48" i="5"/>
  <c r="L48" i="5"/>
  <c r="K48" i="5"/>
  <c r="M47" i="5"/>
  <c r="L47" i="5"/>
  <c r="K47" i="5"/>
  <c r="M46" i="5"/>
  <c r="L46" i="5"/>
  <c r="K46" i="5"/>
  <c r="O54" i="5"/>
  <c r="O55" i="5"/>
  <c r="P54" i="5"/>
  <c r="P55" i="5"/>
  <c r="Q54" i="5"/>
  <c r="Q55" i="5"/>
  <c r="O50" i="5"/>
  <c r="O53" i="5"/>
  <c r="O51" i="5"/>
  <c r="O52" i="5"/>
  <c r="P50" i="5"/>
  <c r="P53" i="5"/>
  <c r="P51" i="5"/>
  <c r="P52" i="5"/>
  <c r="Q50" i="5"/>
  <c r="Q53" i="5"/>
  <c r="Q51" i="5"/>
  <c r="Q52" i="5"/>
  <c r="O48" i="5"/>
  <c r="O49" i="5"/>
  <c r="P48" i="5"/>
  <c r="P49" i="5"/>
  <c r="Q48" i="5"/>
  <c r="Q49" i="5"/>
  <c r="O46" i="5"/>
  <c r="O47" i="5"/>
  <c r="P46" i="5"/>
  <c r="P47" i="5"/>
  <c r="Q46" i="5"/>
  <c r="Q47" i="5"/>
  <c r="M45" i="5"/>
  <c r="L45" i="5"/>
  <c r="K45" i="5"/>
  <c r="M44" i="5"/>
  <c r="L44" i="5"/>
  <c r="K44" i="5"/>
  <c r="M43" i="5"/>
  <c r="L43" i="5"/>
  <c r="K43" i="5"/>
  <c r="M42" i="5"/>
  <c r="L42" i="5"/>
  <c r="K42" i="5"/>
  <c r="M40" i="5"/>
  <c r="L40" i="5"/>
  <c r="K40" i="5"/>
  <c r="M39" i="5"/>
  <c r="L39" i="5"/>
  <c r="K39" i="5"/>
  <c r="M41" i="5"/>
  <c r="L41" i="5"/>
  <c r="K41" i="5"/>
  <c r="M38" i="5"/>
  <c r="L38" i="5"/>
  <c r="K38" i="5"/>
  <c r="N45" i="5"/>
  <c r="O44" i="5"/>
  <c r="O45" i="5"/>
  <c r="P44" i="5"/>
  <c r="P45" i="5"/>
  <c r="Q44" i="5"/>
  <c r="Q45" i="5"/>
  <c r="N43" i="5"/>
  <c r="O42" i="5"/>
  <c r="O43" i="5"/>
  <c r="P42" i="5"/>
  <c r="P43" i="5"/>
  <c r="Q42" i="5"/>
  <c r="Q43" i="5"/>
  <c r="N40" i="5"/>
  <c r="N41" i="5"/>
  <c r="O38" i="5"/>
  <c r="O41" i="5"/>
  <c r="O39" i="5"/>
  <c r="O40" i="5"/>
  <c r="P38" i="5"/>
  <c r="P41" i="5"/>
  <c r="P39" i="5"/>
  <c r="P40" i="5"/>
  <c r="Q38" i="5"/>
  <c r="Q41" i="5"/>
  <c r="Q39" i="5"/>
  <c r="Q40" i="5"/>
  <c r="M37" i="5"/>
  <c r="L37" i="5"/>
  <c r="K37" i="5"/>
  <c r="M36" i="5"/>
  <c r="L36" i="5"/>
  <c r="K36" i="5"/>
  <c r="M35" i="5"/>
  <c r="L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N37" i="5"/>
  <c r="N35" i="5"/>
  <c r="N33" i="5"/>
  <c r="O37" i="5"/>
  <c r="P37" i="5"/>
  <c r="Q37" i="5"/>
  <c r="O36" i="5"/>
  <c r="P36" i="5"/>
  <c r="Q36" i="5"/>
  <c r="O34" i="5"/>
  <c r="O35" i="5"/>
  <c r="P34" i="5"/>
  <c r="P35" i="5"/>
  <c r="Q34" i="5"/>
  <c r="Q35" i="5"/>
  <c r="O32" i="5"/>
  <c r="O33" i="5"/>
  <c r="P32" i="5"/>
  <c r="P33" i="5"/>
  <c r="Q32" i="5"/>
  <c r="Q33" i="5"/>
  <c r="N31" i="5"/>
  <c r="O30" i="5"/>
  <c r="O31" i="5"/>
  <c r="P30" i="5"/>
  <c r="P31" i="5"/>
  <c r="Q30" i="5"/>
  <c r="Q31" i="5"/>
  <c r="M29" i="5"/>
  <c r="L29" i="5"/>
  <c r="K29" i="5"/>
  <c r="M28" i="5"/>
  <c r="L28" i="5"/>
  <c r="K28" i="5"/>
  <c r="M27" i="5"/>
  <c r="L27" i="5"/>
  <c r="K27" i="5"/>
  <c r="M26" i="5"/>
  <c r="L26" i="5"/>
  <c r="K26" i="5"/>
  <c r="N29" i="5"/>
  <c r="O29" i="5"/>
  <c r="P29" i="5"/>
  <c r="Q29" i="5"/>
  <c r="O28" i="5"/>
  <c r="P28" i="5"/>
  <c r="Q28" i="5"/>
  <c r="N27" i="5"/>
  <c r="O26" i="5"/>
  <c r="O27" i="5"/>
  <c r="P26" i="5"/>
  <c r="P27" i="5"/>
  <c r="Q26" i="5"/>
  <c r="Q27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N23" i="5"/>
  <c r="N25" i="5"/>
  <c r="O24" i="5"/>
  <c r="O25" i="5"/>
  <c r="P24" i="5"/>
  <c r="P25" i="5"/>
  <c r="Q24" i="5"/>
  <c r="Q25" i="5"/>
  <c r="O22" i="5"/>
  <c r="O23" i="5"/>
  <c r="P22" i="5"/>
  <c r="P23" i="5"/>
  <c r="Q22" i="5"/>
  <c r="Q23" i="5"/>
  <c r="N21" i="5"/>
  <c r="O20" i="5"/>
  <c r="O21" i="5"/>
  <c r="P20" i="5"/>
  <c r="P21" i="5"/>
  <c r="Q20" i="5"/>
  <c r="Q21" i="5"/>
  <c r="N19" i="5"/>
  <c r="O18" i="5"/>
  <c r="O19" i="5"/>
  <c r="P18" i="5"/>
  <c r="P19" i="5"/>
  <c r="Q18" i="5"/>
  <c r="Q19" i="5"/>
  <c r="N16" i="5"/>
  <c r="M16" i="5"/>
  <c r="L16" i="5"/>
  <c r="K16" i="5"/>
  <c r="M15" i="5"/>
  <c r="L15" i="5"/>
  <c r="K15" i="5"/>
  <c r="M17" i="5"/>
  <c r="L17" i="5"/>
  <c r="K17" i="5"/>
  <c r="M14" i="5"/>
  <c r="L14" i="5"/>
  <c r="K14" i="5"/>
  <c r="N17" i="5"/>
  <c r="O14" i="5"/>
  <c r="O17" i="5"/>
  <c r="O15" i="5"/>
  <c r="O16" i="5"/>
  <c r="P14" i="5"/>
  <c r="P17" i="5"/>
  <c r="P15" i="5"/>
  <c r="P16" i="5"/>
  <c r="Q14" i="5"/>
  <c r="Q17" i="5"/>
  <c r="Q15" i="5"/>
  <c r="Q16" i="5"/>
  <c r="M13" i="5"/>
  <c r="L13" i="5"/>
  <c r="K13" i="5"/>
  <c r="M12" i="5"/>
  <c r="L12" i="5"/>
  <c r="K12" i="5"/>
  <c r="M11" i="5"/>
  <c r="L11" i="5"/>
  <c r="K11" i="5"/>
  <c r="M10" i="5"/>
  <c r="L10" i="5"/>
  <c r="K10" i="5"/>
  <c r="N13" i="5"/>
  <c r="O12" i="5"/>
  <c r="O13" i="5"/>
  <c r="P12" i="5"/>
  <c r="P13" i="5"/>
  <c r="Q12" i="5"/>
  <c r="Q13" i="5"/>
  <c r="N11" i="5"/>
  <c r="O10" i="5"/>
  <c r="O11" i="5"/>
  <c r="P10" i="5"/>
  <c r="P11" i="5"/>
  <c r="Q10" i="5"/>
  <c r="Q11" i="5"/>
  <c r="M9" i="5"/>
  <c r="L9" i="5"/>
  <c r="K9" i="5"/>
  <c r="M8" i="5"/>
  <c r="L8" i="5"/>
  <c r="K8" i="5"/>
  <c r="M7" i="5"/>
  <c r="L7" i="5"/>
  <c r="K7" i="5"/>
  <c r="M6" i="5"/>
  <c r="L6" i="5"/>
  <c r="K6" i="5"/>
  <c r="N9" i="5"/>
  <c r="O8" i="5"/>
  <c r="O9" i="5"/>
  <c r="P8" i="5"/>
  <c r="P9" i="5"/>
  <c r="Q8" i="5"/>
  <c r="Q9" i="5"/>
  <c r="N7" i="5"/>
  <c r="O6" i="5"/>
  <c r="O7" i="5"/>
  <c r="P6" i="5"/>
  <c r="P7" i="5"/>
  <c r="Q6" i="5"/>
  <c r="Q7" i="5"/>
  <c r="M5" i="5"/>
  <c r="L5" i="5"/>
  <c r="K5" i="5"/>
  <c r="M4" i="5"/>
  <c r="L4" i="5"/>
  <c r="K4" i="5"/>
  <c r="N5" i="5"/>
  <c r="O4" i="5"/>
  <c r="O5" i="5"/>
  <c r="P4" i="5"/>
  <c r="P5" i="5"/>
  <c r="Q4" i="5"/>
  <c r="Q5" i="5"/>
  <c r="M3" i="5"/>
  <c r="L3" i="5"/>
  <c r="K3" i="5"/>
  <c r="M2" i="5"/>
  <c r="L2" i="5"/>
  <c r="K2" i="5"/>
  <c r="O2" i="5"/>
  <c r="O3" i="5"/>
  <c r="P2" i="5"/>
  <c r="P3" i="5"/>
  <c r="Q2" i="5"/>
  <c r="Q3" i="5"/>
  <c r="L2647" i="5"/>
  <c r="K2647" i="5"/>
  <c r="L2646" i="5"/>
  <c r="K2646" i="5"/>
  <c r="L2645" i="5"/>
  <c r="K2645" i="5"/>
  <c r="L2644" i="5"/>
  <c r="K2644" i="5"/>
  <c r="N2647" i="5"/>
  <c r="O2646" i="5"/>
  <c r="O2647" i="5"/>
  <c r="P2646" i="5"/>
  <c r="P2647" i="5"/>
  <c r="Q2646" i="5"/>
  <c r="Q2647" i="5"/>
  <c r="N2645" i="5"/>
  <c r="O2644" i="5"/>
  <c r="O2645" i="5"/>
  <c r="P2644" i="5"/>
  <c r="P2645" i="5"/>
  <c r="Q2644" i="5"/>
  <c r="Q2645" i="5"/>
  <c r="L2643" i="5"/>
  <c r="K2643" i="5"/>
  <c r="L2642" i="5"/>
  <c r="K2642" i="5"/>
  <c r="L2641" i="5"/>
  <c r="K2641" i="5"/>
  <c r="L2640" i="5"/>
  <c r="K2640" i="5"/>
  <c r="N2643" i="5"/>
  <c r="N2641" i="5"/>
  <c r="O2642" i="5"/>
  <c r="O2643" i="5"/>
  <c r="P2642" i="5"/>
  <c r="P2643" i="5"/>
  <c r="Q2642" i="5"/>
  <c r="Q2643" i="5"/>
  <c r="O2640" i="5"/>
  <c r="O2641" i="5"/>
  <c r="P2640" i="5"/>
  <c r="P2641" i="5"/>
  <c r="Q2640" i="5"/>
  <c r="Q2641" i="5"/>
  <c r="L2639" i="5"/>
  <c r="K2639" i="5"/>
  <c r="L2638" i="5"/>
  <c r="K2638" i="5"/>
  <c r="N2639" i="5"/>
  <c r="O2638" i="5"/>
  <c r="O2639" i="5"/>
  <c r="P2638" i="5"/>
  <c r="P2639" i="5"/>
  <c r="Q2638" i="5"/>
  <c r="Q2639" i="5"/>
  <c r="L2636" i="5"/>
  <c r="K2636" i="5"/>
  <c r="L2635" i="5"/>
  <c r="K2635" i="5"/>
  <c r="L2637" i="5"/>
  <c r="K2637" i="5"/>
  <c r="L2634" i="5"/>
  <c r="K2634" i="5"/>
  <c r="N2636" i="5"/>
  <c r="N2637" i="5"/>
  <c r="O2634" i="5"/>
  <c r="O2637" i="5"/>
  <c r="O2635" i="5"/>
  <c r="O2636" i="5"/>
  <c r="P2634" i="5"/>
  <c r="P2637" i="5"/>
  <c r="P2635" i="5"/>
  <c r="P2636" i="5"/>
  <c r="Q2634" i="5"/>
  <c r="Q2637" i="5"/>
  <c r="Q2635" i="5"/>
  <c r="Q2636" i="5"/>
  <c r="L2632" i="5"/>
  <c r="K2632" i="5"/>
  <c r="L2631" i="5"/>
  <c r="K2631" i="5"/>
  <c r="L2633" i="5"/>
  <c r="K2633" i="5"/>
  <c r="L2630" i="5"/>
  <c r="K2630" i="5"/>
  <c r="N2632" i="5"/>
  <c r="N2633" i="5"/>
  <c r="N2629" i="5"/>
  <c r="O2630" i="5"/>
  <c r="O2633" i="5"/>
  <c r="O2631" i="5"/>
  <c r="O2632" i="5"/>
  <c r="P2630" i="5"/>
  <c r="P2633" i="5"/>
  <c r="P2631" i="5"/>
  <c r="P2632" i="5"/>
  <c r="Q2630" i="5"/>
  <c r="Q2633" i="5"/>
  <c r="Q2631" i="5"/>
  <c r="Q2632" i="5"/>
  <c r="L2629" i="5"/>
  <c r="K2629" i="5"/>
  <c r="L2628" i="5"/>
  <c r="K2628" i="5"/>
  <c r="O2628" i="5"/>
  <c r="O2629" i="5"/>
  <c r="P2628" i="5"/>
  <c r="P2629" i="5"/>
  <c r="Q2628" i="5"/>
  <c r="Q2629" i="5"/>
  <c r="L2627" i="5"/>
  <c r="K2627" i="5"/>
  <c r="L2626" i="5"/>
  <c r="K2626" i="5"/>
  <c r="N2627" i="5"/>
  <c r="O2626" i="5"/>
  <c r="O2627" i="5"/>
  <c r="P2626" i="5"/>
  <c r="P2627" i="5"/>
  <c r="Q2626" i="5"/>
  <c r="Q2627" i="5"/>
  <c r="L2625" i="5"/>
  <c r="K2625" i="5"/>
  <c r="L2624" i="5"/>
  <c r="K2624" i="5"/>
  <c r="N2625" i="5"/>
  <c r="O2624" i="5"/>
  <c r="O2625" i="5"/>
  <c r="P2624" i="5"/>
  <c r="P2625" i="5"/>
  <c r="Q2624" i="5"/>
  <c r="Q2625" i="5"/>
  <c r="L2623" i="5"/>
  <c r="K2623" i="5"/>
  <c r="L2622" i="5"/>
  <c r="K2622" i="5"/>
  <c r="N2623" i="5"/>
  <c r="O2622" i="5"/>
  <c r="O2623" i="5"/>
  <c r="P2622" i="5"/>
  <c r="P2623" i="5"/>
  <c r="Q2622" i="5"/>
  <c r="Q2623" i="5"/>
  <c r="L2621" i="5"/>
  <c r="K2621" i="5"/>
  <c r="L2620" i="5"/>
  <c r="K2620" i="5"/>
  <c r="N2621" i="5"/>
  <c r="O2620" i="5"/>
  <c r="O2621" i="5"/>
  <c r="P2620" i="5"/>
  <c r="P2621" i="5"/>
  <c r="Q2620" i="5"/>
  <c r="Q2621" i="5"/>
  <c r="L2619" i="5"/>
  <c r="K2619" i="5"/>
  <c r="N2619" i="5"/>
  <c r="O2522" i="5"/>
  <c r="O2619" i="5"/>
  <c r="P2522" i="5"/>
  <c r="P2619" i="5"/>
  <c r="Q2522" i="5"/>
  <c r="Q2619" i="5"/>
  <c r="L2617" i="5"/>
  <c r="K2617" i="5"/>
  <c r="L2616" i="5"/>
  <c r="K2616" i="5"/>
  <c r="L2618" i="5"/>
  <c r="K2618" i="5"/>
  <c r="L2615" i="5"/>
  <c r="K2615" i="5"/>
  <c r="N2617" i="5"/>
  <c r="N2618" i="5"/>
  <c r="N2614" i="5"/>
  <c r="O2615" i="5"/>
  <c r="O2618" i="5"/>
  <c r="O2616" i="5"/>
  <c r="O2617" i="5"/>
  <c r="P2615" i="5"/>
  <c r="P2618" i="5"/>
  <c r="P2616" i="5"/>
  <c r="P2617" i="5"/>
  <c r="Q2615" i="5"/>
  <c r="Q2618" i="5"/>
  <c r="Q2616" i="5"/>
  <c r="Q2617" i="5"/>
  <c r="L2614" i="5"/>
  <c r="K2614" i="5"/>
  <c r="L2613" i="5"/>
  <c r="K2613" i="5"/>
  <c r="N2612" i="5"/>
  <c r="O2613" i="5"/>
  <c r="O2614" i="5"/>
  <c r="P2613" i="5"/>
  <c r="P2614" i="5"/>
  <c r="Q2613" i="5"/>
  <c r="Q2614" i="5"/>
  <c r="L2612" i="5"/>
  <c r="K2612" i="5"/>
  <c r="L2611" i="5"/>
  <c r="K2611" i="5"/>
  <c r="O2611" i="5"/>
  <c r="O2612" i="5"/>
  <c r="P2611" i="5"/>
  <c r="P2612" i="5"/>
  <c r="Q2611" i="5"/>
  <c r="Q2612" i="5"/>
  <c r="L2610" i="5"/>
  <c r="K2610" i="5"/>
  <c r="L2609" i="5"/>
  <c r="K2609" i="5"/>
  <c r="N2610" i="5"/>
  <c r="O2609" i="5"/>
  <c r="O2610" i="5"/>
  <c r="P2609" i="5"/>
  <c r="P2610" i="5"/>
  <c r="Q2609" i="5"/>
  <c r="Q2610" i="5"/>
  <c r="R51" i="5" l="1"/>
  <c r="R53" i="5"/>
  <c r="R54" i="5"/>
  <c r="R55" i="5"/>
  <c r="R49" i="5"/>
  <c r="R48" i="5"/>
  <c r="R46" i="5"/>
  <c r="R52" i="5"/>
  <c r="R50" i="5"/>
  <c r="R38" i="5"/>
  <c r="R47" i="5"/>
  <c r="R40" i="5"/>
  <c r="R44" i="5"/>
  <c r="R45" i="5"/>
  <c r="R43" i="5"/>
  <c r="R42" i="5"/>
  <c r="R41" i="5"/>
  <c r="R36" i="5"/>
  <c r="R39" i="5"/>
  <c r="R37" i="5"/>
  <c r="R34" i="5"/>
  <c r="R33" i="5"/>
  <c r="R31" i="5"/>
  <c r="R30" i="5"/>
  <c r="R35" i="5"/>
  <c r="R32" i="5"/>
  <c r="R29" i="5"/>
  <c r="R28" i="5"/>
  <c r="R25" i="5"/>
  <c r="R26" i="5"/>
  <c r="R27" i="5"/>
  <c r="R24" i="5"/>
  <c r="R23" i="5"/>
  <c r="R22" i="5"/>
  <c r="R19" i="5"/>
  <c r="R21" i="5"/>
  <c r="R16" i="5"/>
  <c r="R20" i="5"/>
  <c r="R18" i="5"/>
  <c r="R15" i="5"/>
  <c r="R13" i="5"/>
  <c r="R17" i="5"/>
  <c r="R14" i="5"/>
  <c r="R12" i="5"/>
  <c r="R10" i="5"/>
  <c r="R11" i="5"/>
  <c r="R9" i="5"/>
  <c r="R8" i="5"/>
  <c r="R3" i="5"/>
  <c r="R2" i="5"/>
  <c r="R5" i="5"/>
  <c r="R6" i="5"/>
  <c r="R7" i="5"/>
  <c r="R4" i="5"/>
  <c r="R2646" i="5"/>
  <c r="R2647" i="5"/>
  <c r="R2645" i="5"/>
  <c r="R2644" i="5"/>
  <c r="R2629" i="5"/>
  <c r="R2642" i="5"/>
  <c r="R2636" i="5"/>
  <c r="R2640" i="5"/>
  <c r="R2643" i="5"/>
  <c r="R2641" i="5"/>
  <c r="R2639" i="5"/>
  <c r="R2638" i="5"/>
  <c r="R2634" i="5"/>
  <c r="R2637" i="5"/>
  <c r="R2630" i="5"/>
  <c r="R2635" i="5"/>
  <c r="R2628" i="5"/>
  <c r="R2632" i="5"/>
  <c r="R2631" i="5"/>
  <c r="R2633" i="5"/>
  <c r="R2624" i="5"/>
  <c r="R2626" i="5"/>
  <c r="R2627" i="5"/>
  <c r="R2620" i="5"/>
  <c r="R2622" i="5"/>
  <c r="R2625" i="5"/>
  <c r="R2623" i="5"/>
  <c r="R2621" i="5"/>
  <c r="R2612" i="5"/>
  <c r="R2614" i="5"/>
  <c r="R2619" i="5"/>
  <c r="R2613" i="5"/>
  <c r="R2616" i="5"/>
  <c r="R2522" i="5"/>
  <c r="R2617" i="5"/>
  <c r="R2618" i="5"/>
  <c r="R2615" i="5"/>
  <c r="R2611" i="5"/>
  <c r="R2609" i="5"/>
  <c r="R2610" i="5"/>
  <c r="L2608" i="5"/>
  <c r="K2608" i="5"/>
  <c r="L2607" i="5"/>
  <c r="K2607" i="5"/>
  <c r="L2605" i="5"/>
  <c r="K2605" i="5"/>
  <c r="N2608" i="5"/>
  <c r="O2607" i="5"/>
  <c r="O2608" i="5"/>
  <c r="P2607" i="5"/>
  <c r="P2608" i="5"/>
  <c r="Q2607" i="5"/>
  <c r="Q2608" i="5"/>
  <c r="L2604" i="5"/>
  <c r="K2604" i="5"/>
  <c r="L2606" i="5"/>
  <c r="K2606" i="5"/>
  <c r="L2603" i="5"/>
  <c r="K2603" i="5"/>
  <c r="L2602" i="5"/>
  <c r="K2602" i="5"/>
  <c r="L2601" i="5"/>
  <c r="K2601" i="5"/>
  <c r="N2605" i="5"/>
  <c r="N2606" i="5"/>
  <c r="O2603" i="5"/>
  <c r="O2606" i="5"/>
  <c r="O2604" i="5"/>
  <c r="O2605" i="5"/>
  <c r="P2603" i="5"/>
  <c r="P2606" i="5"/>
  <c r="P2604" i="5"/>
  <c r="P2605" i="5"/>
  <c r="Q2603" i="5"/>
  <c r="Q2606" i="5"/>
  <c r="Q2604" i="5"/>
  <c r="Q2605" i="5"/>
  <c r="N2602" i="5"/>
  <c r="O2601" i="5"/>
  <c r="O2602" i="5"/>
  <c r="P2601" i="5"/>
  <c r="P2602" i="5"/>
  <c r="Q2601" i="5"/>
  <c r="Q2602" i="5"/>
  <c r="L2600" i="5"/>
  <c r="K2600" i="5"/>
  <c r="L2599" i="5"/>
  <c r="K2599" i="5"/>
  <c r="N2600" i="5"/>
  <c r="O2599" i="5"/>
  <c r="O2600" i="5"/>
  <c r="P2599" i="5"/>
  <c r="P2600" i="5"/>
  <c r="Q2599" i="5"/>
  <c r="Q2600" i="5"/>
  <c r="L2596" i="5"/>
  <c r="K2596" i="5"/>
  <c r="L2595" i="5"/>
  <c r="K2595" i="5"/>
  <c r="L2597" i="5"/>
  <c r="K2597" i="5"/>
  <c r="L2594" i="5"/>
  <c r="K2594" i="5"/>
  <c r="L2598" i="5"/>
  <c r="K2598" i="5"/>
  <c r="L2593" i="5"/>
  <c r="K2593" i="5"/>
  <c r="L2592" i="5"/>
  <c r="K2592" i="5"/>
  <c r="L2591" i="5"/>
  <c r="K2591" i="5"/>
  <c r="N2596" i="5"/>
  <c r="N2597" i="5"/>
  <c r="N2598" i="5"/>
  <c r="O2593" i="5"/>
  <c r="O2598" i="5"/>
  <c r="O2594" i="5"/>
  <c r="O2597" i="5"/>
  <c r="O2595" i="5"/>
  <c r="O2596" i="5"/>
  <c r="P2593" i="5"/>
  <c r="P2598" i="5"/>
  <c r="P2594" i="5"/>
  <c r="P2597" i="5"/>
  <c r="P2595" i="5"/>
  <c r="P2596" i="5"/>
  <c r="Q2593" i="5"/>
  <c r="Q2598" i="5"/>
  <c r="Q2594" i="5"/>
  <c r="Q2597" i="5"/>
  <c r="Q2595" i="5"/>
  <c r="Q2596" i="5"/>
  <c r="N2592" i="5"/>
  <c r="O2591" i="5"/>
  <c r="O2592" i="5"/>
  <c r="P2591" i="5"/>
  <c r="P2592" i="5"/>
  <c r="Q2591" i="5"/>
  <c r="Q2592" i="5"/>
  <c r="L2590" i="5"/>
  <c r="K2590" i="5"/>
  <c r="L2589" i="5"/>
  <c r="K2589" i="5"/>
  <c r="L2587" i="5"/>
  <c r="K2587" i="5"/>
  <c r="L2586" i="5"/>
  <c r="K2586" i="5"/>
  <c r="L2588" i="5"/>
  <c r="K2588" i="5"/>
  <c r="L2585" i="5"/>
  <c r="K2585" i="5"/>
  <c r="N2590" i="5"/>
  <c r="O2589" i="5"/>
  <c r="O2590" i="5"/>
  <c r="P2589" i="5"/>
  <c r="P2590" i="5"/>
  <c r="Q2589" i="5"/>
  <c r="Q2590" i="5"/>
  <c r="N2587" i="5"/>
  <c r="N2584" i="5"/>
  <c r="N2588" i="5"/>
  <c r="O2585" i="5"/>
  <c r="O2588" i="5"/>
  <c r="O2586" i="5"/>
  <c r="O2587" i="5"/>
  <c r="P2585" i="5"/>
  <c r="P2588" i="5"/>
  <c r="P2586" i="5"/>
  <c r="P2587" i="5"/>
  <c r="Q2585" i="5"/>
  <c r="Q2588" i="5"/>
  <c r="Q2586" i="5"/>
  <c r="Q2587" i="5"/>
  <c r="L2584" i="5"/>
  <c r="K2584" i="5"/>
  <c r="L2583" i="5"/>
  <c r="K2583" i="5"/>
  <c r="L2581" i="5"/>
  <c r="K2581" i="5"/>
  <c r="L2580" i="5"/>
  <c r="K2580" i="5"/>
  <c r="L2582" i="5"/>
  <c r="K2582" i="5"/>
  <c r="L2579" i="5"/>
  <c r="K2579" i="5"/>
  <c r="O2583" i="5"/>
  <c r="O2584" i="5"/>
  <c r="P2583" i="5"/>
  <c r="P2584" i="5"/>
  <c r="Q2583" i="5"/>
  <c r="Q2584" i="5"/>
  <c r="N2581" i="5"/>
  <c r="N2582" i="5"/>
  <c r="O2579" i="5"/>
  <c r="O2582" i="5"/>
  <c r="O2580" i="5"/>
  <c r="O2581" i="5"/>
  <c r="P2579" i="5"/>
  <c r="P2582" i="5"/>
  <c r="P2580" i="5"/>
  <c r="P2581" i="5"/>
  <c r="Q2579" i="5"/>
  <c r="Q2582" i="5"/>
  <c r="Q2580" i="5"/>
  <c r="Q2581" i="5"/>
  <c r="N2577" i="5"/>
  <c r="L2577" i="5"/>
  <c r="K2577" i="5"/>
  <c r="L2576" i="5"/>
  <c r="K2576" i="5"/>
  <c r="L2578" i="5"/>
  <c r="K2578" i="5"/>
  <c r="L2575" i="5"/>
  <c r="K2575" i="5"/>
  <c r="N2578" i="5"/>
  <c r="O2575" i="5"/>
  <c r="O2578" i="5"/>
  <c r="O2576" i="5"/>
  <c r="O2577" i="5"/>
  <c r="P2575" i="5"/>
  <c r="P2578" i="5"/>
  <c r="P2576" i="5"/>
  <c r="P2577" i="5"/>
  <c r="Q2575" i="5"/>
  <c r="Q2578" i="5"/>
  <c r="Q2576" i="5"/>
  <c r="Q2577" i="5"/>
  <c r="L2574" i="5"/>
  <c r="K2574" i="5"/>
  <c r="L2573" i="5"/>
  <c r="K2573" i="5"/>
  <c r="N2574" i="5"/>
  <c r="O2573" i="5"/>
  <c r="O2574" i="5"/>
  <c r="P2573" i="5"/>
  <c r="P2574" i="5"/>
  <c r="Q2573" i="5"/>
  <c r="Q2574" i="5"/>
  <c r="L2572" i="5"/>
  <c r="K2572" i="5"/>
  <c r="L2571" i="5"/>
  <c r="K2571" i="5"/>
  <c r="N2572" i="5"/>
  <c r="O2571" i="5"/>
  <c r="O2572" i="5"/>
  <c r="P2571" i="5"/>
  <c r="P2572" i="5"/>
  <c r="Q2571" i="5"/>
  <c r="Q2572" i="5"/>
  <c r="N2569" i="5"/>
  <c r="N2570" i="5"/>
  <c r="L2569" i="5"/>
  <c r="K2569" i="5"/>
  <c r="L2568" i="5"/>
  <c r="K2568" i="5"/>
  <c r="L2570" i="5"/>
  <c r="K2570" i="5"/>
  <c r="L2567" i="5"/>
  <c r="K2567" i="5"/>
  <c r="O2567" i="5"/>
  <c r="O2570" i="5"/>
  <c r="O2568" i="5"/>
  <c r="O2569" i="5"/>
  <c r="P2567" i="5"/>
  <c r="P2570" i="5"/>
  <c r="P2568" i="5"/>
  <c r="P2569" i="5"/>
  <c r="Q2567" i="5"/>
  <c r="Q2570" i="5"/>
  <c r="Q2568" i="5"/>
  <c r="Q2569" i="5"/>
  <c r="L2565" i="5"/>
  <c r="K2565" i="5"/>
  <c r="L2564" i="5"/>
  <c r="K2564" i="5"/>
  <c r="L2566" i="5"/>
  <c r="K2566" i="5"/>
  <c r="L2563" i="5"/>
  <c r="K2563" i="5"/>
  <c r="N2565" i="5"/>
  <c r="N2566" i="5"/>
  <c r="O2563" i="5"/>
  <c r="O2566" i="5"/>
  <c r="O2564" i="5"/>
  <c r="O2565" i="5"/>
  <c r="P2563" i="5"/>
  <c r="P2566" i="5"/>
  <c r="P2564" i="5"/>
  <c r="P2565" i="5"/>
  <c r="Q2563" i="5"/>
  <c r="Q2566" i="5"/>
  <c r="Q2564" i="5"/>
  <c r="Q2565" i="5"/>
  <c r="L2562" i="5"/>
  <c r="K2562" i="5"/>
  <c r="L2561" i="5"/>
  <c r="K2561" i="5"/>
  <c r="N2562" i="5"/>
  <c r="O2561" i="5"/>
  <c r="O2562" i="5"/>
  <c r="P2561" i="5"/>
  <c r="P2562" i="5"/>
  <c r="Q2561" i="5"/>
  <c r="Q2562" i="5"/>
  <c r="L2560" i="5"/>
  <c r="K2560" i="5"/>
  <c r="L2559" i="5"/>
  <c r="K2559" i="5"/>
  <c r="N2560" i="5"/>
  <c r="O2559" i="5"/>
  <c r="O2560" i="5"/>
  <c r="P2559" i="5"/>
  <c r="P2560" i="5"/>
  <c r="Q2559" i="5"/>
  <c r="Q2560" i="5"/>
  <c r="L2555" i="5"/>
  <c r="K2555" i="5"/>
  <c r="L2554" i="5"/>
  <c r="K2554" i="5"/>
  <c r="L2556" i="5"/>
  <c r="K2556" i="5"/>
  <c r="L2553" i="5"/>
  <c r="K2553" i="5"/>
  <c r="L2557" i="5"/>
  <c r="K2557" i="5"/>
  <c r="L2552" i="5"/>
  <c r="K2552" i="5"/>
  <c r="L2558" i="5"/>
  <c r="K2558" i="5"/>
  <c r="L2551" i="5"/>
  <c r="K2551" i="5"/>
  <c r="N2555" i="5"/>
  <c r="N2556" i="5"/>
  <c r="N2557" i="5"/>
  <c r="N2558" i="5"/>
  <c r="O2551" i="5"/>
  <c r="O2558" i="5"/>
  <c r="O2552" i="5"/>
  <c r="O2557" i="5"/>
  <c r="O2553" i="5"/>
  <c r="O2556" i="5"/>
  <c r="O2554" i="5"/>
  <c r="O2555" i="5"/>
  <c r="P2551" i="5"/>
  <c r="P2558" i="5"/>
  <c r="P2552" i="5"/>
  <c r="P2557" i="5"/>
  <c r="P2553" i="5"/>
  <c r="P2556" i="5"/>
  <c r="P2554" i="5"/>
  <c r="P2555" i="5"/>
  <c r="Q2551" i="5"/>
  <c r="R2551" i="5" s="1"/>
  <c r="Q2558" i="5"/>
  <c r="Q2552" i="5"/>
  <c r="Q2557" i="5"/>
  <c r="Q2553" i="5"/>
  <c r="Q2556" i="5"/>
  <c r="Q2554" i="5"/>
  <c r="Q2555" i="5"/>
  <c r="L2550" i="5"/>
  <c r="K2550" i="5"/>
  <c r="L2549" i="5"/>
  <c r="K2549" i="5"/>
  <c r="L2548" i="5"/>
  <c r="K2548" i="5"/>
  <c r="L2547" i="5"/>
  <c r="K2547" i="5"/>
  <c r="N2550" i="5"/>
  <c r="O2549" i="5"/>
  <c r="O2550" i="5"/>
  <c r="P2549" i="5"/>
  <c r="P2550" i="5"/>
  <c r="Q2549" i="5"/>
  <c r="Q2550" i="5"/>
  <c r="N2548" i="5"/>
  <c r="O2547" i="5"/>
  <c r="O2548" i="5"/>
  <c r="P2547" i="5"/>
  <c r="P2548" i="5"/>
  <c r="Q2547" i="5"/>
  <c r="Q2548" i="5"/>
  <c r="L2546" i="5"/>
  <c r="K2546" i="5"/>
  <c r="L2545" i="5"/>
  <c r="K2545" i="5"/>
  <c r="L2541" i="5"/>
  <c r="K2541" i="5"/>
  <c r="L2540" i="5"/>
  <c r="K2540" i="5"/>
  <c r="L2542" i="5"/>
  <c r="K2542" i="5"/>
  <c r="L2539" i="5"/>
  <c r="K2539" i="5"/>
  <c r="L2543" i="5"/>
  <c r="K2543" i="5"/>
  <c r="L2538" i="5"/>
  <c r="K2538" i="5"/>
  <c r="L2544" i="5"/>
  <c r="K2544" i="5"/>
  <c r="L2537" i="5"/>
  <c r="K2537" i="5"/>
  <c r="N2546" i="5"/>
  <c r="O2545" i="5"/>
  <c r="O2546" i="5"/>
  <c r="P2545" i="5"/>
  <c r="P2546" i="5"/>
  <c r="Q2545" i="5"/>
  <c r="Q2546" i="5"/>
  <c r="N2541" i="5"/>
  <c r="N2542" i="5"/>
  <c r="N2543" i="5"/>
  <c r="N2544" i="5"/>
  <c r="O2537" i="5"/>
  <c r="O2544" i="5"/>
  <c r="O2538" i="5"/>
  <c r="O2543" i="5"/>
  <c r="O2539" i="5"/>
  <c r="O2542" i="5"/>
  <c r="O2540" i="5"/>
  <c r="O2541" i="5"/>
  <c r="P2537" i="5"/>
  <c r="P2544" i="5"/>
  <c r="P2538" i="5"/>
  <c r="P2543" i="5"/>
  <c r="P2539" i="5"/>
  <c r="P2542" i="5"/>
  <c r="P2540" i="5"/>
  <c r="P2541" i="5"/>
  <c r="Q2537" i="5"/>
  <c r="Q2544" i="5"/>
  <c r="Q2538" i="5"/>
  <c r="Q2543" i="5"/>
  <c r="R2543" i="5" s="1"/>
  <c r="Q2539" i="5"/>
  <c r="Q2542" i="5"/>
  <c r="Q2540" i="5"/>
  <c r="Q2541" i="5"/>
  <c r="L2534" i="5"/>
  <c r="K2534" i="5"/>
  <c r="L2533" i="5"/>
  <c r="K2533" i="5"/>
  <c r="L2535" i="5"/>
  <c r="K2535" i="5"/>
  <c r="L2532" i="5"/>
  <c r="K2532" i="5"/>
  <c r="L2536" i="5"/>
  <c r="K2536" i="5"/>
  <c r="L2531" i="5"/>
  <c r="K2531" i="5"/>
  <c r="L2530" i="5"/>
  <c r="K2530" i="5"/>
  <c r="L2529" i="5"/>
  <c r="K2529" i="5"/>
  <c r="N2534" i="5"/>
  <c r="N2535" i="5"/>
  <c r="N2536" i="5"/>
  <c r="O2531" i="5"/>
  <c r="O2536" i="5"/>
  <c r="O2532" i="5"/>
  <c r="O2535" i="5"/>
  <c r="O2533" i="5"/>
  <c r="O2534" i="5"/>
  <c r="P2531" i="5"/>
  <c r="P2536" i="5"/>
  <c r="P2532" i="5"/>
  <c r="P2535" i="5"/>
  <c r="P2533" i="5"/>
  <c r="P2534" i="5"/>
  <c r="Q2531" i="5"/>
  <c r="Q2536" i="5"/>
  <c r="Q2532" i="5"/>
  <c r="Q2535" i="5"/>
  <c r="Q2533" i="5"/>
  <c r="Q2534" i="5"/>
  <c r="N2530" i="5"/>
  <c r="O2529" i="5"/>
  <c r="O2530" i="5"/>
  <c r="P2529" i="5"/>
  <c r="P2530" i="5"/>
  <c r="Q2529" i="5"/>
  <c r="Q2530" i="5"/>
  <c r="N2528" i="5"/>
  <c r="L2528" i="5"/>
  <c r="K2528" i="5"/>
  <c r="L2527" i="5"/>
  <c r="K2527" i="5"/>
  <c r="L2526" i="5"/>
  <c r="K2526" i="5"/>
  <c r="L2525" i="5"/>
  <c r="K2525" i="5"/>
  <c r="L2524" i="5"/>
  <c r="K2524" i="5"/>
  <c r="L2523" i="5"/>
  <c r="K2523" i="5"/>
  <c r="O2527" i="5"/>
  <c r="O2528" i="5"/>
  <c r="P2527" i="5"/>
  <c r="P2528" i="5"/>
  <c r="Q2527" i="5"/>
  <c r="Q2528" i="5"/>
  <c r="N2526" i="5"/>
  <c r="O2525" i="5"/>
  <c r="O2526" i="5"/>
  <c r="P2525" i="5"/>
  <c r="P2526" i="5"/>
  <c r="Q2525" i="5"/>
  <c r="Q2526" i="5"/>
  <c r="N2524" i="5"/>
  <c r="O2523" i="5"/>
  <c r="O2524" i="5"/>
  <c r="P2523" i="5"/>
  <c r="P2524" i="5"/>
  <c r="Q2523" i="5"/>
  <c r="Q2524" i="5"/>
  <c r="M2147" i="5"/>
  <c r="L2147" i="5"/>
  <c r="K2147" i="5"/>
  <c r="M2146" i="5"/>
  <c r="L2146" i="5"/>
  <c r="K2146" i="5"/>
  <c r="M2145" i="5"/>
  <c r="L2145" i="5"/>
  <c r="K2145" i="5"/>
  <c r="M2144" i="5"/>
  <c r="L2144" i="5"/>
  <c r="K2144" i="5"/>
  <c r="M2143" i="5"/>
  <c r="L2143" i="5"/>
  <c r="K2143" i="5"/>
  <c r="M2142" i="5"/>
  <c r="L2142" i="5"/>
  <c r="K2142" i="5"/>
  <c r="M2141" i="5"/>
  <c r="L2141" i="5"/>
  <c r="K2141" i="5"/>
  <c r="M2140" i="5"/>
  <c r="L2140" i="5"/>
  <c r="K2140" i="5"/>
  <c r="M2139" i="5"/>
  <c r="L2139" i="5"/>
  <c r="K2139" i="5"/>
  <c r="M2138" i="5"/>
  <c r="L2138" i="5"/>
  <c r="K2138" i="5"/>
  <c r="M2137" i="5"/>
  <c r="L2137" i="5"/>
  <c r="K2137" i="5"/>
  <c r="M2136" i="5"/>
  <c r="L2136" i="5"/>
  <c r="K2136" i="5"/>
  <c r="M2135" i="5"/>
  <c r="L2135" i="5"/>
  <c r="K2135" i="5"/>
  <c r="M2134" i="5"/>
  <c r="L2134" i="5"/>
  <c r="K2134" i="5"/>
  <c r="M2133" i="5"/>
  <c r="L2133" i="5"/>
  <c r="K2133" i="5"/>
  <c r="M2132" i="5"/>
  <c r="L2132" i="5"/>
  <c r="K2132" i="5"/>
  <c r="M2131" i="5"/>
  <c r="L2131" i="5"/>
  <c r="K2131" i="5"/>
  <c r="M2130" i="5"/>
  <c r="L2130" i="5"/>
  <c r="K2130" i="5"/>
  <c r="M2129" i="5"/>
  <c r="L2129" i="5"/>
  <c r="K2129" i="5"/>
  <c r="M2128" i="5"/>
  <c r="L2128" i="5"/>
  <c r="K2128" i="5"/>
  <c r="M2127" i="5"/>
  <c r="L2127" i="5"/>
  <c r="K2127" i="5"/>
  <c r="M2126" i="5"/>
  <c r="L2126" i="5"/>
  <c r="K2126" i="5"/>
  <c r="M2125" i="5"/>
  <c r="L2125" i="5"/>
  <c r="K2125" i="5"/>
  <c r="M2124" i="5"/>
  <c r="L2124" i="5"/>
  <c r="K2124" i="5"/>
  <c r="M2123" i="5"/>
  <c r="L2123" i="5"/>
  <c r="K2123" i="5"/>
  <c r="M2122" i="5"/>
  <c r="L2122" i="5"/>
  <c r="K2122" i="5"/>
  <c r="M2121" i="5"/>
  <c r="L2121" i="5"/>
  <c r="K2121" i="5"/>
  <c r="M2120" i="5"/>
  <c r="L2120" i="5"/>
  <c r="K2120" i="5"/>
  <c r="M2119" i="5"/>
  <c r="L2119" i="5"/>
  <c r="K2119" i="5"/>
  <c r="M2118" i="5"/>
  <c r="L2118" i="5"/>
  <c r="K2118" i="5"/>
  <c r="M2117" i="5"/>
  <c r="L2117" i="5"/>
  <c r="K2117" i="5"/>
  <c r="M2116" i="5"/>
  <c r="L2116" i="5"/>
  <c r="K2116" i="5"/>
  <c r="M2115" i="5"/>
  <c r="L2115" i="5"/>
  <c r="K2115" i="5"/>
  <c r="M2114" i="5"/>
  <c r="L2114" i="5"/>
  <c r="K2114" i="5"/>
  <c r="M2113" i="5"/>
  <c r="L2113" i="5"/>
  <c r="K2113" i="5"/>
  <c r="M2112" i="5"/>
  <c r="L2112" i="5"/>
  <c r="K2112" i="5"/>
  <c r="M2111" i="5"/>
  <c r="L2111" i="5"/>
  <c r="K2111" i="5"/>
  <c r="M2110" i="5"/>
  <c r="L2110" i="5"/>
  <c r="K2110" i="5"/>
  <c r="M2109" i="5"/>
  <c r="L2109" i="5"/>
  <c r="K2109" i="5"/>
  <c r="M2108" i="5"/>
  <c r="L2108" i="5"/>
  <c r="K2108" i="5"/>
  <c r="M2107" i="5"/>
  <c r="L2107" i="5"/>
  <c r="K2107" i="5"/>
  <c r="M2106" i="5"/>
  <c r="L2106" i="5"/>
  <c r="K2106" i="5"/>
  <c r="M2105" i="5"/>
  <c r="L2105" i="5"/>
  <c r="K2105" i="5"/>
  <c r="M2104" i="5"/>
  <c r="L2104" i="5"/>
  <c r="K2104" i="5"/>
  <c r="M2103" i="5"/>
  <c r="L2103" i="5"/>
  <c r="K2103" i="5"/>
  <c r="M2102" i="5"/>
  <c r="L2102" i="5"/>
  <c r="K2102" i="5"/>
  <c r="M2101" i="5"/>
  <c r="L2101" i="5"/>
  <c r="K2101" i="5"/>
  <c r="M2100" i="5"/>
  <c r="L2100" i="5"/>
  <c r="K2100" i="5"/>
  <c r="M2099" i="5"/>
  <c r="L2099" i="5"/>
  <c r="K2099" i="5"/>
  <c r="M2098" i="5"/>
  <c r="L2098" i="5"/>
  <c r="K2098" i="5"/>
  <c r="M2097" i="5"/>
  <c r="L2097" i="5"/>
  <c r="K2097" i="5"/>
  <c r="M2096" i="5"/>
  <c r="L2096" i="5"/>
  <c r="K2096" i="5"/>
  <c r="M2095" i="5"/>
  <c r="L2095" i="5"/>
  <c r="K2095" i="5"/>
  <c r="M2094" i="5"/>
  <c r="L2094" i="5"/>
  <c r="K2094" i="5"/>
  <c r="M2093" i="5"/>
  <c r="L2093" i="5"/>
  <c r="K2093" i="5"/>
  <c r="M2092" i="5"/>
  <c r="L2092" i="5"/>
  <c r="K2092" i="5"/>
  <c r="M2091" i="5"/>
  <c r="L2091" i="5"/>
  <c r="K2091" i="5"/>
  <c r="M2090" i="5"/>
  <c r="L2090" i="5"/>
  <c r="K2090" i="5"/>
  <c r="M2089" i="5"/>
  <c r="L2089" i="5"/>
  <c r="K2089" i="5"/>
  <c r="M2088" i="5"/>
  <c r="L2088" i="5"/>
  <c r="K2088" i="5"/>
  <c r="M2087" i="5"/>
  <c r="L2087" i="5"/>
  <c r="K2087" i="5"/>
  <c r="M2086" i="5"/>
  <c r="L2086" i="5"/>
  <c r="K2086" i="5"/>
  <c r="M2085" i="5"/>
  <c r="L2085" i="5"/>
  <c r="K2085" i="5"/>
  <c r="M2084" i="5"/>
  <c r="L2084" i="5"/>
  <c r="K2084" i="5"/>
  <c r="M2083" i="5"/>
  <c r="L2083" i="5"/>
  <c r="K2083" i="5"/>
  <c r="M2082" i="5"/>
  <c r="L2082" i="5"/>
  <c r="K2082" i="5"/>
  <c r="M2081" i="5"/>
  <c r="L2081" i="5"/>
  <c r="K2081" i="5"/>
  <c r="M2080" i="5"/>
  <c r="L2080" i="5"/>
  <c r="K2080" i="5"/>
  <c r="M2079" i="5"/>
  <c r="L2079" i="5"/>
  <c r="K2079" i="5"/>
  <c r="M2078" i="5"/>
  <c r="L2078" i="5"/>
  <c r="K2078" i="5"/>
  <c r="M2077" i="5"/>
  <c r="L2077" i="5"/>
  <c r="K2077" i="5"/>
  <c r="M2076" i="5"/>
  <c r="L2076" i="5"/>
  <c r="K2076" i="5"/>
  <c r="M2075" i="5"/>
  <c r="L2075" i="5"/>
  <c r="K2075" i="5"/>
  <c r="M2074" i="5"/>
  <c r="L2074" i="5"/>
  <c r="K2074" i="5"/>
  <c r="M2073" i="5"/>
  <c r="L2073" i="5"/>
  <c r="K2073" i="5"/>
  <c r="M2072" i="5"/>
  <c r="L2072" i="5"/>
  <c r="K2072" i="5"/>
  <c r="M2071" i="5"/>
  <c r="L2071" i="5"/>
  <c r="K2071" i="5"/>
  <c r="M2070" i="5"/>
  <c r="L2070" i="5"/>
  <c r="K2070" i="5"/>
  <c r="M2069" i="5"/>
  <c r="L2069" i="5"/>
  <c r="K2069" i="5"/>
  <c r="M2068" i="5"/>
  <c r="L2068" i="5"/>
  <c r="K2068" i="5"/>
  <c r="M2067" i="5"/>
  <c r="L2067" i="5"/>
  <c r="K2067" i="5"/>
  <c r="M2066" i="5"/>
  <c r="L2066" i="5"/>
  <c r="K2066" i="5"/>
  <c r="M2065" i="5"/>
  <c r="L2065" i="5"/>
  <c r="K2065" i="5"/>
  <c r="M2064" i="5"/>
  <c r="L2064" i="5"/>
  <c r="K2064" i="5"/>
  <c r="M2063" i="5"/>
  <c r="L2063" i="5"/>
  <c r="K2063" i="5"/>
  <c r="M2062" i="5"/>
  <c r="L2062" i="5"/>
  <c r="K2062" i="5"/>
  <c r="M2061" i="5"/>
  <c r="L2061" i="5"/>
  <c r="K2061" i="5"/>
  <c r="M2060" i="5"/>
  <c r="L2060" i="5"/>
  <c r="K2060" i="5"/>
  <c r="M2059" i="5"/>
  <c r="L2059" i="5"/>
  <c r="K2059" i="5"/>
  <c r="M2058" i="5"/>
  <c r="L2058" i="5"/>
  <c r="K2058" i="5"/>
  <c r="M2057" i="5"/>
  <c r="L2057" i="5"/>
  <c r="K2057" i="5"/>
  <c r="M2056" i="5"/>
  <c r="L2056" i="5"/>
  <c r="K2056" i="5"/>
  <c r="M2055" i="5"/>
  <c r="L2055" i="5"/>
  <c r="K2055" i="5"/>
  <c r="M2054" i="5"/>
  <c r="L2054" i="5"/>
  <c r="K2054" i="5"/>
  <c r="M2053" i="5"/>
  <c r="L2053" i="5"/>
  <c r="K2053" i="5"/>
  <c r="M2052" i="5"/>
  <c r="L2052" i="5"/>
  <c r="K2052" i="5"/>
  <c r="M2051" i="5"/>
  <c r="L2051" i="5"/>
  <c r="K2051" i="5"/>
  <c r="M2050" i="5"/>
  <c r="L2050" i="5"/>
  <c r="K2050" i="5"/>
  <c r="M2049" i="5"/>
  <c r="L2049" i="5"/>
  <c r="K2049" i="5"/>
  <c r="M2048" i="5"/>
  <c r="L2048" i="5"/>
  <c r="K2048" i="5"/>
  <c r="M2047" i="5"/>
  <c r="L2047" i="5"/>
  <c r="K2047" i="5"/>
  <c r="M2046" i="5"/>
  <c r="L2046" i="5"/>
  <c r="K2046" i="5"/>
  <c r="M2045" i="5"/>
  <c r="L2045" i="5"/>
  <c r="K2045" i="5"/>
  <c r="M2044" i="5"/>
  <c r="L2044" i="5"/>
  <c r="K2044" i="5"/>
  <c r="M2043" i="5"/>
  <c r="L2043" i="5"/>
  <c r="K2043" i="5"/>
  <c r="M2042" i="5"/>
  <c r="L2042" i="5"/>
  <c r="K2042" i="5"/>
  <c r="M2041" i="5"/>
  <c r="L2041" i="5"/>
  <c r="K2041" i="5"/>
  <c r="M2040" i="5"/>
  <c r="L2040" i="5"/>
  <c r="K2040" i="5"/>
  <c r="M2039" i="5"/>
  <c r="L2039" i="5"/>
  <c r="K2039" i="5"/>
  <c r="M2038" i="5"/>
  <c r="L2038" i="5"/>
  <c r="K2038" i="5"/>
  <c r="M2037" i="5"/>
  <c r="L2037" i="5"/>
  <c r="K2037" i="5"/>
  <c r="M2036" i="5"/>
  <c r="L2036" i="5"/>
  <c r="K2036" i="5"/>
  <c r="M2035" i="5"/>
  <c r="L2035" i="5"/>
  <c r="K2035" i="5"/>
  <c r="M2034" i="5"/>
  <c r="L2034" i="5"/>
  <c r="K2034" i="5"/>
  <c r="M2033" i="5"/>
  <c r="L2033" i="5"/>
  <c r="K2033" i="5"/>
  <c r="M2032" i="5"/>
  <c r="L2032" i="5"/>
  <c r="K2032" i="5"/>
  <c r="M2031" i="5"/>
  <c r="L2031" i="5"/>
  <c r="K2031" i="5"/>
  <c r="M2030" i="5"/>
  <c r="L2030" i="5"/>
  <c r="K2030" i="5"/>
  <c r="M2029" i="5"/>
  <c r="L2029" i="5"/>
  <c r="K2029" i="5"/>
  <c r="M2028" i="5"/>
  <c r="L2028" i="5"/>
  <c r="K2028" i="5"/>
  <c r="M2027" i="5"/>
  <c r="L2027" i="5"/>
  <c r="K2027" i="5"/>
  <c r="M2026" i="5"/>
  <c r="L2026" i="5"/>
  <c r="K2026" i="5"/>
  <c r="M2025" i="5"/>
  <c r="L2025" i="5"/>
  <c r="K2025" i="5"/>
  <c r="M2024" i="5"/>
  <c r="L2024" i="5"/>
  <c r="K2024" i="5"/>
  <c r="M2023" i="5"/>
  <c r="L2023" i="5"/>
  <c r="K2023" i="5"/>
  <c r="M2022" i="5"/>
  <c r="L2022" i="5"/>
  <c r="K2022" i="5"/>
  <c r="M2021" i="5"/>
  <c r="L2021" i="5"/>
  <c r="K2021" i="5"/>
  <c r="M2020" i="5"/>
  <c r="L2020" i="5"/>
  <c r="K2020" i="5"/>
  <c r="M2019" i="5"/>
  <c r="L2019" i="5"/>
  <c r="K2019" i="5"/>
  <c r="M2018" i="5"/>
  <c r="L2018" i="5"/>
  <c r="K2018" i="5"/>
  <c r="M2017" i="5"/>
  <c r="L2017" i="5"/>
  <c r="K2017" i="5"/>
  <c r="M2016" i="5"/>
  <c r="L2016" i="5"/>
  <c r="K2016" i="5"/>
  <c r="M2015" i="5"/>
  <c r="L2015" i="5"/>
  <c r="K2015" i="5"/>
  <c r="M2014" i="5"/>
  <c r="L2014" i="5"/>
  <c r="K2014" i="5"/>
  <c r="M2013" i="5"/>
  <c r="L2013" i="5"/>
  <c r="K2013" i="5"/>
  <c r="M2012" i="5"/>
  <c r="L2012" i="5"/>
  <c r="K2012" i="5"/>
  <c r="M2011" i="5"/>
  <c r="L2011" i="5"/>
  <c r="K2011" i="5"/>
  <c r="M2010" i="5"/>
  <c r="L2010" i="5"/>
  <c r="K2010" i="5"/>
  <c r="M2009" i="5"/>
  <c r="L2009" i="5"/>
  <c r="K2009" i="5"/>
  <c r="M2008" i="5"/>
  <c r="L2008" i="5"/>
  <c r="K2008" i="5"/>
  <c r="M2007" i="5"/>
  <c r="L2007" i="5"/>
  <c r="K2007" i="5"/>
  <c r="M2006" i="5"/>
  <c r="L2006" i="5"/>
  <c r="K2006" i="5"/>
  <c r="M2005" i="5"/>
  <c r="L2005" i="5"/>
  <c r="K2005" i="5"/>
  <c r="M2004" i="5"/>
  <c r="L2004" i="5"/>
  <c r="K2004" i="5"/>
  <c r="M2003" i="5"/>
  <c r="L2003" i="5"/>
  <c r="K2003" i="5"/>
  <c r="M2001" i="5"/>
  <c r="L2001" i="5"/>
  <c r="K2001" i="5"/>
  <c r="M2000" i="5"/>
  <c r="L2000" i="5"/>
  <c r="K2000" i="5"/>
  <c r="M1999" i="5"/>
  <c r="L1999" i="5"/>
  <c r="K1999" i="5"/>
  <c r="M1998" i="5"/>
  <c r="L1998" i="5"/>
  <c r="K1998" i="5"/>
  <c r="M1997" i="5"/>
  <c r="L1997" i="5"/>
  <c r="K1997" i="5"/>
  <c r="M1996" i="5"/>
  <c r="L1996" i="5"/>
  <c r="K1996" i="5"/>
  <c r="M1995" i="5"/>
  <c r="L1995" i="5"/>
  <c r="K1995" i="5"/>
  <c r="M1994" i="5"/>
  <c r="L1994" i="5"/>
  <c r="K1994" i="5"/>
  <c r="M1993" i="5"/>
  <c r="L1993" i="5"/>
  <c r="K1993" i="5"/>
  <c r="M1992" i="5"/>
  <c r="L1992" i="5"/>
  <c r="K1992" i="5"/>
  <c r="M1991" i="5"/>
  <c r="L1991" i="5"/>
  <c r="K1991" i="5"/>
  <c r="M1990" i="5"/>
  <c r="L1990" i="5"/>
  <c r="K1990" i="5"/>
  <c r="M1989" i="5"/>
  <c r="L1989" i="5"/>
  <c r="K1989" i="5"/>
  <c r="M1988" i="5"/>
  <c r="L1988" i="5"/>
  <c r="K1988" i="5"/>
  <c r="M1987" i="5"/>
  <c r="L1987" i="5"/>
  <c r="K1987" i="5"/>
  <c r="M1986" i="5"/>
  <c r="L1986" i="5"/>
  <c r="K1986" i="5"/>
  <c r="M1985" i="5"/>
  <c r="L1985" i="5"/>
  <c r="K1985" i="5"/>
  <c r="M1984" i="5"/>
  <c r="L1984" i="5"/>
  <c r="K1984" i="5"/>
  <c r="M1983" i="5"/>
  <c r="L1983" i="5"/>
  <c r="K1983" i="5"/>
  <c r="M1982" i="5"/>
  <c r="L1982" i="5"/>
  <c r="K1982" i="5"/>
  <c r="M1981" i="5"/>
  <c r="L1981" i="5"/>
  <c r="K1981" i="5"/>
  <c r="M1980" i="5"/>
  <c r="L1980" i="5"/>
  <c r="K1980" i="5"/>
  <c r="M1979" i="5"/>
  <c r="L1979" i="5"/>
  <c r="K1979" i="5"/>
  <c r="M1978" i="5"/>
  <c r="L1978" i="5"/>
  <c r="K1978" i="5"/>
  <c r="M1977" i="5"/>
  <c r="L1977" i="5"/>
  <c r="K1977" i="5"/>
  <c r="M1976" i="5"/>
  <c r="L1976" i="5"/>
  <c r="K1976" i="5"/>
  <c r="M1975" i="5"/>
  <c r="L1975" i="5"/>
  <c r="K1975" i="5"/>
  <c r="M1974" i="5"/>
  <c r="L1974" i="5"/>
  <c r="K1974" i="5"/>
  <c r="M1973" i="5"/>
  <c r="L1973" i="5"/>
  <c r="K1973" i="5"/>
  <c r="M1972" i="5"/>
  <c r="L1972" i="5"/>
  <c r="K1972" i="5"/>
  <c r="M1971" i="5"/>
  <c r="L1971" i="5"/>
  <c r="K1971" i="5"/>
  <c r="M1970" i="5"/>
  <c r="L1970" i="5"/>
  <c r="K1970" i="5"/>
  <c r="M1969" i="5"/>
  <c r="L1969" i="5"/>
  <c r="K1969" i="5"/>
  <c r="M1968" i="5"/>
  <c r="L1968" i="5"/>
  <c r="K1968" i="5"/>
  <c r="M1967" i="5"/>
  <c r="L1967" i="5"/>
  <c r="K1967" i="5"/>
  <c r="M1966" i="5"/>
  <c r="L1966" i="5"/>
  <c r="K1966" i="5"/>
  <c r="M1965" i="5"/>
  <c r="L1965" i="5"/>
  <c r="K1965" i="5"/>
  <c r="M1964" i="5"/>
  <c r="L1964" i="5"/>
  <c r="K1964" i="5"/>
  <c r="M1963" i="5"/>
  <c r="L1963" i="5"/>
  <c r="K1963" i="5"/>
  <c r="M1962" i="5"/>
  <c r="L1962" i="5"/>
  <c r="K1962" i="5"/>
  <c r="M1961" i="5"/>
  <c r="L1961" i="5"/>
  <c r="K1961" i="5"/>
  <c r="M1960" i="5"/>
  <c r="L1960" i="5"/>
  <c r="K1960" i="5"/>
  <c r="M1959" i="5"/>
  <c r="L1959" i="5"/>
  <c r="K1959" i="5"/>
  <c r="M1958" i="5"/>
  <c r="L1958" i="5"/>
  <c r="K1958" i="5"/>
  <c r="M1957" i="5"/>
  <c r="L1957" i="5"/>
  <c r="K1957" i="5"/>
  <c r="M1956" i="5"/>
  <c r="L1956" i="5"/>
  <c r="K1956" i="5"/>
  <c r="M1955" i="5"/>
  <c r="L1955" i="5"/>
  <c r="K1955" i="5"/>
  <c r="M1954" i="5"/>
  <c r="L1954" i="5"/>
  <c r="K1954" i="5"/>
  <c r="M1953" i="5"/>
  <c r="L1953" i="5"/>
  <c r="K1953" i="5"/>
  <c r="M1952" i="5"/>
  <c r="L1952" i="5"/>
  <c r="K1952" i="5"/>
  <c r="M1951" i="5"/>
  <c r="L1951" i="5"/>
  <c r="K1951" i="5"/>
  <c r="M1950" i="5"/>
  <c r="L1950" i="5"/>
  <c r="K1950" i="5"/>
  <c r="M1949" i="5"/>
  <c r="L1949" i="5"/>
  <c r="K1949" i="5"/>
  <c r="M1948" i="5"/>
  <c r="L1948" i="5"/>
  <c r="K1948" i="5"/>
  <c r="M1947" i="5"/>
  <c r="L1947" i="5"/>
  <c r="K1947" i="5"/>
  <c r="M1946" i="5"/>
  <c r="L1946" i="5"/>
  <c r="K1946" i="5"/>
  <c r="M1945" i="5"/>
  <c r="L1945" i="5"/>
  <c r="K1945" i="5"/>
  <c r="M1944" i="5"/>
  <c r="L1944" i="5"/>
  <c r="K1944" i="5"/>
  <c r="M1943" i="5"/>
  <c r="L1943" i="5"/>
  <c r="K1943" i="5"/>
  <c r="M1942" i="5"/>
  <c r="L1942" i="5"/>
  <c r="K1942" i="5"/>
  <c r="M1941" i="5"/>
  <c r="L1941" i="5"/>
  <c r="K1941" i="5"/>
  <c r="M1940" i="5"/>
  <c r="L1940" i="5"/>
  <c r="K1940" i="5"/>
  <c r="M1939" i="5"/>
  <c r="L1939" i="5"/>
  <c r="K1939" i="5"/>
  <c r="M1938" i="5"/>
  <c r="L1938" i="5"/>
  <c r="K1938" i="5"/>
  <c r="M1937" i="5"/>
  <c r="L1937" i="5"/>
  <c r="K1937" i="5"/>
  <c r="M1936" i="5"/>
  <c r="L1936" i="5"/>
  <c r="K1936" i="5"/>
  <c r="M1935" i="5"/>
  <c r="L1935" i="5"/>
  <c r="K1935" i="5"/>
  <c r="M1934" i="5"/>
  <c r="L1934" i="5"/>
  <c r="K1934" i="5"/>
  <c r="M1933" i="5"/>
  <c r="L1933" i="5"/>
  <c r="K1933" i="5"/>
  <c r="M1932" i="5"/>
  <c r="L1932" i="5"/>
  <c r="K1932" i="5"/>
  <c r="M1931" i="5"/>
  <c r="L1931" i="5"/>
  <c r="K1931" i="5"/>
  <c r="M1930" i="5"/>
  <c r="L1930" i="5"/>
  <c r="K1930" i="5"/>
  <c r="M1929" i="5"/>
  <c r="L1929" i="5"/>
  <c r="K1929" i="5"/>
  <c r="M1928" i="5"/>
  <c r="L1928" i="5"/>
  <c r="K1928" i="5"/>
  <c r="M1927" i="5"/>
  <c r="L1927" i="5"/>
  <c r="K1927" i="5"/>
  <c r="M1926" i="5"/>
  <c r="L1926" i="5"/>
  <c r="K1926" i="5"/>
  <c r="M1925" i="5"/>
  <c r="L1925" i="5"/>
  <c r="K1925" i="5"/>
  <c r="M1924" i="5"/>
  <c r="L1924" i="5"/>
  <c r="K1924" i="5"/>
  <c r="M1923" i="5"/>
  <c r="L1923" i="5"/>
  <c r="K1923" i="5"/>
  <c r="M1922" i="5"/>
  <c r="L1922" i="5"/>
  <c r="K1922" i="5"/>
  <c r="M1921" i="5"/>
  <c r="L1921" i="5"/>
  <c r="K1921" i="5"/>
  <c r="M1920" i="5"/>
  <c r="L1920" i="5"/>
  <c r="K1920" i="5"/>
  <c r="M1919" i="5"/>
  <c r="L1919" i="5"/>
  <c r="K1919" i="5"/>
  <c r="M1918" i="5"/>
  <c r="L1918" i="5"/>
  <c r="K1918" i="5"/>
  <c r="M1917" i="5"/>
  <c r="L1917" i="5"/>
  <c r="K1917" i="5"/>
  <c r="M1916" i="5"/>
  <c r="L1916" i="5"/>
  <c r="K1916" i="5"/>
  <c r="M1915" i="5"/>
  <c r="L1915" i="5"/>
  <c r="K1915" i="5"/>
  <c r="M1914" i="5"/>
  <c r="L1914" i="5"/>
  <c r="K1914" i="5"/>
  <c r="M1913" i="5"/>
  <c r="L1913" i="5"/>
  <c r="K1913" i="5"/>
  <c r="M1912" i="5"/>
  <c r="L1912" i="5"/>
  <c r="K1912" i="5"/>
  <c r="M1911" i="5"/>
  <c r="L1911" i="5"/>
  <c r="K1911" i="5"/>
  <c r="M1910" i="5"/>
  <c r="L1910" i="5"/>
  <c r="K1910" i="5"/>
  <c r="M1909" i="5"/>
  <c r="L1909" i="5"/>
  <c r="K1909" i="5"/>
  <c r="M1908" i="5"/>
  <c r="L1908" i="5"/>
  <c r="K1908" i="5"/>
  <c r="M1907" i="5"/>
  <c r="L1907" i="5"/>
  <c r="K1907" i="5"/>
  <c r="M1906" i="5"/>
  <c r="L1906" i="5"/>
  <c r="K1906" i="5"/>
  <c r="M1905" i="5"/>
  <c r="L1905" i="5"/>
  <c r="K1905" i="5"/>
  <c r="M1904" i="5"/>
  <c r="L1904" i="5"/>
  <c r="K1904" i="5"/>
  <c r="M1903" i="5"/>
  <c r="L1903" i="5"/>
  <c r="K1903" i="5"/>
  <c r="M1902" i="5"/>
  <c r="L1902" i="5"/>
  <c r="K1902" i="5"/>
  <c r="M1901" i="5"/>
  <c r="L1901" i="5"/>
  <c r="K1901" i="5"/>
  <c r="M1900" i="5"/>
  <c r="L1900" i="5"/>
  <c r="K1900" i="5"/>
  <c r="M1899" i="5"/>
  <c r="L1899" i="5"/>
  <c r="K1899" i="5"/>
  <c r="M1898" i="5"/>
  <c r="L1898" i="5"/>
  <c r="K1898" i="5"/>
  <c r="M1897" i="5"/>
  <c r="L1897" i="5"/>
  <c r="K1897" i="5"/>
  <c r="M1896" i="5"/>
  <c r="L1896" i="5"/>
  <c r="K1896" i="5"/>
  <c r="M1895" i="5"/>
  <c r="L1895" i="5"/>
  <c r="K1895" i="5"/>
  <c r="M1894" i="5"/>
  <c r="L1894" i="5"/>
  <c r="K1894" i="5"/>
  <c r="M1893" i="5"/>
  <c r="L1893" i="5"/>
  <c r="K1893" i="5"/>
  <c r="M1892" i="5"/>
  <c r="L1892" i="5"/>
  <c r="K1892" i="5"/>
  <c r="M1891" i="5"/>
  <c r="L1891" i="5"/>
  <c r="K1891" i="5"/>
  <c r="M1890" i="5"/>
  <c r="L1890" i="5"/>
  <c r="K1890" i="5"/>
  <c r="M1889" i="5"/>
  <c r="L1889" i="5"/>
  <c r="K1889" i="5"/>
  <c r="M1888" i="5"/>
  <c r="L1888" i="5"/>
  <c r="K1888" i="5"/>
  <c r="M1887" i="5"/>
  <c r="L1887" i="5"/>
  <c r="K1887" i="5"/>
  <c r="M1886" i="5"/>
  <c r="L1886" i="5"/>
  <c r="K1886" i="5"/>
  <c r="M1885" i="5"/>
  <c r="L1885" i="5"/>
  <c r="K1885" i="5"/>
  <c r="M1884" i="5"/>
  <c r="L1884" i="5"/>
  <c r="K1884" i="5"/>
  <c r="M1883" i="5"/>
  <c r="L1883" i="5"/>
  <c r="K1883" i="5"/>
  <c r="M1882" i="5"/>
  <c r="L1882" i="5"/>
  <c r="K1882" i="5"/>
  <c r="M1881" i="5"/>
  <c r="L1881" i="5"/>
  <c r="K1881" i="5"/>
  <c r="M1880" i="5"/>
  <c r="L1880" i="5"/>
  <c r="K1880" i="5"/>
  <c r="M1879" i="5"/>
  <c r="L1879" i="5"/>
  <c r="K1879" i="5"/>
  <c r="M1878" i="5"/>
  <c r="L1878" i="5"/>
  <c r="K1878" i="5"/>
  <c r="M1877" i="5"/>
  <c r="L1877" i="5"/>
  <c r="K1877" i="5"/>
  <c r="M1876" i="5"/>
  <c r="L1876" i="5"/>
  <c r="K1876" i="5"/>
  <c r="M1875" i="5"/>
  <c r="L1875" i="5"/>
  <c r="K1875" i="5"/>
  <c r="M1874" i="5"/>
  <c r="L1874" i="5"/>
  <c r="K1874" i="5"/>
  <c r="M1873" i="5"/>
  <c r="L1873" i="5"/>
  <c r="K1873" i="5"/>
  <c r="M1872" i="5"/>
  <c r="L1872" i="5"/>
  <c r="K1872" i="5"/>
  <c r="M1871" i="5"/>
  <c r="L1871" i="5"/>
  <c r="K1871" i="5"/>
  <c r="M1870" i="5"/>
  <c r="L1870" i="5"/>
  <c r="K1870" i="5"/>
  <c r="M1869" i="5"/>
  <c r="L1869" i="5"/>
  <c r="K1869" i="5"/>
  <c r="M1868" i="5"/>
  <c r="L1868" i="5"/>
  <c r="K1868" i="5"/>
  <c r="M1867" i="5"/>
  <c r="L1867" i="5"/>
  <c r="K1867" i="5"/>
  <c r="M1866" i="5"/>
  <c r="L1866" i="5"/>
  <c r="K1866" i="5"/>
  <c r="M1865" i="5"/>
  <c r="L1865" i="5"/>
  <c r="K1865" i="5"/>
  <c r="M1864" i="5"/>
  <c r="L1864" i="5"/>
  <c r="K1864" i="5"/>
  <c r="M1863" i="5"/>
  <c r="L1863" i="5"/>
  <c r="K1863" i="5"/>
  <c r="M1862" i="5"/>
  <c r="L1862" i="5"/>
  <c r="K1862" i="5"/>
  <c r="M1861" i="5"/>
  <c r="L1861" i="5"/>
  <c r="K1861" i="5"/>
  <c r="M1860" i="5"/>
  <c r="L1860" i="5"/>
  <c r="K1860" i="5"/>
  <c r="M1859" i="5"/>
  <c r="L1859" i="5"/>
  <c r="K1859" i="5"/>
  <c r="M1858" i="5"/>
  <c r="L1858" i="5"/>
  <c r="K1858" i="5"/>
  <c r="M1857" i="5"/>
  <c r="L1857" i="5"/>
  <c r="K1857" i="5"/>
  <c r="M1856" i="5"/>
  <c r="L1856" i="5"/>
  <c r="K1856" i="5"/>
  <c r="M1855" i="5"/>
  <c r="L1855" i="5"/>
  <c r="K1855" i="5"/>
  <c r="M1854" i="5"/>
  <c r="L1854" i="5"/>
  <c r="K1854" i="5"/>
  <c r="M1853" i="5"/>
  <c r="L1853" i="5"/>
  <c r="K1853" i="5"/>
  <c r="M1852" i="5"/>
  <c r="L1852" i="5"/>
  <c r="K1852" i="5"/>
  <c r="M1851" i="5"/>
  <c r="L1851" i="5"/>
  <c r="K1851" i="5"/>
  <c r="M1850" i="5"/>
  <c r="L1850" i="5"/>
  <c r="K1850" i="5"/>
  <c r="M1849" i="5"/>
  <c r="L1849" i="5"/>
  <c r="K1849" i="5"/>
  <c r="M1848" i="5"/>
  <c r="L1848" i="5"/>
  <c r="K1848" i="5"/>
  <c r="M1847" i="5"/>
  <c r="L1847" i="5"/>
  <c r="K1847" i="5"/>
  <c r="M1846" i="5"/>
  <c r="L1846" i="5"/>
  <c r="K1846" i="5"/>
  <c r="M1845" i="5"/>
  <c r="L1845" i="5"/>
  <c r="K1845" i="5"/>
  <c r="M1844" i="5"/>
  <c r="L1844" i="5"/>
  <c r="K1844" i="5"/>
  <c r="M1843" i="5"/>
  <c r="L1843" i="5"/>
  <c r="K1843" i="5"/>
  <c r="M1842" i="5"/>
  <c r="L1842" i="5"/>
  <c r="K1842" i="5"/>
  <c r="M1841" i="5"/>
  <c r="L1841" i="5"/>
  <c r="K1841" i="5"/>
  <c r="M1840" i="5"/>
  <c r="L1840" i="5"/>
  <c r="K1840" i="5"/>
  <c r="M1839" i="5"/>
  <c r="L1839" i="5"/>
  <c r="K1839" i="5"/>
  <c r="M1838" i="5"/>
  <c r="L1838" i="5"/>
  <c r="K1838" i="5"/>
  <c r="M1837" i="5"/>
  <c r="L1837" i="5"/>
  <c r="K1837" i="5"/>
  <c r="M1836" i="5"/>
  <c r="L1836" i="5"/>
  <c r="K1836" i="5"/>
  <c r="M1835" i="5"/>
  <c r="L1835" i="5"/>
  <c r="K1835" i="5"/>
  <c r="M1834" i="5"/>
  <c r="L1834" i="5"/>
  <c r="K1834" i="5"/>
  <c r="M1833" i="5"/>
  <c r="L1833" i="5"/>
  <c r="K1833" i="5"/>
  <c r="M1832" i="5"/>
  <c r="L1832" i="5"/>
  <c r="K1832" i="5"/>
  <c r="M1831" i="5"/>
  <c r="L1831" i="5"/>
  <c r="K1831" i="5"/>
  <c r="M1830" i="5"/>
  <c r="L1830" i="5"/>
  <c r="K1830" i="5"/>
  <c r="M1829" i="5"/>
  <c r="L1829" i="5"/>
  <c r="K1829" i="5"/>
  <c r="M1828" i="5"/>
  <c r="L1828" i="5"/>
  <c r="K1828" i="5"/>
  <c r="M1827" i="5"/>
  <c r="L1827" i="5"/>
  <c r="K1827" i="5"/>
  <c r="M1826" i="5"/>
  <c r="L1826" i="5"/>
  <c r="K1826" i="5"/>
  <c r="M1825" i="5"/>
  <c r="L1825" i="5"/>
  <c r="K1825" i="5"/>
  <c r="M1824" i="5"/>
  <c r="L1824" i="5"/>
  <c r="K1824" i="5"/>
  <c r="M1823" i="5"/>
  <c r="L1823" i="5"/>
  <c r="K1823" i="5"/>
  <c r="M1822" i="5"/>
  <c r="L1822" i="5"/>
  <c r="K1822" i="5"/>
  <c r="M1821" i="5"/>
  <c r="L1821" i="5"/>
  <c r="K1821" i="5"/>
  <c r="M1820" i="5"/>
  <c r="L1820" i="5"/>
  <c r="K1820" i="5"/>
  <c r="M1819" i="5"/>
  <c r="L1819" i="5"/>
  <c r="K1819" i="5"/>
  <c r="M1818" i="5"/>
  <c r="L1818" i="5"/>
  <c r="K1818" i="5"/>
  <c r="M1817" i="5"/>
  <c r="L1817" i="5"/>
  <c r="K1817" i="5"/>
  <c r="M1816" i="5"/>
  <c r="L1816" i="5"/>
  <c r="K1816" i="5"/>
  <c r="M1815" i="5"/>
  <c r="L1815" i="5"/>
  <c r="K1815" i="5"/>
  <c r="M1814" i="5"/>
  <c r="L1814" i="5"/>
  <c r="K1814" i="5"/>
  <c r="M1813" i="5"/>
  <c r="L1813" i="5"/>
  <c r="K1813" i="5"/>
  <c r="M1812" i="5"/>
  <c r="L1812" i="5"/>
  <c r="K1812" i="5"/>
  <c r="M1811" i="5"/>
  <c r="L1811" i="5"/>
  <c r="K1811" i="5"/>
  <c r="M1810" i="5"/>
  <c r="L1810" i="5"/>
  <c r="K1810" i="5"/>
  <c r="M1809" i="5"/>
  <c r="L1809" i="5"/>
  <c r="K1809" i="5"/>
  <c r="M1808" i="5"/>
  <c r="L1808" i="5"/>
  <c r="K1808" i="5"/>
  <c r="M1807" i="5"/>
  <c r="L1807" i="5"/>
  <c r="K1807" i="5"/>
  <c r="M1806" i="5"/>
  <c r="L1806" i="5"/>
  <c r="K1806" i="5"/>
  <c r="M1805" i="5"/>
  <c r="L1805" i="5"/>
  <c r="K1805" i="5"/>
  <c r="M1804" i="5"/>
  <c r="L1804" i="5"/>
  <c r="K1804" i="5"/>
  <c r="M1803" i="5"/>
  <c r="L1803" i="5"/>
  <c r="K1803" i="5"/>
  <c r="M1802" i="5"/>
  <c r="L1802" i="5"/>
  <c r="K1802" i="5"/>
  <c r="M1801" i="5"/>
  <c r="L1801" i="5"/>
  <c r="K1801" i="5"/>
  <c r="M1800" i="5"/>
  <c r="L1800" i="5"/>
  <c r="K1800" i="5"/>
  <c r="M1799" i="5"/>
  <c r="L1799" i="5"/>
  <c r="K1799" i="5"/>
  <c r="M1798" i="5"/>
  <c r="L1798" i="5"/>
  <c r="K1798" i="5"/>
  <c r="M1797" i="5"/>
  <c r="L1797" i="5"/>
  <c r="K1797" i="5"/>
  <c r="M1796" i="5"/>
  <c r="L1796" i="5"/>
  <c r="K1796" i="5"/>
  <c r="M1795" i="5"/>
  <c r="L1795" i="5"/>
  <c r="K1795" i="5"/>
  <c r="M1794" i="5"/>
  <c r="L1794" i="5"/>
  <c r="K1794" i="5"/>
  <c r="M1793" i="5"/>
  <c r="L1793" i="5"/>
  <c r="K1793" i="5"/>
  <c r="M1792" i="5"/>
  <c r="L1792" i="5"/>
  <c r="K1792" i="5"/>
  <c r="M1791" i="5"/>
  <c r="L1791" i="5"/>
  <c r="K1791" i="5"/>
  <c r="M1790" i="5"/>
  <c r="L1790" i="5"/>
  <c r="K1790" i="5"/>
  <c r="M1789" i="5"/>
  <c r="L1789" i="5"/>
  <c r="K1789" i="5"/>
  <c r="M1788" i="5"/>
  <c r="L1788" i="5"/>
  <c r="K1788" i="5"/>
  <c r="M1787" i="5"/>
  <c r="L1787" i="5"/>
  <c r="K1787" i="5"/>
  <c r="M1786" i="5"/>
  <c r="L1786" i="5"/>
  <c r="K1786" i="5"/>
  <c r="M1785" i="5"/>
  <c r="L1785" i="5"/>
  <c r="K1785" i="5"/>
  <c r="M1784" i="5"/>
  <c r="L1784" i="5"/>
  <c r="K1784" i="5"/>
  <c r="M1783" i="5"/>
  <c r="L1783" i="5"/>
  <c r="K1783" i="5"/>
  <c r="M1782" i="5"/>
  <c r="L1782" i="5"/>
  <c r="K1782" i="5"/>
  <c r="M1781" i="5"/>
  <c r="L1781" i="5"/>
  <c r="K1781" i="5"/>
  <c r="M1780" i="5"/>
  <c r="L1780" i="5"/>
  <c r="K1780" i="5"/>
  <c r="M1779" i="5"/>
  <c r="L1779" i="5"/>
  <c r="K1779" i="5"/>
  <c r="M1778" i="5"/>
  <c r="L1778" i="5"/>
  <c r="K1778" i="5"/>
  <c r="M1777" i="5"/>
  <c r="L1777" i="5"/>
  <c r="K1777" i="5"/>
  <c r="M1776" i="5"/>
  <c r="L1776" i="5"/>
  <c r="K1776" i="5"/>
  <c r="M1775" i="5"/>
  <c r="L1775" i="5"/>
  <c r="K1775" i="5"/>
  <c r="M1774" i="5"/>
  <c r="L1774" i="5"/>
  <c r="K1774" i="5"/>
  <c r="M1773" i="5"/>
  <c r="L1773" i="5"/>
  <c r="K1773" i="5"/>
  <c r="M1772" i="5"/>
  <c r="L1772" i="5"/>
  <c r="K1772" i="5"/>
  <c r="M1771" i="5"/>
  <c r="L1771" i="5"/>
  <c r="K1771" i="5"/>
  <c r="M1770" i="5"/>
  <c r="L1770" i="5"/>
  <c r="K1770" i="5"/>
  <c r="M1769" i="5"/>
  <c r="L1769" i="5"/>
  <c r="K1769" i="5"/>
  <c r="M1768" i="5"/>
  <c r="L1768" i="5"/>
  <c r="K1768" i="5"/>
  <c r="M1767" i="5"/>
  <c r="L1767" i="5"/>
  <c r="K1767" i="5"/>
  <c r="M1766" i="5"/>
  <c r="L1766" i="5"/>
  <c r="K1766" i="5"/>
  <c r="M1765" i="5"/>
  <c r="L1765" i="5"/>
  <c r="K1765" i="5"/>
  <c r="M1764" i="5"/>
  <c r="L1764" i="5"/>
  <c r="K1764" i="5"/>
  <c r="M1763" i="5"/>
  <c r="L1763" i="5"/>
  <c r="K1763" i="5"/>
  <c r="M1762" i="5"/>
  <c r="L1762" i="5"/>
  <c r="K1762" i="5"/>
  <c r="M1761" i="5"/>
  <c r="L1761" i="5"/>
  <c r="K1761" i="5"/>
  <c r="M1760" i="5"/>
  <c r="L1760" i="5"/>
  <c r="K1760" i="5"/>
  <c r="M1759" i="5"/>
  <c r="L1759" i="5"/>
  <c r="K1759" i="5"/>
  <c r="M1758" i="5"/>
  <c r="L1758" i="5"/>
  <c r="K1758" i="5"/>
  <c r="M1757" i="5"/>
  <c r="L1757" i="5"/>
  <c r="K1757" i="5"/>
  <c r="M1756" i="5"/>
  <c r="L1756" i="5"/>
  <c r="K1756" i="5"/>
  <c r="M1755" i="5"/>
  <c r="L1755" i="5"/>
  <c r="K1755" i="5"/>
  <c r="M1754" i="5"/>
  <c r="L1754" i="5"/>
  <c r="K1754" i="5"/>
  <c r="M1753" i="5"/>
  <c r="L1753" i="5"/>
  <c r="K1753" i="5"/>
  <c r="M1752" i="5"/>
  <c r="L1752" i="5"/>
  <c r="K1752" i="5"/>
  <c r="M1751" i="5"/>
  <c r="L1751" i="5"/>
  <c r="K1751" i="5"/>
  <c r="M1750" i="5"/>
  <c r="L1750" i="5"/>
  <c r="K1750" i="5"/>
  <c r="M1749" i="5"/>
  <c r="L1749" i="5"/>
  <c r="K1749" i="5"/>
  <c r="M1748" i="5"/>
  <c r="L1748" i="5"/>
  <c r="K1748" i="5"/>
  <c r="M1747" i="5"/>
  <c r="L1747" i="5"/>
  <c r="K1747" i="5"/>
  <c r="M1746" i="5"/>
  <c r="L1746" i="5"/>
  <c r="K1746" i="5"/>
  <c r="M1745" i="5"/>
  <c r="L1745" i="5"/>
  <c r="K1745" i="5"/>
  <c r="M1744" i="5"/>
  <c r="L1744" i="5"/>
  <c r="K1744" i="5"/>
  <c r="M1743" i="5"/>
  <c r="L1743" i="5"/>
  <c r="K1743" i="5"/>
  <c r="M1742" i="5"/>
  <c r="L1742" i="5"/>
  <c r="K1742" i="5"/>
  <c r="M1741" i="5"/>
  <c r="L1741" i="5"/>
  <c r="K1741" i="5"/>
  <c r="M1740" i="5"/>
  <c r="L1740" i="5"/>
  <c r="K1740" i="5"/>
  <c r="M1739" i="5"/>
  <c r="L1739" i="5"/>
  <c r="K1739" i="5"/>
  <c r="M1738" i="5"/>
  <c r="L1738" i="5"/>
  <c r="K1738" i="5"/>
  <c r="M1737" i="5"/>
  <c r="L1737" i="5"/>
  <c r="K1737" i="5"/>
  <c r="M1736" i="5"/>
  <c r="L1736" i="5"/>
  <c r="K1736" i="5"/>
  <c r="M1735" i="5"/>
  <c r="L1735" i="5"/>
  <c r="K1735" i="5"/>
  <c r="M1734" i="5"/>
  <c r="L1734" i="5"/>
  <c r="K1734" i="5"/>
  <c r="M1733" i="5"/>
  <c r="L1733" i="5"/>
  <c r="K1733" i="5"/>
  <c r="M1732" i="5"/>
  <c r="L1732" i="5"/>
  <c r="K1732" i="5"/>
  <c r="M1731" i="5"/>
  <c r="L1731" i="5"/>
  <c r="K1731" i="5"/>
  <c r="M1730" i="5"/>
  <c r="L1730" i="5"/>
  <c r="K1730" i="5"/>
  <c r="M1729" i="5"/>
  <c r="L1729" i="5"/>
  <c r="K1729" i="5"/>
  <c r="M1728" i="5"/>
  <c r="L1728" i="5"/>
  <c r="K1728" i="5"/>
  <c r="M1727" i="5"/>
  <c r="L1727" i="5"/>
  <c r="K1727" i="5"/>
  <c r="M1726" i="5"/>
  <c r="L1726" i="5"/>
  <c r="K1726" i="5"/>
  <c r="M1725" i="5"/>
  <c r="L1725" i="5"/>
  <c r="K1725" i="5"/>
  <c r="M1724" i="5"/>
  <c r="L1724" i="5"/>
  <c r="K1724" i="5"/>
  <c r="M1723" i="5"/>
  <c r="L1723" i="5"/>
  <c r="K1723" i="5"/>
  <c r="M1722" i="5"/>
  <c r="L1722" i="5"/>
  <c r="K1722" i="5"/>
  <c r="M1721" i="5"/>
  <c r="L1721" i="5"/>
  <c r="K1721" i="5"/>
  <c r="M1720" i="5"/>
  <c r="L1720" i="5"/>
  <c r="K1720" i="5"/>
  <c r="M1719" i="5"/>
  <c r="L1719" i="5"/>
  <c r="K1719" i="5"/>
  <c r="M1718" i="5"/>
  <c r="L1718" i="5"/>
  <c r="K1718" i="5"/>
  <c r="M1717" i="5"/>
  <c r="L1717" i="5"/>
  <c r="K1717" i="5"/>
  <c r="M1716" i="5"/>
  <c r="L1716" i="5"/>
  <c r="K1716" i="5"/>
  <c r="M1715" i="5"/>
  <c r="L1715" i="5"/>
  <c r="K1715" i="5"/>
  <c r="M1714" i="5"/>
  <c r="L1714" i="5"/>
  <c r="K1714" i="5"/>
  <c r="M1713" i="5"/>
  <c r="L1713" i="5"/>
  <c r="K1713" i="5"/>
  <c r="M1712" i="5"/>
  <c r="L1712" i="5"/>
  <c r="K1712" i="5"/>
  <c r="M1711" i="5"/>
  <c r="L1711" i="5"/>
  <c r="K1711" i="5"/>
  <c r="M1710" i="5"/>
  <c r="L1710" i="5"/>
  <c r="K1710" i="5"/>
  <c r="M1709" i="5"/>
  <c r="L1709" i="5"/>
  <c r="K1709" i="5"/>
  <c r="M1708" i="5"/>
  <c r="L1708" i="5"/>
  <c r="K1708" i="5"/>
  <c r="M1707" i="5"/>
  <c r="L1707" i="5"/>
  <c r="K1707" i="5"/>
  <c r="M1706" i="5"/>
  <c r="L1706" i="5"/>
  <c r="K1706" i="5"/>
  <c r="M1705" i="5"/>
  <c r="L1705" i="5"/>
  <c r="K1705" i="5"/>
  <c r="M1704" i="5"/>
  <c r="L1704" i="5"/>
  <c r="K1704" i="5"/>
  <c r="M1703" i="5"/>
  <c r="L1703" i="5"/>
  <c r="K1703" i="5"/>
  <c r="M1702" i="5"/>
  <c r="L1702" i="5"/>
  <c r="K1702" i="5"/>
  <c r="M1701" i="5"/>
  <c r="L1701" i="5"/>
  <c r="K1701" i="5"/>
  <c r="M1700" i="5"/>
  <c r="L1700" i="5"/>
  <c r="K1700" i="5"/>
  <c r="M1699" i="5"/>
  <c r="L1699" i="5"/>
  <c r="K1699" i="5"/>
  <c r="M1698" i="5"/>
  <c r="L1698" i="5"/>
  <c r="K1698" i="5"/>
  <c r="M1697" i="5"/>
  <c r="L1697" i="5"/>
  <c r="K1697" i="5"/>
  <c r="M1696" i="5"/>
  <c r="L1696" i="5"/>
  <c r="K1696" i="5"/>
  <c r="M1695" i="5"/>
  <c r="L1695" i="5"/>
  <c r="K1695" i="5"/>
  <c r="M1694" i="5"/>
  <c r="L1694" i="5"/>
  <c r="K1694" i="5"/>
  <c r="M1693" i="5"/>
  <c r="L1693" i="5"/>
  <c r="K1693" i="5"/>
  <c r="M1692" i="5"/>
  <c r="L1692" i="5"/>
  <c r="K1692" i="5"/>
  <c r="M1691" i="5"/>
  <c r="L1691" i="5"/>
  <c r="K1691" i="5"/>
  <c r="M1690" i="5"/>
  <c r="L1690" i="5"/>
  <c r="K1690" i="5"/>
  <c r="M1689" i="5"/>
  <c r="L1689" i="5"/>
  <c r="K1689" i="5"/>
  <c r="M1688" i="5"/>
  <c r="L1688" i="5"/>
  <c r="K1688" i="5"/>
  <c r="M1687" i="5"/>
  <c r="L1687" i="5"/>
  <c r="K1687" i="5"/>
  <c r="M1686" i="5"/>
  <c r="L1686" i="5"/>
  <c r="K1686" i="5"/>
  <c r="M1685" i="5"/>
  <c r="L1685" i="5"/>
  <c r="K1685" i="5"/>
  <c r="M1684" i="5"/>
  <c r="L1684" i="5"/>
  <c r="K1684" i="5"/>
  <c r="M1683" i="5"/>
  <c r="L1683" i="5"/>
  <c r="K1683" i="5"/>
  <c r="M1682" i="5"/>
  <c r="L1682" i="5"/>
  <c r="K1682" i="5"/>
  <c r="M1681" i="5"/>
  <c r="L1681" i="5"/>
  <c r="K1681" i="5"/>
  <c r="M1680" i="5"/>
  <c r="L1680" i="5"/>
  <c r="K1680" i="5"/>
  <c r="M1679" i="5"/>
  <c r="L1679" i="5"/>
  <c r="K1679" i="5"/>
  <c r="M1678" i="5"/>
  <c r="L1678" i="5"/>
  <c r="K1678" i="5"/>
  <c r="M1677" i="5"/>
  <c r="L1677" i="5"/>
  <c r="K1677" i="5"/>
  <c r="M1676" i="5"/>
  <c r="L1676" i="5"/>
  <c r="K1676" i="5"/>
  <c r="M1675" i="5"/>
  <c r="L1675" i="5"/>
  <c r="K1675" i="5"/>
  <c r="M1674" i="5"/>
  <c r="L1674" i="5"/>
  <c r="K1674" i="5"/>
  <c r="M1673" i="5"/>
  <c r="L1673" i="5"/>
  <c r="K1673" i="5"/>
  <c r="M1672" i="5"/>
  <c r="L1672" i="5"/>
  <c r="K1672" i="5"/>
  <c r="M1671" i="5"/>
  <c r="L1671" i="5"/>
  <c r="K1671" i="5"/>
  <c r="M1670" i="5"/>
  <c r="L1670" i="5"/>
  <c r="K1670" i="5"/>
  <c r="M1669" i="5"/>
  <c r="L1669" i="5"/>
  <c r="K1669" i="5"/>
  <c r="M1668" i="5"/>
  <c r="L1668" i="5"/>
  <c r="K1668" i="5"/>
  <c r="M1667" i="5"/>
  <c r="L1667" i="5"/>
  <c r="K1667" i="5"/>
  <c r="M1666" i="5"/>
  <c r="L1666" i="5"/>
  <c r="K1666" i="5"/>
  <c r="M1665" i="5"/>
  <c r="L1665" i="5"/>
  <c r="K1665" i="5"/>
  <c r="M1664" i="5"/>
  <c r="L1664" i="5"/>
  <c r="K1664" i="5"/>
  <c r="M1663" i="5"/>
  <c r="L1663" i="5"/>
  <c r="K1663" i="5"/>
  <c r="M1662" i="5"/>
  <c r="L1662" i="5"/>
  <c r="K1662" i="5"/>
  <c r="M1661" i="5"/>
  <c r="L1661" i="5"/>
  <c r="K1661" i="5"/>
  <c r="M1660" i="5"/>
  <c r="L1660" i="5"/>
  <c r="K1660" i="5"/>
  <c r="M1659" i="5"/>
  <c r="L1659" i="5"/>
  <c r="K1659" i="5"/>
  <c r="M1658" i="5"/>
  <c r="L1658" i="5"/>
  <c r="K1658" i="5"/>
  <c r="M1657" i="5"/>
  <c r="L1657" i="5"/>
  <c r="K1657" i="5"/>
  <c r="M1656" i="5"/>
  <c r="L1656" i="5"/>
  <c r="K1656" i="5"/>
  <c r="M1655" i="5"/>
  <c r="L1655" i="5"/>
  <c r="K1655" i="5"/>
  <c r="M1654" i="5"/>
  <c r="L1654" i="5"/>
  <c r="K1654" i="5"/>
  <c r="M1653" i="5"/>
  <c r="L1653" i="5"/>
  <c r="K1653" i="5"/>
  <c r="M1652" i="5"/>
  <c r="L1652" i="5"/>
  <c r="K1652" i="5"/>
  <c r="M1651" i="5"/>
  <c r="L1651" i="5"/>
  <c r="K1651" i="5"/>
  <c r="M1650" i="5"/>
  <c r="L1650" i="5"/>
  <c r="K1650" i="5"/>
  <c r="M1649" i="5"/>
  <c r="L1649" i="5"/>
  <c r="K1649" i="5"/>
  <c r="M1648" i="5"/>
  <c r="L1648" i="5"/>
  <c r="K1648" i="5"/>
  <c r="M1647" i="5"/>
  <c r="L1647" i="5"/>
  <c r="K1647" i="5"/>
  <c r="M1646" i="5"/>
  <c r="L1646" i="5"/>
  <c r="K1646" i="5"/>
  <c r="M1645" i="5"/>
  <c r="L1645" i="5"/>
  <c r="K1645" i="5"/>
  <c r="M1644" i="5"/>
  <c r="L1644" i="5"/>
  <c r="K1644" i="5"/>
  <c r="M1643" i="5"/>
  <c r="L1643" i="5"/>
  <c r="K1643" i="5"/>
  <c r="M1642" i="5"/>
  <c r="L1642" i="5"/>
  <c r="K1642" i="5"/>
  <c r="M1641" i="5"/>
  <c r="L1641" i="5"/>
  <c r="K1641" i="5"/>
  <c r="M1640" i="5"/>
  <c r="L1640" i="5"/>
  <c r="K1640" i="5"/>
  <c r="M1639" i="5"/>
  <c r="L1639" i="5"/>
  <c r="K1639" i="5"/>
  <c r="M1638" i="5"/>
  <c r="L1638" i="5"/>
  <c r="K1638" i="5"/>
  <c r="M1637" i="5"/>
  <c r="L1637" i="5"/>
  <c r="K1637" i="5"/>
  <c r="M1636" i="5"/>
  <c r="L1636" i="5"/>
  <c r="K1636" i="5"/>
  <c r="M1635" i="5"/>
  <c r="L1635" i="5"/>
  <c r="K1635" i="5"/>
  <c r="M1634" i="5"/>
  <c r="L1634" i="5"/>
  <c r="K1634" i="5"/>
  <c r="M1633" i="5"/>
  <c r="L1633" i="5"/>
  <c r="K1633" i="5"/>
  <c r="M1632" i="5"/>
  <c r="L1632" i="5"/>
  <c r="K1632" i="5"/>
  <c r="M1631" i="5"/>
  <c r="L1631" i="5"/>
  <c r="K1631" i="5"/>
  <c r="M1630" i="5"/>
  <c r="L1630" i="5"/>
  <c r="K1630" i="5"/>
  <c r="M1629" i="5"/>
  <c r="L1629" i="5"/>
  <c r="K1629" i="5"/>
  <c r="M1628" i="5"/>
  <c r="L1628" i="5"/>
  <c r="K1628" i="5"/>
  <c r="M1627" i="5"/>
  <c r="L1627" i="5"/>
  <c r="K1627" i="5"/>
  <c r="M1626" i="5"/>
  <c r="L1626" i="5"/>
  <c r="K1626" i="5"/>
  <c r="M1625" i="5"/>
  <c r="L1625" i="5"/>
  <c r="K1625" i="5"/>
  <c r="M1624" i="5"/>
  <c r="L1624" i="5"/>
  <c r="K1624" i="5"/>
  <c r="M1623" i="5"/>
  <c r="L1623" i="5"/>
  <c r="K1623" i="5"/>
  <c r="M1622" i="5"/>
  <c r="L1622" i="5"/>
  <c r="K1622" i="5"/>
  <c r="M1621" i="5"/>
  <c r="L1621" i="5"/>
  <c r="K1621" i="5"/>
  <c r="M1620" i="5"/>
  <c r="L1620" i="5"/>
  <c r="K1620" i="5"/>
  <c r="M1619" i="5"/>
  <c r="L1619" i="5"/>
  <c r="K1619" i="5"/>
  <c r="M1618" i="5"/>
  <c r="L1618" i="5"/>
  <c r="K1618" i="5"/>
  <c r="M1617" i="5"/>
  <c r="L1617" i="5"/>
  <c r="K1617" i="5"/>
  <c r="M1616" i="5"/>
  <c r="L1616" i="5"/>
  <c r="K1616" i="5"/>
  <c r="M1615" i="5"/>
  <c r="L1615" i="5"/>
  <c r="K1615" i="5"/>
  <c r="M1614" i="5"/>
  <c r="L1614" i="5"/>
  <c r="K1614" i="5"/>
  <c r="M1613" i="5"/>
  <c r="L1613" i="5"/>
  <c r="K1613" i="5"/>
  <c r="M1612" i="5"/>
  <c r="L1612" i="5"/>
  <c r="K1612" i="5"/>
  <c r="M1611" i="5"/>
  <c r="L1611" i="5"/>
  <c r="K1611" i="5"/>
  <c r="M1610" i="5"/>
  <c r="L1610" i="5"/>
  <c r="K1610" i="5"/>
  <c r="M1609" i="5"/>
  <c r="L1609" i="5"/>
  <c r="K1609" i="5"/>
  <c r="M1608" i="5"/>
  <c r="L1608" i="5"/>
  <c r="K1608" i="5"/>
  <c r="M1607" i="5"/>
  <c r="L1607" i="5"/>
  <c r="K1607" i="5"/>
  <c r="M1606" i="5"/>
  <c r="L1606" i="5"/>
  <c r="K1606" i="5"/>
  <c r="M1605" i="5"/>
  <c r="L1605" i="5"/>
  <c r="K1605" i="5"/>
  <c r="M1604" i="5"/>
  <c r="L1604" i="5"/>
  <c r="K1604" i="5"/>
  <c r="M1603" i="5"/>
  <c r="L1603" i="5"/>
  <c r="K1603" i="5"/>
  <c r="M1602" i="5"/>
  <c r="L1602" i="5"/>
  <c r="K1602" i="5"/>
  <c r="M1601" i="5"/>
  <c r="L1601" i="5"/>
  <c r="K1601" i="5"/>
  <c r="M1600" i="5"/>
  <c r="L1600" i="5"/>
  <c r="K1600" i="5"/>
  <c r="M1599" i="5"/>
  <c r="L1599" i="5"/>
  <c r="K1599" i="5"/>
  <c r="M1598" i="5"/>
  <c r="L1598" i="5"/>
  <c r="K1598" i="5"/>
  <c r="M1597" i="5"/>
  <c r="L1597" i="5"/>
  <c r="K1597" i="5"/>
  <c r="M1596" i="5"/>
  <c r="L1596" i="5"/>
  <c r="K1596" i="5"/>
  <c r="M1595" i="5"/>
  <c r="L1595" i="5"/>
  <c r="K1595" i="5"/>
  <c r="M1594" i="5"/>
  <c r="L1594" i="5"/>
  <c r="K1594" i="5"/>
  <c r="M1593" i="5"/>
  <c r="L1593" i="5"/>
  <c r="K1593" i="5"/>
  <c r="M1592" i="5"/>
  <c r="L1592" i="5"/>
  <c r="K1592" i="5"/>
  <c r="M1591" i="5"/>
  <c r="L1591" i="5"/>
  <c r="K1591" i="5"/>
  <c r="M1590" i="5"/>
  <c r="L1590" i="5"/>
  <c r="K1590" i="5"/>
  <c r="M1589" i="5"/>
  <c r="L1589" i="5"/>
  <c r="K1589" i="5"/>
  <c r="M1588" i="5"/>
  <c r="L1588" i="5"/>
  <c r="K1588" i="5"/>
  <c r="M1587" i="5"/>
  <c r="L1587" i="5"/>
  <c r="K1587" i="5"/>
  <c r="M1586" i="5"/>
  <c r="L1586" i="5"/>
  <c r="K1586" i="5"/>
  <c r="M1585" i="5"/>
  <c r="L1585" i="5"/>
  <c r="K1585" i="5"/>
  <c r="M1584" i="5"/>
  <c r="L1584" i="5"/>
  <c r="K1584" i="5"/>
  <c r="M1583" i="5"/>
  <c r="L1583" i="5"/>
  <c r="K1583" i="5"/>
  <c r="M1582" i="5"/>
  <c r="L1582" i="5"/>
  <c r="K1582" i="5"/>
  <c r="M1581" i="5"/>
  <c r="L1581" i="5"/>
  <c r="K1581" i="5"/>
  <c r="M1580" i="5"/>
  <c r="L1580" i="5"/>
  <c r="K1580" i="5"/>
  <c r="M1579" i="5"/>
  <c r="L1579" i="5"/>
  <c r="K1579" i="5"/>
  <c r="M1578" i="5"/>
  <c r="L1578" i="5"/>
  <c r="K1578" i="5"/>
  <c r="M1577" i="5"/>
  <c r="L1577" i="5"/>
  <c r="K1577" i="5"/>
  <c r="M1576" i="5"/>
  <c r="L1576" i="5"/>
  <c r="K1576" i="5"/>
  <c r="M1575" i="5"/>
  <c r="L1575" i="5"/>
  <c r="K1575" i="5"/>
  <c r="M1574" i="5"/>
  <c r="L1574" i="5"/>
  <c r="K1574" i="5"/>
  <c r="M1573" i="5"/>
  <c r="L1573" i="5"/>
  <c r="K1573" i="5"/>
  <c r="M1572" i="5"/>
  <c r="L1572" i="5"/>
  <c r="K1572" i="5"/>
  <c r="M1571" i="5"/>
  <c r="L1571" i="5"/>
  <c r="K1571" i="5"/>
  <c r="M1570" i="5"/>
  <c r="L1570" i="5"/>
  <c r="K1570" i="5"/>
  <c r="M1569" i="5"/>
  <c r="L1569" i="5"/>
  <c r="K1569" i="5"/>
  <c r="M1568" i="5"/>
  <c r="L1568" i="5"/>
  <c r="K1568" i="5"/>
  <c r="M1567" i="5"/>
  <c r="L1567" i="5"/>
  <c r="K1567" i="5"/>
  <c r="M1566" i="5"/>
  <c r="L1566" i="5"/>
  <c r="K1566" i="5"/>
  <c r="M1565" i="5"/>
  <c r="L1565" i="5"/>
  <c r="K1565" i="5"/>
  <c r="M1564" i="5"/>
  <c r="L1564" i="5"/>
  <c r="K1564" i="5"/>
  <c r="M1563" i="5"/>
  <c r="L1563" i="5"/>
  <c r="K1563" i="5"/>
  <c r="M1562" i="5"/>
  <c r="L1562" i="5"/>
  <c r="K1562" i="5"/>
  <c r="M1561" i="5"/>
  <c r="L1561" i="5"/>
  <c r="K1561" i="5"/>
  <c r="M1560" i="5"/>
  <c r="L1560" i="5"/>
  <c r="K1560" i="5"/>
  <c r="M1559" i="5"/>
  <c r="L1559" i="5"/>
  <c r="K1559" i="5"/>
  <c r="M1558" i="5"/>
  <c r="L1558" i="5"/>
  <c r="K1558" i="5"/>
  <c r="M1557" i="5"/>
  <c r="L1557" i="5"/>
  <c r="K1557" i="5"/>
  <c r="M1556" i="5"/>
  <c r="L1556" i="5"/>
  <c r="K1556" i="5"/>
  <c r="M1555" i="5"/>
  <c r="L1555" i="5"/>
  <c r="K1555" i="5"/>
  <c r="M1554" i="5"/>
  <c r="L1554" i="5"/>
  <c r="K1554" i="5"/>
  <c r="M1553" i="5"/>
  <c r="L1553" i="5"/>
  <c r="K1553" i="5"/>
  <c r="M1552" i="5"/>
  <c r="L1552" i="5"/>
  <c r="K1552" i="5"/>
  <c r="M1551" i="5"/>
  <c r="L1551" i="5"/>
  <c r="K1551" i="5"/>
  <c r="M1550" i="5"/>
  <c r="L1550" i="5"/>
  <c r="K1550" i="5"/>
  <c r="M1549" i="5"/>
  <c r="L1549" i="5"/>
  <c r="K1549" i="5"/>
  <c r="M1548" i="5"/>
  <c r="L1548" i="5"/>
  <c r="K1548" i="5"/>
  <c r="M1547" i="5"/>
  <c r="L1547" i="5"/>
  <c r="K1547" i="5"/>
  <c r="M1546" i="5"/>
  <c r="L1546" i="5"/>
  <c r="K1546" i="5"/>
  <c r="M1545" i="5"/>
  <c r="L1545" i="5"/>
  <c r="K1545" i="5"/>
  <c r="M1544" i="5"/>
  <c r="L1544" i="5"/>
  <c r="K1544" i="5"/>
  <c r="M1543" i="5"/>
  <c r="L1543" i="5"/>
  <c r="K1543" i="5"/>
  <c r="M1542" i="5"/>
  <c r="L1542" i="5"/>
  <c r="K1542" i="5"/>
  <c r="M1541" i="5"/>
  <c r="L1541" i="5"/>
  <c r="K1541" i="5"/>
  <c r="M1540" i="5"/>
  <c r="L1540" i="5"/>
  <c r="K1540" i="5"/>
  <c r="M1539" i="5"/>
  <c r="L1539" i="5"/>
  <c r="K1539" i="5"/>
  <c r="M1538" i="5"/>
  <c r="L1538" i="5"/>
  <c r="K1538" i="5"/>
  <c r="M1537" i="5"/>
  <c r="L1537" i="5"/>
  <c r="K1537" i="5"/>
  <c r="M1536" i="5"/>
  <c r="L1536" i="5"/>
  <c r="K1536" i="5"/>
  <c r="M1535" i="5"/>
  <c r="L1535" i="5"/>
  <c r="K1535" i="5"/>
  <c r="M1534" i="5"/>
  <c r="L1534" i="5"/>
  <c r="K1534" i="5"/>
  <c r="M1533" i="5"/>
  <c r="L1533" i="5"/>
  <c r="K1533" i="5"/>
  <c r="M1532" i="5"/>
  <c r="L1532" i="5"/>
  <c r="K1532" i="5"/>
  <c r="M1531" i="5"/>
  <c r="L1531" i="5"/>
  <c r="K1531" i="5"/>
  <c r="M1530" i="5"/>
  <c r="L1530" i="5"/>
  <c r="K1530" i="5"/>
  <c r="M1529" i="5"/>
  <c r="L1529" i="5"/>
  <c r="K1529" i="5"/>
  <c r="M1528" i="5"/>
  <c r="L1528" i="5"/>
  <c r="K1528" i="5"/>
  <c r="M1527" i="5"/>
  <c r="L1527" i="5"/>
  <c r="K1527" i="5"/>
  <c r="M1526" i="5"/>
  <c r="L1526" i="5"/>
  <c r="K1526" i="5"/>
  <c r="M1525" i="5"/>
  <c r="L1525" i="5"/>
  <c r="K1525" i="5"/>
  <c r="M1524" i="5"/>
  <c r="L1524" i="5"/>
  <c r="K1524" i="5"/>
  <c r="M1523" i="5"/>
  <c r="L1523" i="5"/>
  <c r="K1523" i="5"/>
  <c r="M1522" i="5"/>
  <c r="L1522" i="5"/>
  <c r="K1522" i="5"/>
  <c r="M1521" i="5"/>
  <c r="L1521" i="5"/>
  <c r="K1521" i="5"/>
  <c r="M1520" i="5"/>
  <c r="L1520" i="5"/>
  <c r="K1520" i="5"/>
  <c r="M1519" i="5"/>
  <c r="L1519" i="5"/>
  <c r="K1519" i="5"/>
  <c r="M1518" i="5"/>
  <c r="L1518" i="5"/>
  <c r="K1518" i="5"/>
  <c r="M1517" i="5"/>
  <c r="L1517" i="5"/>
  <c r="K1517" i="5"/>
  <c r="M1516" i="5"/>
  <c r="L1516" i="5"/>
  <c r="K1516" i="5"/>
  <c r="M1515" i="5"/>
  <c r="L1515" i="5"/>
  <c r="K1515" i="5"/>
  <c r="M1514" i="5"/>
  <c r="L1514" i="5"/>
  <c r="K1514" i="5"/>
  <c r="M1513" i="5"/>
  <c r="L1513" i="5"/>
  <c r="K1513" i="5"/>
  <c r="M1512" i="5"/>
  <c r="L1512" i="5"/>
  <c r="K1512" i="5"/>
  <c r="M1511" i="5"/>
  <c r="L1511" i="5"/>
  <c r="K1511" i="5"/>
  <c r="M1510" i="5"/>
  <c r="L1510" i="5"/>
  <c r="K1510" i="5"/>
  <c r="M1509" i="5"/>
  <c r="L1509" i="5"/>
  <c r="K1509" i="5"/>
  <c r="M1508" i="5"/>
  <c r="L1508" i="5"/>
  <c r="K1508" i="5"/>
  <c r="M1507" i="5"/>
  <c r="L1507" i="5"/>
  <c r="K1507" i="5"/>
  <c r="M1506" i="5"/>
  <c r="L1506" i="5"/>
  <c r="K1506" i="5"/>
  <c r="M1505" i="5"/>
  <c r="L1505" i="5"/>
  <c r="K1505" i="5"/>
  <c r="M1504" i="5"/>
  <c r="L1504" i="5"/>
  <c r="K1504" i="5"/>
  <c r="M1503" i="5"/>
  <c r="L1503" i="5"/>
  <c r="K1503" i="5"/>
  <c r="M1502" i="5"/>
  <c r="L1502" i="5"/>
  <c r="K1502" i="5"/>
  <c r="M1501" i="5"/>
  <c r="L1501" i="5"/>
  <c r="K1501" i="5"/>
  <c r="M1500" i="5"/>
  <c r="L1500" i="5"/>
  <c r="K1500" i="5"/>
  <c r="M1499" i="5"/>
  <c r="L1499" i="5"/>
  <c r="K1499" i="5"/>
  <c r="M1498" i="5"/>
  <c r="L1498" i="5"/>
  <c r="K1498" i="5"/>
  <c r="M1497" i="5"/>
  <c r="L1497" i="5"/>
  <c r="K1497" i="5"/>
  <c r="M1496" i="5"/>
  <c r="L1496" i="5"/>
  <c r="K1496" i="5"/>
  <c r="M1495" i="5"/>
  <c r="L1495" i="5"/>
  <c r="K1495" i="5"/>
  <c r="M1494" i="5"/>
  <c r="L1494" i="5"/>
  <c r="K1494" i="5"/>
  <c r="M1493" i="5"/>
  <c r="L1493" i="5"/>
  <c r="K1493" i="5"/>
  <c r="M1492" i="5"/>
  <c r="L1492" i="5"/>
  <c r="K1492" i="5"/>
  <c r="M1491" i="5"/>
  <c r="L1491" i="5"/>
  <c r="K1491" i="5"/>
  <c r="M1490" i="5"/>
  <c r="L1490" i="5"/>
  <c r="K1490" i="5"/>
  <c r="M1489" i="5"/>
  <c r="L1489" i="5"/>
  <c r="K1489" i="5"/>
  <c r="M1488" i="5"/>
  <c r="L1488" i="5"/>
  <c r="K1488" i="5"/>
  <c r="M1487" i="5"/>
  <c r="L1487" i="5"/>
  <c r="K1487" i="5"/>
  <c r="M1486" i="5"/>
  <c r="L1486" i="5"/>
  <c r="K1486" i="5"/>
  <c r="M1485" i="5"/>
  <c r="L1485" i="5"/>
  <c r="K1485" i="5"/>
  <c r="M1484" i="5"/>
  <c r="L1484" i="5"/>
  <c r="K1484" i="5"/>
  <c r="M1483" i="5"/>
  <c r="L1483" i="5"/>
  <c r="K1483" i="5"/>
  <c r="M1482" i="5"/>
  <c r="L1482" i="5"/>
  <c r="K1482" i="5"/>
  <c r="M1481" i="5"/>
  <c r="L1481" i="5"/>
  <c r="K1481" i="5"/>
  <c r="M1480" i="5"/>
  <c r="L1480" i="5"/>
  <c r="K1480" i="5"/>
  <c r="M1479" i="5"/>
  <c r="L1479" i="5"/>
  <c r="K1479" i="5"/>
  <c r="M1478" i="5"/>
  <c r="L1478" i="5"/>
  <c r="K1478" i="5"/>
  <c r="M1477" i="5"/>
  <c r="L1477" i="5"/>
  <c r="K1477" i="5"/>
  <c r="M1476" i="5"/>
  <c r="L1476" i="5"/>
  <c r="K1476" i="5"/>
  <c r="M1475" i="5"/>
  <c r="L1475" i="5"/>
  <c r="K1475" i="5"/>
  <c r="M1474" i="5"/>
  <c r="L1474" i="5"/>
  <c r="K1474" i="5"/>
  <c r="M1473" i="5"/>
  <c r="L1473" i="5"/>
  <c r="K1473" i="5"/>
  <c r="M1472" i="5"/>
  <c r="L1472" i="5"/>
  <c r="K1472" i="5"/>
  <c r="M1471" i="5"/>
  <c r="L1471" i="5"/>
  <c r="K1471" i="5"/>
  <c r="M1470" i="5"/>
  <c r="L1470" i="5"/>
  <c r="K1470" i="5"/>
  <c r="M1469" i="5"/>
  <c r="L1469" i="5"/>
  <c r="K1469" i="5"/>
  <c r="M1468" i="5"/>
  <c r="L1468" i="5"/>
  <c r="K1468" i="5"/>
  <c r="M1467" i="5"/>
  <c r="L1467" i="5"/>
  <c r="K1467" i="5"/>
  <c r="M1466" i="5"/>
  <c r="L1466" i="5"/>
  <c r="K1466" i="5"/>
  <c r="M1465" i="5"/>
  <c r="L1465" i="5"/>
  <c r="K1465" i="5"/>
  <c r="M1464" i="5"/>
  <c r="L1464" i="5"/>
  <c r="K1464" i="5"/>
  <c r="M1463" i="5"/>
  <c r="L1463" i="5"/>
  <c r="K1463" i="5"/>
  <c r="M1462" i="5"/>
  <c r="L1462" i="5"/>
  <c r="K1462" i="5"/>
  <c r="M1461" i="5"/>
  <c r="L1461" i="5"/>
  <c r="K1461" i="5"/>
  <c r="M1460" i="5"/>
  <c r="L1460" i="5"/>
  <c r="K1460" i="5"/>
  <c r="M1459" i="5"/>
  <c r="L1459" i="5"/>
  <c r="K1459" i="5"/>
  <c r="M1458" i="5"/>
  <c r="L1458" i="5"/>
  <c r="K1458" i="5"/>
  <c r="M1457" i="5"/>
  <c r="L1457" i="5"/>
  <c r="K1457" i="5"/>
  <c r="M1456" i="5"/>
  <c r="L1456" i="5"/>
  <c r="K1456" i="5"/>
  <c r="M1455" i="5"/>
  <c r="L1455" i="5"/>
  <c r="K1455" i="5"/>
  <c r="M1454" i="5"/>
  <c r="L1454" i="5"/>
  <c r="K1454" i="5"/>
  <c r="M1453" i="5"/>
  <c r="L1453" i="5"/>
  <c r="K1453" i="5"/>
  <c r="M1452" i="5"/>
  <c r="L1452" i="5"/>
  <c r="K1452" i="5"/>
  <c r="M1451" i="5"/>
  <c r="L1451" i="5"/>
  <c r="K1451" i="5"/>
  <c r="M1450" i="5"/>
  <c r="L1450" i="5"/>
  <c r="K1450" i="5"/>
  <c r="M1449" i="5"/>
  <c r="L1449" i="5"/>
  <c r="K1449" i="5"/>
  <c r="M1448" i="5"/>
  <c r="L1448" i="5"/>
  <c r="K1448" i="5"/>
  <c r="M1447" i="5"/>
  <c r="L1447" i="5"/>
  <c r="K1447" i="5"/>
  <c r="M1446" i="5"/>
  <c r="L1446" i="5"/>
  <c r="K1446" i="5"/>
  <c r="M1445" i="5"/>
  <c r="L1445" i="5"/>
  <c r="K1445" i="5"/>
  <c r="M1444" i="5"/>
  <c r="L1444" i="5"/>
  <c r="K1444" i="5"/>
  <c r="M1443" i="5"/>
  <c r="L1443" i="5"/>
  <c r="K1443" i="5"/>
  <c r="M1442" i="5"/>
  <c r="L1442" i="5"/>
  <c r="K1442" i="5"/>
  <c r="M1441" i="5"/>
  <c r="L1441" i="5"/>
  <c r="K1441" i="5"/>
  <c r="M1440" i="5"/>
  <c r="L1440" i="5"/>
  <c r="K1440" i="5"/>
  <c r="M1439" i="5"/>
  <c r="L1439" i="5"/>
  <c r="K1439" i="5"/>
  <c r="M1438" i="5"/>
  <c r="L1438" i="5"/>
  <c r="K1438" i="5"/>
  <c r="M1437" i="5"/>
  <c r="L1437" i="5"/>
  <c r="K1437" i="5"/>
  <c r="M1436" i="5"/>
  <c r="L1436" i="5"/>
  <c r="K1436" i="5"/>
  <c r="M1435" i="5"/>
  <c r="L1435" i="5"/>
  <c r="K1435" i="5"/>
  <c r="M1434" i="5"/>
  <c r="L1434" i="5"/>
  <c r="K1434" i="5"/>
  <c r="M1433" i="5"/>
  <c r="L1433" i="5"/>
  <c r="K1433" i="5"/>
  <c r="M1432" i="5"/>
  <c r="L1432" i="5"/>
  <c r="K1432" i="5"/>
  <c r="M1431" i="5"/>
  <c r="L1431" i="5"/>
  <c r="K1431" i="5"/>
  <c r="M1430" i="5"/>
  <c r="L1430" i="5"/>
  <c r="K1430" i="5"/>
  <c r="M1429" i="5"/>
  <c r="L1429" i="5"/>
  <c r="K1429" i="5"/>
  <c r="M1428" i="5"/>
  <c r="L1428" i="5"/>
  <c r="K1428" i="5"/>
  <c r="M1427" i="5"/>
  <c r="L1427" i="5"/>
  <c r="K1427" i="5"/>
  <c r="M1426" i="5"/>
  <c r="L1426" i="5"/>
  <c r="K1426" i="5"/>
  <c r="M1425" i="5"/>
  <c r="L1425" i="5"/>
  <c r="K1425" i="5"/>
  <c r="M1424" i="5"/>
  <c r="L1424" i="5"/>
  <c r="K1424" i="5"/>
  <c r="M1423" i="5"/>
  <c r="L1423" i="5"/>
  <c r="K1423" i="5"/>
  <c r="M1422" i="5"/>
  <c r="L1422" i="5"/>
  <c r="K1422" i="5"/>
  <c r="M1421" i="5"/>
  <c r="L1421" i="5"/>
  <c r="K1421" i="5"/>
  <c r="M1420" i="5"/>
  <c r="L1420" i="5"/>
  <c r="K1420" i="5"/>
  <c r="M1419" i="5"/>
  <c r="L1419" i="5"/>
  <c r="K1419" i="5"/>
  <c r="M1418" i="5"/>
  <c r="L1418" i="5"/>
  <c r="K1418" i="5"/>
  <c r="M1417" i="5"/>
  <c r="L1417" i="5"/>
  <c r="K1417" i="5"/>
  <c r="M1416" i="5"/>
  <c r="L1416" i="5"/>
  <c r="K1416" i="5"/>
  <c r="M1415" i="5"/>
  <c r="L1415" i="5"/>
  <c r="K1415" i="5"/>
  <c r="M1414" i="5"/>
  <c r="L1414" i="5"/>
  <c r="K1414" i="5"/>
  <c r="M1413" i="5"/>
  <c r="L1413" i="5"/>
  <c r="K1413" i="5"/>
  <c r="M1412" i="5"/>
  <c r="L1412" i="5"/>
  <c r="K1412" i="5"/>
  <c r="M1411" i="5"/>
  <c r="L1411" i="5"/>
  <c r="K1411" i="5"/>
  <c r="M1410" i="5"/>
  <c r="L1410" i="5"/>
  <c r="K1410" i="5"/>
  <c r="M1409" i="5"/>
  <c r="L1409" i="5"/>
  <c r="K1409" i="5"/>
  <c r="M1408" i="5"/>
  <c r="L1408" i="5"/>
  <c r="K1408" i="5"/>
  <c r="M1407" i="5"/>
  <c r="L1407" i="5"/>
  <c r="K1407" i="5"/>
  <c r="M1406" i="5"/>
  <c r="L1406" i="5"/>
  <c r="K1406" i="5"/>
  <c r="M1405" i="5"/>
  <c r="L1405" i="5"/>
  <c r="K1405" i="5"/>
  <c r="M1404" i="5"/>
  <c r="L1404" i="5"/>
  <c r="K1404" i="5"/>
  <c r="M1403" i="5"/>
  <c r="L1403" i="5"/>
  <c r="K1403" i="5"/>
  <c r="M1402" i="5"/>
  <c r="L1402" i="5"/>
  <c r="K1402" i="5"/>
  <c r="M1401" i="5"/>
  <c r="L1401" i="5"/>
  <c r="K1401" i="5"/>
  <c r="M1400" i="5"/>
  <c r="L1400" i="5"/>
  <c r="K1400" i="5"/>
  <c r="M1399" i="5"/>
  <c r="L1399" i="5"/>
  <c r="K1399" i="5"/>
  <c r="M1398" i="5"/>
  <c r="L1398" i="5"/>
  <c r="K1398" i="5"/>
  <c r="M1397" i="5"/>
  <c r="L1397" i="5"/>
  <c r="K1397" i="5"/>
  <c r="M1396" i="5"/>
  <c r="L1396" i="5"/>
  <c r="K1396" i="5"/>
  <c r="M1395" i="5"/>
  <c r="L1395" i="5"/>
  <c r="K1395" i="5"/>
  <c r="M1394" i="5"/>
  <c r="L1394" i="5"/>
  <c r="K1394" i="5"/>
  <c r="M1393" i="5"/>
  <c r="L1393" i="5"/>
  <c r="K1393" i="5"/>
  <c r="M1392" i="5"/>
  <c r="L1392" i="5"/>
  <c r="K1392" i="5"/>
  <c r="M1391" i="5"/>
  <c r="L1391" i="5"/>
  <c r="K1391" i="5"/>
  <c r="M1390" i="5"/>
  <c r="L1390" i="5"/>
  <c r="K1390" i="5"/>
  <c r="M1389" i="5"/>
  <c r="L1389" i="5"/>
  <c r="K1389" i="5"/>
  <c r="M1388" i="5"/>
  <c r="L1388" i="5"/>
  <c r="K1388" i="5"/>
  <c r="M1387" i="5"/>
  <c r="L1387" i="5"/>
  <c r="K1387" i="5"/>
  <c r="M1386" i="5"/>
  <c r="L1386" i="5"/>
  <c r="K1386" i="5"/>
  <c r="M1385" i="5"/>
  <c r="L1385" i="5"/>
  <c r="K1385" i="5"/>
  <c r="M1384" i="5"/>
  <c r="L1384" i="5"/>
  <c r="K1384" i="5"/>
  <c r="M1383" i="5"/>
  <c r="L1383" i="5"/>
  <c r="K1383" i="5"/>
  <c r="M1382" i="5"/>
  <c r="L1382" i="5"/>
  <c r="K1382" i="5"/>
  <c r="M1381" i="5"/>
  <c r="L1381" i="5"/>
  <c r="K1381" i="5"/>
  <c r="M1380" i="5"/>
  <c r="L1380" i="5"/>
  <c r="K1380" i="5"/>
  <c r="M1379" i="5"/>
  <c r="L1379" i="5"/>
  <c r="K1379" i="5"/>
  <c r="M1378" i="5"/>
  <c r="L1378" i="5"/>
  <c r="K1378" i="5"/>
  <c r="M1377" i="5"/>
  <c r="L1377" i="5"/>
  <c r="K1377" i="5"/>
  <c r="M1376" i="5"/>
  <c r="L1376" i="5"/>
  <c r="K1376" i="5"/>
  <c r="M1375" i="5"/>
  <c r="L1375" i="5"/>
  <c r="K1375" i="5"/>
  <c r="M1374" i="5"/>
  <c r="L1374" i="5"/>
  <c r="K1374" i="5"/>
  <c r="M1373" i="5"/>
  <c r="L1373" i="5"/>
  <c r="K1373" i="5"/>
  <c r="M1372" i="5"/>
  <c r="L1372" i="5"/>
  <c r="K1372" i="5"/>
  <c r="M1371" i="5"/>
  <c r="L1371" i="5"/>
  <c r="K1371" i="5"/>
  <c r="M1370" i="5"/>
  <c r="L1370" i="5"/>
  <c r="K1370" i="5"/>
  <c r="M1369" i="5"/>
  <c r="L1369" i="5"/>
  <c r="K1369" i="5"/>
  <c r="M1368" i="5"/>
  <c r="L1368" i="5"/>
  <c r="K1368" i="5"/>
  <c r="M1367" i="5"/>
  <c r="L1367" i="5"/>
  <c r="K1367" i="5"/>
  <c r="M1366" i="5"/>
  <c r="L1366" i="5"/>
  <c r="K1366" i="5"/>
  <c r="M1365" i="5"/>
  <c r="L1365" i="5"/>
  <c r="K1365" i="5"/>
  <c r="M1364" i="5"/>
  <c r="L1364" i="5"/>
  <c r="K1364" i="5"/>
  <c r="M1363" i="5"/>
  <c r="L1363" i="5"/>
  <c r="K1363" i="5"/>
  <c r="M1362" i="5"/>
  <c r="L1362" i="5"/>
  <c r="K1362" i="5"/>
  <c r="M1361" i="5"/>
  <c r="L1361" i="5"/>
  <c r="K1361" i="5"/>
  <c r="M1360" i="5"/>
  <c r="L1360" i="5"/>
  <c r="K1360" i="5"/>
  <c r="M1359" i="5"/>
  <c r="L1359" i="5"/>
  <c r="K1359" i="5"/>
  <c r="M1358" i="5"/>
  <c r="L1358" i="5"/>
  <c r="K1358" i="5"/>
  <c r="M1357" i="5"/>
  <c r="L1357" i="5"/>
  <c r="K1357" i="5"/>
  <c r="M1356" i="5"/>
  <c r="L1356" i="5"/>
  <c r="K1356" i="5"/>
  <c r="M1355" i="5"/>
  <c r="L1355" i="5"/>
  <c r="K1355" i="5"/>
  <c r="M1354" i="5"/>
  <c r="L1354" i="5"/>
  <c r="K1354" i="5"/>
  <c r="M1353" i="5"/>
  <c r="L1353" i="5"/>
  <c r="K1353" i="5"/>
  <c r="M1352" i="5"/>
  <c r="L1352" i="5"/>
  <c r="K1352" i="5"/>
  <c r="M1351" i="5"/>
  <c r="L1351" i="5"/>
  <c r="K1351" i="5"/>
  <c r="M1350" i="5"/>
  <c r="L1350" i="5"/>
  <c r="K1350" i="5"/>
  <c r="M1349" i="5"/>
  <c r="L1349" i="5"/>
  <c r="K1349" i="5"/>
  <c r="M1348" i="5"/>
  <c r="L1348" i="5"/>
  <c r="K1348" i="5"/>
  <c r="M1347" i="5"/>
  <c r="L1347" i="5"/>
  <c r="K1347" i="5"/>
  <c r="M1346" i="5"/>
  <c r="L1346" i="5"/>
  <c r="K1346" i="5"/>
  <c r="M1345" i="5"/>
  <c r="L1345" i="5"/>
  <c r="K1345" i="5"/>
  <c r="M1344" i="5"/>
  <c r="L1344" i="5"/>
  <c r="K1344" i="5"/>
  <c r="M1343" i="5"/>
  <c r="L1343" i="5"/>
  <c r="K1343" i="5"/>
  <c r="M1342" i="5"/>
  <c r="L1342" i="5"/>
  <c r="K1342" i="5"/>
  <c r="M1341" i="5"/>
  <c r="L1341" i="5"/>
  <c r="K1341" i="5"/>
  <c r="M1340" i="5"/>
  <c r="L1340" i="5"/>
  <c r="K1340" i="5"/>
  <c r="M1339" i="5"/>
  <c r="L1339" i="5"/>
  <c r="K1339" i="5"/>
  <c r="M1338" i="5"/>
  <c r="L1338" i="5"/>
  <c r="K1338" i="5"/>
  <c r="M1337" i="5"/>
  <c r="L1337" i="5"/>
  <c r="K1337" i="5"/>
  <c r="M1336" i="5"/>
  <c r="L1336" i="5"/>
  <c r="K1336" i="5"/>
  <c r="M1335" i="5"/>
  <c r="L1335" i="5"/>
  <c r="K1335" i="5"/>
  <c r="M1334" i="5"/>
  <c r="L1334" i="5"/>
  <c r="K1334" i="5"/>
  <c r="M1333" i="5"/>
  <c r="L1333" i="5"/>
  <c r="K1333" i="5"/>
  <c r="M1332" i="5"/>
  <c r="L1332" i="5"/>
  <c r="K1332" i="5"/>
  <c r="M1331" i="5"/>
  <c r="L1331" i="5"/>
  <c r="K1331" i="5"/>
  <c r="M1330" i="5"/>
  <c r="L1330" i="5"/>
  <c r="K1330" i="5"/>
  <c r="M1329" i="5"/>
  <c r="L1329" i="5"/>
  <c r="K1329" i="5"/>
  <c r="M1328" i="5"/>
  <c r="L1328" i="5"/>
  <c r="K1328" i="5"/>
  <c r="M1327" i="5"/>
  <c r="L1327" i="5"/>
  <c r="K1327" i="5"/>
  <c r="M1326" i="5"/>
  <c r="L1326" i="5"/>
  <c r="K1326" i="5"/>
  <c r="M1325" i="5"/>
  <c r="L1325" i="5"/>
  <c r="K1325" i="5"/>
  <c r="M1324" i="5"/>
  <c r="L1324" i="5"/>
  <c r="K1324" i="5"/>
  <c r="M1323" i="5"/>
  <c r="L1323" i="5"/>
  <c r="K1323" i="5"/>
  <c r="M1322" i="5"/>
  <c r="L1322" i="5"/>
  <c r="K1322" i="5"/>
  <c r="M1321" i="5"/>
  <c r="L1321" i="5"/>
  <c r="K1321" i="5"/>
  <c r="M1320" i="5"/>
  <c r="L1320" i="5"/>
  <c r="K1320" i="5"/>
  <c r="M1319" i="5"/>
  <c r="L1319" i="5"/>
  <c r="K1319" i="5"/>
  <c r="M1318" i="5"/>
  <c r="L1318" i="5"/>
  <c r="K1318" i="5"/>
  <c r="M1317" i="5"/>
  <c r="L1317" i="5"/>
  <c r="K1317" i="5"/>
  <c r="M1316" i="5"/>
  <c r="L1316" i="5"/>
  <c r="K1316" i="5"/>
  <c r="M1315" i="5"/>
  <c r="L1315" i="5"/>
  <c r="K1315" i="5"/>
  <c r="M1314" i="5"/>
  <c r="L1314" i="5"/>
  <c r="K1314" i="5"/>
  <c r="M1313" i="5"/>
  <c r="L1313" i="5"/>
  <c r="K1313" i="5"/>
  <c r="M1312" i="5"/>
  <c r="L1312" i="5"/>
  <c r="K1312" i="5"/>
  <c r="M1311" i="5"/>
  <c r="L1311" i="5"/>
  <c r="K1311" i="5"/>
  <c r="M1310" i="5"/>
  <c r="L1310" i="5"/>
  <c r="K1310" i="5"/>
  <c r="M1309" i="5"/>
  <c r="L1309" i="5"/>
  <c r="K1309" i="5"/>
  <c r="M1308" i="5"/>
  <c r="L1308" i="5"/>
  <c r="K1308" i="5"/>
  <c r="M1307" i="5"/>
  <c r="L1307" i="5"/>
  <c r="K1307" i="5"/>
  <c r="M1306" i="5"/>
  <c r="L1306" i="5"/>
  <c r="K1306" i="5"/>
  <c r="M1305" i="5"/>
  <c r="L1305" i="5"/>
  <c r="K1305" i="5"/>
  <c r="M1304" i="5"/>
  <c r="L1304" i="5"/>
  <c r="K1304" i="5"/>
  <c r="M1303" i="5"/>
  <c r="L1303" i="5"/>
  <c r="K1303" i="5"/>
  <c r="M1302" i="5"/>
  <c r="L1302" i="5"/>
  <c r="K1302" i="5"/>
  <c r="M1301" i="5"/>
  <c r="L1301" i="5"/>
  <c r="K1301" i="5"/>
  <c r="M1300" i="5"/>
  <c r="L1300" i="5"/>
  <c r="K1300" i="5"/>
  <c r="M1299" i="5"/>
  <c r="L1299" i="5"/>
  <c r="K1299" i="5"/>
  <c r="M1298" i="5"/>
  <c r="L1298" i="5"/>
  <c r="K1298" i="5"/>
  <c r="M1297" i="5"/>
  <c r="L1297" i="5"/>
  <c r="K1297" i="5"/>
  <c r="M1296" i="5"/>
  <c r="L1296" i="5"/>
  <c r="K1296" i="5"/>
  <c r="M1295" i="5"/>
  <c r="L1295" i="5"/>
  <c r="K1295" i="5"/>
  <c r="M1294" i="5"/>
  <c r="L1294" i="5"/>
  <c r="K1294" i="5"/>
  <c r="M1293" i="5"/>
  <c r="L1293" i="5"/>
  <c r="K1293" i="5"/>
  <c r="M1292" i="5"/>
  <c r="L1292" i="5"/>
  <c r="K1292" i="5"/>
  <c r="M1291" i="5"/>
  <c r="L1291" i="5"/>
  <c r="K1291" i="5"/>
  <c r="M1290" i="5"/>
  <c r="L1290" i="5"/>
  <c r="K1290" i="5"/>
  <c r="M1289" i="5"/>
  <c r="L1289" i="5"/>
  <c r="K1289" i="5"/>
  <c r="M1288" i="5"/>
  <c r="L1288" i="5"/>
  <c r="K1288" i="5"/>
  <c r="M1287" i="5"/>
  <c r="L1287" i="5"/>
  <c r="K1287" i="5"/>
  <c r="M1286" i="5"/>
  <c r="L1286" i="5"/>
  <c r="K1286" i="5"/>
  <c r="M1285" i="5"/>
  <c r="L1285" i="5"/>
  <c r="K1285" i="5"/>
  <c r="M1284" i="5"/>
  <c r="L1284" i="5"/>
  <c r="K1284" i="5"/>
  <c r="M1283" i="5"/>
  <c r="L1283" i="5"/>
  <c r="K1283" i="5"/>
  <c r="M1282" i="5"/>
  <c r="L1282" i="5"/>
  <c r="K1282" i="5"/>
  <c r="M1281" i="5"/>
  <c r="L1281" i="5"/>
  <c r="K1281" i="5"/>
  <c r="M1280" i="5"/>
  <c r="L1280" i="5"/>
  <c r="K1280" i="5"/>
  <c r="M1279" i="5"/>
  <c r="L1279" i="5"/>
  <c r="K1279" i="5"/>
  <c r="M1278" i="5"/>
  <c r="L1278" i="5"/>
  <c r="K1278" i="5"/>
  <c r="M1277" i="5"/>
  <c r="L1277" i="5"/>
  <c r="K1277" i="5"/>
  <c r="M1276" i="5"/>
  <c r="L1276" i="5"/>
  <c r="K1276" i="5"/>
  <c r="M1275" i="5"/>
  <c r="L1275" i="5"/>
  <c r="K1275" i="5"/>
  <c r="M1274" i="5"/>
  <c r="L1274" i="5"/>
  <c r="K1274" i="5"/>
  <c r="M1273" i="5"/>
  <c r="L1273" i="5"/>
  <c r="K1273" i="5"/>
  <c r="M1272" i="5"/>
  <c r="L1272" i="5"/>
  <c r="K1272" i="5"/>
  <c r="M1271" i="5"/>
  <c r="L1271" i="5"/>
  <c r="K1271" i="5"/>
  <c r="M1270" i="5"/>
  <c r="L1270" i="5"/>
  <c r="K1270" i="5"/>
  <c r="M1269" i="5"/>
  <c r="L1269" i="5"/>
  <c r="K1269" i="5"/>
  <c r="M1268" i="5"/>
  <c r="L1268" i="5"/>
  <c r="K1268" i="5"/>
  <c r="M1267" i="5"/>
  <c r="L1267" i="5"/>
  <c r="K1267" i="5"/>
  <c r="M1266" i="5"/>
  <c r="L1266" i="5"/>
  <c r="K1266" i="5"/>
  <c r="M1265" i="5"/>
  <c r="L1265" i="5"/>
  <c r="K1265" i="5"/>
  <c r="M1264" i="5"/>
  <c r="L1264" i="5"/>
  <c r="K1264" i="5"/>
  <c r="M1263" i="5"/>
  <c r="L1263" i="5"/>
  <c r="K1263" i="5"/>
  <c r="M1262" i="5"/>
  <c r="L1262" i="5"/>
  <c r="K1262" i="5"/>
  <c r="M1261" i="5"/>
  <c r="L1261" i="5"/>
  <c r="K1261" i="5"/>
  <c r="M1260" i="5"/>
  <c r="L1260" i="5"/>
  <c r="K1260" i="5"/>
  <c r="M1259" i="5"/>
  <c r="L1259" i="5"/>
  <c r="K1259" i="5"/>
  <c r="M1258" i="5"/>
  <c r="L1258" i="5"/>
  <c r="K1258" i="5"/>
  <c r="M1257" i="5"/>
  <c r="L1257" i="5"/>
  <c r="K1257" i="5"/>
  <c r="M1256" i="5"/>
  <c r="L1256" i="5"/>
  <c r="K1256" i="5"/>
  <c r="M1255" i="5"/>
  <c r="L1255" i="5"/>
  <c r="K1255" i="5"/>
  <c r="M1254" i="5"/>
  <c r="L1254" i="5"/>
  <c r="K1254" i="5"/>
  <c r="M1253" i="5"/>
  <c r="L1253" i="5"/>
  <c r="K1253" i="5"/>
  <c r="M1252" i="5"/>
  <c r="L1252" i="5"/>
  <c r="K1252" i="5"/>
  <c r="M1251" i="5"/>
  <c r="L1251" i="5"/>
  <c r="K1251" i="5"/>
  <c r="M1250" i="5"/>
  <c r="L1250" i="5"/>
  <c r="K1250" i="5"/>
  <c r="M1249" i="5"/>
  <c r="L1249" i="5"/>
  <c r="K1249" i="5"/>
  <c r="M1248" i="5"/>
  <c r="L1248" i="5"/>
  <c r="K1248" i="5"/>
  <c r="M1247" i="5"/>
  <c r="L1247" i="5"/>
  <c r="K1247" i="5"/>
  <c r="M1246" i="5"/>
  <c r="L1246" i="5"/>
  <c r="K1246" i="5"/>
  <c r="M1245" i="5"/>
  <c r="L1245" i="5"/>
  <c r="K1245" i="5"/>
  <c r="M1244" i="5"/>
  <c r="L1244" i="5"/>
  <c r="K1244" i="5"/>
  <c r="M1243" i="5"/>
  <c r="L1243" i="5"/>
  <c r="K1243" i="5"/>
  <c r="M1242" i="5"/>
  <c r="L1242" i="5"/>
  <c r="K1242" i="5"/>
  <c r="M1241" i="5"/>
  <c r="L1241" i="5"/>
  <c r="K1241" i="5"/>
  <c r="M1240" i="5"/>
  <c r="L1240" i="5"/>
  <c r="K1240" i="5"/>
  <c r="M1239" i="5"/>
  <c r="L1239" i="5"/>
  <c r="K1239" i="5"/>
  <c r="M1238" i="5"/>
  <c r="L1238" i="5"/>
  <c r="K1238" i="5"/>
  <c r="M1237" i="5"/>
  <c r="L1237" i="5"/>
  <c r="K1237" i="5"/>
  <c r="M1236" i="5"/>
  <c r="L1236" i="5"/>
  <c r="K1236" i="5"/>
  <c r="M1235" i="5"/>
  <c r="L1235" i="5"/>
  <c r="K1235" i="5"/>
  <c r="M1234" i="5"/>
  <c r="L1234" i="5"/>
  <c r="K1234" i="5"/>
  <c r="M1233" i="5"/>
  <c r="L1233" i="5"/>
  <c r="K1233" i="5"/>
  <c r="M1232" i="5"/>
  <c r="L1232" i="5"/>
  <c r="K1232" i="5"/>
  <c r="M1231" i="5"/>
  <c r="L1231" i="5"/>
  <c r="K1231" i="5"/>
  <c r="M1230" i="5"/>
  <c r="L1230" i="5"/>
  <c r="K1230" i="5"/>
  <c r="M1229" i="5"/>
  <c r="L1229" i="5"/>
  <c r="K1229" i="5"/>
  <c r="M1228" i="5"/>
  <c r="L1228" i="5"/>
  <c r="K1228" i="5"/>
  <c r="M1227" i="5"/>
  <c r="L1227" i="5"/>
  <c r="K1227" i="5"/>
  <c r="M1226" i="5"/>
  <c r="L1226" i="5"/>
  <c r="K1226" i="5"/>
  <c r="M1225" i="5"/>
  <c r="L1225" i="5"/>
  <c r="K1225" i="5"/>
  <c r="M1224" i="5"/>
  <c r="L1224" i="5"/>
  <c r="K1224" i="5"/>
  <c r="M1223" i="5"/>
  <c r="L1223" i="5"/>
  <c r="K1223" i="5"/>
  <c r="M1222" i="5"/>
  <c r="L1222" i="5"/>
  <c r="K1222" i="5"/>
  <c r="M1221" i="5"/>
  <c r="L1221" i="5"/>
  <c r="K1221" i="5"/>
  <c r="M1220" i="5"/>
  <c r="L1220" i="5"/>
  <c r="K1220" i="5"/>
  <c r="M1219" i="5"/>
  <c r="L1219" i="5"/>
  <c r="K1219" i="5"/>
  <c r="M1218" i="5"/>
  <c r="L1218" i="5"/>
  <c r="K1218" i="5"/>
  <c r="M1217" i="5"/>
  <c r="L1217" i="5"/>
  <c r="K1217" i="5"/>
  <c r="M1216" i="5"/>
  <c r="L1216" i="5"/>
  <c r="K1216" i="5"/>
  <c r="M1215" i="5"/>
  <c r="L1215" i="5"/>
  <c r="K1215" i="5"/>
  <c r="M1214" i="5"/>
  <c r="L1214" i="5"/>
  <c r="K1214" i="5"/>
  <c r="M1213" i="5"/>
  <c r="L1213" i="5"/>
  <c r="K1213" i="5"/>
  <c r="M1212" i="5"/>
  <c r="L1212" i="5"/>
  <c r="K1212" i="5"/>
  <c r="M1211" i="5"/>
  <c r="L1211" i="5"/>
  <c r="K1211" i="5"/>
  <c r="M1210" i="5"/>
  <c r="L1210" i="5"/>
  <c r="K1210" i="5"/>
  <c r="M1209" i="5"/>
  <c r="L1209" i="5"/>
  <c r="K1209" i="5"/>
  <c r="M1208" i="5"/>
  <c r="L1208" i="5"/>
  <c r="K1208" i="5"/>
  <c r="M1207" i="5"/>
  <c r="L1207" i="5"/>
  <c r="K1207" i="5"/>
  <c r="M1206" i="5"/>
  <c r="L1206" i="5"/>
  <c r="K1206" i="5"/>
  <c r="M1205" i="5"/>
  <c r="L1205" i="5"/>
  <c r="K1205" i="5"/>
  <c r="M1204" i="5"/>
  <c r="L1204" i="5"/>
  <c r="K1204" i="5"/>
  <c r="M1203" i="5"/>
  <c r="L1203" i="5"/>
  <c r="K1203" i="5"/>
  <c r="M1202" i="5"/>
  <c r="L1202" i="5"/>
  <c r="K1202" i="5"/>
  <c r="M1201" i="5"/>
  <c r="L1201" i="5"/>
  <c r="K1201" i="5"/>
  <c r="M1200" i="5"/>
  <c r="L1200" i="5"/>
  <c r="K1200" i="5"/>
  <c r="M1199" i="5"/>
  <c r="L1199" i="5"/>
  <c r="K1199" i="5"/>
  <c r="M1198" i="5"/>
  <c r="L1198" i="5"/>
  <c r="K1198" i="5"/>
  <c r="M1197" i="5"/>
  <c r="L1197" i="5"/>
  <c r="K1197" i="5"/>
  <c r="M1196" i="5"/>
  <c r="L1196" i="5"/>
  <c r="K1196" i="5"/>
  <c r="M1195" i="5"/>
  <c r="L1195" i="5"/>
  <c r="K1195" i="5"/>
  <c r="M1194" i="5"/>
  <c r="L1194" i="5"/>
  <c r="K1194" i="5"/>
  <c r="M1193" i="5"/>
  <c r="L1193" i="5"/>
  <c r="K1193" i="5"/>
  <c r="M1192" i="5"/>
  <c r="L1192" i="5"/>
  <c r="K1192" i="5"/>
  <c r="M1191" i="5"/>
  <c r="L1191" i="5"/>
  <c r="K1191" i="5"/>
  <c r="M1190" i="5"/>
  <c r="L1190" i="5"/>
  <c r="K1190" i="5"/>
  <c r="M1189" i="5"/>
  <c r="L1189" i="5"/>
  <c r="K1189" i="5"/>
  <c r="M1188" i="5"/>
  <c r="L1188" i="5"/>
  <c r="K1188" i="5"/>
  <c r="M1187" i="5"/>
  <c r="L1187" i="5"/>
  <c r="K1187" i="5"/>
  <c r="M1186" i="5"/>
  <c r="L1186" i="5"/>
  <c r="K1186" i="5"/>
  <c r="M1185" i="5"/>
  <c r="L1185" i="5"/>
  <c r="K1185" i="5"/>
  <c r="M1184" i="5"/>
  <c r="L1184" i="5"/>
  <c r="K1184" i="5"/>
  <c r="M1183" i="5"/>
  <c r="L1183" i="5"/>
  <c r="K1183" i="5"/>
  <c r="M1182" i="5"/>
  <c r="L1182" i="5"/>
  <c r="K1182" i="5"/>
  <c r="M1181" i="5"/>
  <c r="L1181" i="5"/>
  <c r="K1181" i="5"/>
  <c r="M1180" i="5"/>
  <c r="L1180" i="5"/>
  <c r="K1180" i="5"/>
  <c r="M1179" i="5"/>
  <c r="L1179" i="5"/>
  <c r="K1179" i="5"/>
  <c r="M1178" i="5"/>
  <c r="L1178" i="5"/>
  <c r="K1178" i="5"/>
  <c r="M1177" i="5"/>
  <c r="L1177" i="5"/>
  <c r="K1177" i="5"/>
  <c r="M1176" i="5"/>
  <c r="L1176" i="5"/>
  <c r="K1176" i="5"/>
  <c r="M1175" i="5"/>
  <c r="L1175" i="5"/>
  <c r="K1175" i="5"/>
  <c r="M1174" i="5"/>
  <c r="L1174" i="5"/>
  <c r="K1174" i="5"/>
  <c r="M1173" i="5"/>
  <c r="L1173" i="5"/>
  <c r="K1173" i="5"/>
  <c r="M1172" i="5"/>
  <c r="L1172" i="5"/>
  <c r="K1172" i="5"/>
  <c r="M1171" i="5"/>
  <c r="L1171" i="5"/>
  <c r="K1171" i="5"/>
  <c r="M1170" i="5"/>
  <c r="L1170" i="5"/>
  <c r="K1170" i="5"/>
  <c r="M1169" i="5"/>
  <c r="L1169" i="5"/>
  <c r="K1169" i="5"/>
  <c r="M1168" i="5"/>
  <c r="L1168" i="5"/>
  <c r="K1168" i="5"/>
  <c r="M1167" i="5"/>
  <c r="L1167" i="5"/>
  <c r="K1167" i="5"/>
  <c r="M1166" i="5"/>
  <c r="L1166" i="5"/>
  <c r="K1166" i="5"/>
  <c r="M1165" i="5"/>
  <c r="L1165" i="5"/>
  <c r="K1165" i="5"/>
  <c r="M1164" i="5"/>
  <c r="L1164" i="5"/>
  <c r="K1164" i="5"/>
  <c r="M1163" i="5"/>
  <c r="L1163" i="5"/>
  <c r="K1163" i="5"/>
  <c r="M1162" i="5"/>
  <c r="L1162" i="5"/>
  <c r="K1162" i="5"/>
  <c r="M1161" i="5"/>
  <c r="L1161" i="5"/>
  <c r="K1161" i="5"/>
  <c r="M1160" i="5"/>
  <c r="L1160" i="5"/>
  <c r="K1160" i="5"/>
  <c r="M1159" i="5"/>
  <c r="L1159" i="5"/>
  <c r="K1159" i="5"/>
  <c r="M1158" i="5"/>
  <c r="L1158" i="5"/>
  <c r="K1158" i="5"/>
  <c r="M1157" i="5"/>
  <c r="L1157" i="5"/>
  <c r="K1157" i="5"/>
  <c r="M1156" i="5"/>
  <c r="L1156" i="5"/>
  <c r="K1156" i="5"/>
  <c r="M1155" i="5"/>
  <c r="L1155" i="5"/>
  <c r="K1155" i="5"/>
  <c r="M1154" i="5"/>
  <c r="L1154" i="5"/>
  <c r="K1154" i="5"/>
  <c r="M1153" i="5"/>
  <c r="L1153" i="5"/>
  <c r="K1153" i="5"/>
  <c r="M1152" i="5"/>
  <c r="L1152" i="5"/>
  <c r="K1152" i="5"/>
  <c r="M1151" i="5"/>
  <c r="L1151" i="5"/>
  <c r="K1151" i="5"/>
  <c r="M1150" i="5"/>
  <c r="L1150" i="5"/>
  <c r="K1150" i="5"/>
  <c r="M1149" i="5"/>
  <c r="L1149" i="5"/>
  <c r="K1149" i="5"/>
  <c r="M1148" i="5"/>
  <c r="L1148" i="5"/>
  <c r="K1148" i="5"/>
  <c r="M1147" i="5"/>
  <c r="L1147" i="5"/>
  <c r="K1147" i="5"/>
  <c r="M1146" i="5"/>
  <c r="L1146" i="5"/>
  <c r="K1146" i="5"/>
  <c r="M1145" i="5"/>
  <c r="L1145" i="5"/>
  <c r="K1145" i="5"/>
  <c r="M1144" i="5"/>
  <c r="L1144" i="5"/>
  <c r="K1144" i="5"/>
  <c r="M1143" i="5"/>
  <c r="L1143" i="5"/>
  <c r="K1143" i="5"/>
  <c r="M1142" i="5"/>
  <c r="L1142" i="5"/>
  <c r="K1142" i="5"/>
  <c r="M1141" i="5"/>
  <c r="L1141" i="5"/>
  <c r="K1141" i="5"/>
  <c r="M1140" i="5"/>
  <c r="L1140" i="5"/>
  <c r="K1140" i="5"/>
  <c r="M1139" i="5"/>
  <c r="L1139" i="5"/>
  <c r="K1139" i="5"/>
  <c r="M1138" i="5"/>
  <c r="L1138" i="5"/>
  <c r="K1138" i="5"/>
  <c r="M1137" i="5"/>
  <c r="L1137" i="5"/>
  <c r="K1137" i="5"/>
  <c r="M1136" i="5"/>
  <c r="L1136" i="5"/>
  <c r="K1136" i="5"/>
  <c r="M1135" i="5"/>
  <c r="L1135" i="5"/>
  <c r="K1135" i="5"/>
  <c r="M1134" i="5"/>
  <c r="L1134" i="5"/>
  <c r="K1134" i="5"/>
  <c r="M1133" i="5"/>
  <c r="L1133" i="5"/>
  <c r="K1133" i="5"/>
  <c r="M1132" i="5"/>
  <c r="L1132" i="5"/>
  <c r="K1132" i="5"/>
  <c r="M1131" i="5"/>
  <c r="L1131" i="5"/>
  <c r="K1131" i="5"/>
  <c r="M1130" i="5"/>
  <c r="L1130" i="5"/>
  <c r="K1130" i="5"/>
  <c r="M1129" i="5"/>
  <c r="L1129" i="5"/>
  <c r="K1129" i="5"/>
  <c r="M1128" i="5"/>
  <c r="L1128" i="5"/>
  <c r="K1128" i="5"/>
  <c r="M1127" i="5"/>
  <c r="L1127" i="5"/>
  <c r="K1127" i="5"/>
  <c r="M1126" i="5"/>
  <c r="L1126" i="5"/>
  <c r="K1126" i="5"/>
  <c r="M1125" i="5"/>
  <c r="L1125" i="5"/>
  <c r="K1125" i="5"/>
  <c r="M1124" i="5"/>
  <c r="L1124" i="5"/>
  <c r="K1124" i="5"/>
  <c r="M1123" i="5"/>
  <c r="L1123" i="5"/>
  <c r="K1123" i="5"/>
  <c r="M1122" i="5"/>
  <c r="L1122" i="5"/>
  <c r="K1122" i="5"/>
  <c r="M1121" i="5"/>
  <c r="L1121" i="5"/>
  <c r="K1121" i="5"/>
  <c r="M1120" i="5"/>
  <c r="L1120" i="5"/>
  <c r="K1120" i="5"/>
  <c r="M1119" i="5"/>
  <c r="L1119" i="5"/>
  <c r="K1119" i="5"/>
  <c r="M1118" i="5"/>
  <c r="L1118" i="5"/>
  <c r="K1118" i="5"/>
  <c r="M1117" i="5"/>
  <c r="L1117" i="5"/>
  <c r="K1117" i="5"/>
  <c r="M1116" i="5"/>
  <c r="L1116" i="5"/>
  <c r="K1116" i="5"/>
  <c r="M1115" i="5"/>
  <c r="L1115" i="5"/>
  <c r="K1115" i="5"/>
  <c r="M1114" i="5"/>
  <c r="L1114" i="5"/>
  <c r="K1114" i="5"/>
  <c r="M1113" i="5"/>
  <c r="L1113" i="5"/>
  <c r="K1113" i="5"/>
  <c r="M1112" i="5"/>
  <c r="L1112" i="5"/>
  <c r="K1112" i="5"/>
  <c r="M1111" i="5"/>
  <c r="L1111" i="5"/>
  <c r="K1111" i="5"/>
  <c r="M1110" i="5"/>
  <c r="L1110" i="5"/>
  <c r="K1110" i="5"/>
  <c r="M1109" i="5"/>
  <c r="L1109" i="5"/>
  <c r="K1109" i="5"/>
  <c r="M1108" i="5"/>
  <c r="L1108" i="5"/>
  <c r="K1108" i="5"/>
  <c r="M1107" i="5"/>
  <c r="L1107" i="5"/>
  <c r="K1107" i="5"/>
  <c r="M1106" i="5"/>
  <c r="L1106" i="5"/>
  <c r="K1106" i="5"/>
  <c r="M1105" i="5"/>
  <c r="L1105" i="5"/>
  <c r="K1105" i="5"/>
  <c r="M1104" i="5"/>
  <c r="L1104" i="5"/>
  <c r="K1104" i="5"/>
  <c r="M1103" i="5"/>
  <c r="L1103" i="5"/>
  <c r="K1103" i="5"/>
  <c r="M1102" i="5"/>
  <c r="L1102" i="5"/>
  <c r="K1102" i="5"/>
  <c r="M1101" i="5"/>
  <c r="L1101" i="5"/>
  <c r="K1101" i="5"/>
  <c r="M1100" i="5"/>
  <c r="L1100" i="5"/>
  <c r="K1100" i="5"/>
  <c r="M1099" i="5"/>
  <c r="L1099" i="5"/>
  <c r="K1099" i="5"/>
  <c r="M1098" i="5"/>
  <c r="L1098" i="5"/>
  <c r="K1098" i="5"/>
  <c r="M1097" i="5"/>
  <c r="L1097" i="5"/>
  <c r="K1097" i="5"/>
  <c r="M1096" i="5"/>
  <c r="L1096" i="5"/>
  <c r="K1096" i="5"/>
  <c r="M1095" i="5"/>
  <c r="L1095" i="5"/>
  <c r="K1095" i="5"/>
  <c r="M1094" i="5"/>
  <c r="L1094" i="5"/>
  <c r="K1094" i="5"/>
  <c r="M1093" i="5"/>
  <c r="L1093" i="5"/>
  <c r="K1093" i="5"/>
  <c r="M1092" i="5"/>
  <c r="L1092" i="5"/>
  <c r="K1092" i="5"/>
  <c r="M1091" i="5"/>
  <c r="L1091" i="5"/>
  <c r="K1091" i="5"/>
  <c r="M1090" i="5"/>
  <c r="L1090" i="5"/>
  <c r="K1090" i="5"/>
  <c r="M1089" i="5"/>
  <c r="L1089" i="5"/>
  <c r="K1089" i="5"/>
  <c r="M1088" i="5"/>
  <c r="L1088" i="5"/>
  <c r="K1088" i="5"/>
  <c r="M1087" i="5"/>
  <c r="L1087" i="5"/>
  <c r="K1087" i="5"/>
  <c r="M1086" i="5"/>
  <c r="L1086" i="5"/>
  <c r="K1086" i="5"/>
  <c r="M1085" i="5"/>
  <c r="L1085" i="5"/>
  <c r="K1085" i="5"/>
  <c r="M1084" i="5"/>
  <c r="L1084" i="5"/>
  <c r="K1084" i="5"/>
  <c r="M1083" i="5"/>
  <c r="L1083" i="5"/>
  <c r="K1083" i="5"/>
  <c r="M1082" i="5"/>
  <c r="L1082" i="5"/>
  <c r="K1082" i="5"/>
  <c r="M1081" i="5"/>
  <c r="L1081" i="5"/>
  <c r="K1081" i="5"/>
  <c r="M1080" i="5"/>
  <c r="L1080" i="5"/>
  <c r="K1080" i="5"/>
  <c r="M1079" i="5"/>
  <c r="L1079" i="5"/>
  <c r="K1079" i="5"/>
  <c r="M1078" i="5"/>
  <c r="L1078" i="5"/>
  <c r="K1078" i="5"/>
  <c r="M1077" i="5"/>
  <c r="L1077" i="5"/>
  <c r="K1077" i="5"/>
  <c r="M1076" i="5"/>
  <c r="L1076" i="5"/>
  <c r="K1076" i="5"/>
  <c r="M1075" i="5"/>
  <c r="L1075" i="5"/>
  <c r="K1075" i="5"/>
  <c r="M1074" i="5"/>
  <c r="L1074" i="5"/>
  <c r="K1074" i="5"/>
  <c r="M1073" i="5"/>
  <c r="L1073" i="5"/>
  <c r="K1073" i="5"/>
  <c r="M1072" i="5"/>
  <c r="L1072" i="5"/>
  <c r="K1072" i="5"/>
  <c r="M1071" i="5"/>
  <c r="L1071" i="5"/>
  <c r="K1071" i="5"/>
  <c r="M1070" i="5"/>
  <c r="L1070" i="5"/>
  <c r="K1070" i="5"/>
  <c r="M1069" i="5"/>
  <c r="L1069" i="5"/>
  <c r="K1069" i="5"/>
  <c r="M1068" i="5"/>
  <c r="L1068" i="5"/>
  <c r="K1068" i="5"/>
  <c r="M1067" i="5"/>
  <c r="L1067" i="5"/>
  <c r="K1067" i="5"/>
  <c r="M1066" i="5"/>
  <c r="L1066" i="5"/>
  <c r="K1066" i="5"/>
  <c r="M1065" i="5"/>
  <c r="L1065" i="5"/>
  <c r="K1065" i="5"/>
  <c r="M1064" i="5"/>
  <c r="L1064" i="5"/>
  <c r="K1064" i="5"/>
  <c r="M1063" i="5"/>
  <c r="L1063" i="5"/>
  <c r="K1063" i="5"/>
  <c r="M1062" i="5"/>
  <c r="L1062" i="5"/>
  <c r="K1062" i="5"/>
  <c r="M1061" i="5"/>
  <c r="L1061" i="5"/>
  <c r="K1061" i="5"/>
  <c r="M1060" i="5"/>
  <c r="L1060" i="5"/>
  <c r="K1060" i="5"/>
  <c r="M1059" i="5"/>
  <c r="L1059" i="5"/>
  <c r="K1059" i="5"/>
  <c r="M1058" i="5"/>
  <c r="L1058" i="5"/>
  <c r="K1058" i="5"/>
  <c r="M1057" i="5"/>
  <c r="L1057" i="5"/>
  <c r="K1057" i="5"/>
  <c r="M1056" i="5"/>
  <c r="L1056" i="5"/>
  <c r="K1056" i="5"/>
  <c r="M1055" i="5"/>
  <c r="L1055" i="5"/>
  <c r="K1055" i="5"/>
  <c r="M1054" i="5"/>
  <c r="L1054" i="5"/>
  <c r="K1054" i="5"/>
  <c r="M1053" i="5"/>
  <c r="L1053" i="5"/>
  <c r="K1053" i="5"/>
  <c r="M1052" i="5"/>
  <c r="L1052" i="5"/>
  <c r="K1052" i="5"/>
  <c r="M1051" i="5"/>
  <c r="L1051" i="5"/>
  <c r="K1051" i="5"/>
  <c r="M1050" i="5"/>
  <c r="L1050" i="5"/>
  <c r="K1050" i="5"/>
  <c r="M1049" i="5"/>
  <c r="L1049" i="5"/>
  <c r="K1049" i="5"/>
  <c r="M1048" i="5"/>
  <c r="L1048" i="5"/>
  <c r="K1048" i="5"/>
  <c r="M1047" i="5"/>
  <c r="L1047" i="5"/>
  <c r="K1047" i="5"/>
  <c r="M1046" i="5"/>
  <c r="L1046" i="5"/>
  <c r="K1046" i="5"/>
  <c r="M1045" i="5"/>
  <c r="L1045" i="5"/>
  <c r="K1045" i="5"/>
  <c r="M1044" i="5"/>
  <c r="L1044" i="5"/>
  <c r="K1044" i="5"/>
  <c r="M1043" i="5"/>
  <c r="L1043" i="5"/>
  <c r="K1043" i="5"/>
  <c r="M1042" i="5"/>
  <c r="L1042" i="5"/>
  <c r="K1042" i="5"/>
  <c r="M1041" i="5"/>
  <c r="L1041" i="5"/>
  <c r="K1041" i="5"/>
  <c r="M1040" i="5"/>
  <c r="L1040" i="5"/>
  <c r="K1040" i="5"/>
  <c r="M1039" i="5"/>
  <c r="L1039" i="5"/>
  <c r="K1039" i="5"/>
  <c r="M1038" i="5"/>
  <c r="L1038" i="5"/>
  <c r="K1038" i="5"/>
  <c r="M1037" i="5"/>
  <c r="L1037" i="5"/>
  <c r="K1037" i="5"/>
  <c r="M1036" i="5"/>
  <c r="L1036" i="5"/>
  <c r="K1036" i="5"/>
  <c r="M1035" i="5"/>
  <c r="L1035" i="5"/>
  <c r="K1035" i="5"/>
  <c r="M1034" i="5"/>
  <c r="L1034" i="5"/>
  <c r="K1034" i="5"/>
  <c r="M1033" i="5"/>
  <c r="L1033" i="5"/>
  <c r="K1033" i="5"/>
  <c r="M1032" i="5"/>
  <c r="L1032" i="5"/>
  <c r="K1032" i="5"/>
  <c r="M1031" i="5"/>
  <c r="L1031" i="5"/>
  <c r="K1031" i="5"/>
  <c r="M1030" i="5"/>
  <c r="L1030" i="5"/>
  <c r="K1030" i="5"/>
  <c r="M1029" i="5"/>
  <c r="L1029" i="5"/>
  <c r="K1029" i="5"/>
  <c r="M1028" i="5"/>
  <c r="L1028" i="5"/>
  <c r="K1028" i="5"/>
  <c r="M1027" i="5"/>
  <c r="L1027" i="5"/>
  <c r="K1027" i="5"/>
  <c r="M1026" i="5"/>
  <c r="L1026" i="5"/>
  <c r="K1026" i="5"/>
  <c r="M1025" i="5"/>
  <c r="L1025" i="5"/>
  <c r="K1025" i="5"/>
  <c r="M1024" i="5"/>
  <c r="L1024" i="5"/>
  <c r="K1024" i="5"/>
  <c r="M1023" i="5"/>
  <c r="L1023" i="5"/>
  <c r="K1023" i="5"/>
  <c r="M1022" i="5"/>
  <c r="L1022" i="5"/>
  <c r="K1022" i="5"/>
  <c r="M1021" i="5"/>
  <c r="L1021" i="5"/>
  <c r="K1021" i="5"/>
  <c r="M1020" i="5"/>
  <c r="L1020" i="5"/>
  <c r="K1020" i="5"/>
  <c r="M1019" i="5"/>
  <c r="L1019" i="5"/>
  <c r="K1019" i="5"/>
  <c r="M1018" i="5"/>
  <c r="L1018" i="5"/>
  <c r="K1018" i="5"/>
  <c r="M1017" i="5"/>
  <c r="L1017" i="5"/>
  <c r="K1017" i="5"/>
  <c r="M1016" i="5"/>
  <c r="L1016" i="5"/>
  <c r="K1016" i="5"/>
  <c r="M1015" i="5"/>
  <c r="L1015" i="5"/>
  <c r="K1015" i="5"/>
  <c r="M1014" i="5"/>
  <c r="L1014" i="5"/>
  <c r="K1014" i="5"/>
  <c r="M1013" i="5"/>
  <c r="L1013" i="5"/>
  <c r="K1013" i="5"/>
  <c r="M1012" i="5"/>
  <c r="L1012" i="5"/>
  <c r="K1012" i="5"/>
  <c r="M1011" i="5"/>
  <c r="L1011" i="5"/>
  <c r="K1011" i="5"/>
  <c r="M1010" i="5"/>
  <c r="L1010" i="5"/>
  <c r="K1010" i="5"/>
  <c r="M1009" i="5"/>
  <c r="L1009" i="5"/>
  <c r="K1009" i="5"/>
  <c r="M1008" i="5"/>
  <c r="L1008" i="5"/>
  <c r="K1008" i="5"/>
  <c r="M1007" i="5"/>
  <c r="L1007" i="5"/>
  <c r="K1007" i="5"/>
  <c r="M1006" i="5"/>
  <c r="L1006" i="5"/>
  <c r="K1006" i="5"/>
  <c r="M1005" i="5"/>
  <c r="L1005" i="5"/>
  <c r="K1005" i="5"/>
  <c r="M1004" i="5"/>
  <c r="L1004" i="5"/>
  <c r="K1004" i="5"/>
  <c r="M1003" i="5"/>
  <c r="L1003" i="5"/>
  <c r="K1003" i="5"/>
  <c r="M1002" i="5"/>
  <c r="L1002" i="5"/>
  <c r="K1002" i="5"/>
  <c r="M1001" i="5"/>
  <c r="L1001" i="5"/>
  <c r="K1001" i="5"/>
  <c r="M1000" i="5"/>
  <c r="L1000" i="5"/>
  <c r="K1000" i="5"/>
  <c r="M999" i="5"/>
  <c r="L999" i="5"/>
  <c r="K999" i="5"/>
  <c r="M998" i="5"/>
  <c r="L998" i="5"/>
  <c r="K998" i="5"/>
  <c r="M997" i="5"/>
  <c r="L997" i="5"/>
  <c r="K997" i="5"/>
  <c r="M996" i="5"/>
  <c r="L996" i="5"/>
  <c r="K996" i="5"/>
  <c r="M995" i="5"/>
  <c r="L995" i="5"/>
  <c r="K995" i="5"/>
  <c r="M994" i="5"/>
  <c r="L994" i="5"/>
  <c r="K994" i="5"/>
  <c r="M993" i="5"/>
  <c r="L993" i="5"/>
  <c r="K993" i="5"/>
  <c r="M992" i="5"/>
  <c r="L992" i="5"/>
  <c r="K992" i="5"/>
  <c r="M991" i="5"/>
  <c r="L991" i="5"/>
  <c r="K991" i="5"/>
  <c r="M990" i="5"/>
  <c r="L990" i="5"/>
  <c r="K990" i="5"/>
  <c r="M989" i="5"/>
  <c r="L989" i="5"/>
  <c r="K989" i="5"/>
  <c r="M988" i="5"/>
  <c r="L988" i="5"/>
  <c r="K988" i="5"/>
  <c r="M987" i="5"/>
  <c r="L987" i="5"/>
  <c r="K987" i="5"/>
  <c r="M986" i="5"/>
  <c r="L986" i="5"/>
  <c r="K986" i="5"/>
  <c r="M985" i="5"/>
  <c r="L985" i="5"/>
  <c r="K985" i="5"/>
  <c r="M984" i="5"/>
  <c r="L984" i="5"/>
  <c r="K984" i="5"/>
  <c r="M983" i="5"/>
  <c r="L983" i="5"/>
  <c r="K983" i="5"/>
  <c r="M982" i="5"/>
  <c r="L982" i="5"/>
  <c r="K982" i="5"/>
  <c r="M981" i="5"/>
  <c r="L981" i="5"/>
  <c r="K981" i="5"/>
  <c r="M980" i="5"/>
  <c r="L980" i="5"/>
  <c r="K980" i="5"/>
  <c r="M979" i="5"/>
  <c r="L979" i="5"/>
  <c r="K979" i="5"/>
  <c r="M978" i="5"/>
  <c r="L978" i="5"/>
  <c r="K978" i="5"/>
  <c r="M977" i="5"/>
  <c r="L977" i="5"/>
  <c r="K977" i="5"/>
  <c r="M976" i="5"/>
  <c r="L976" i="5"/>
  <c r="K976" i="5"/>
  <c r="M975" i="5"/>
  <c r="L975" i="5"/>
  <c r="K975" i="5"/>
  <c r="M974" i="5"/>
  <c r="L974" i="5"/>
  <c r="K974" i="5"/>
  <c r="M973" i="5"/>
  <c r="L973" i="5"/>
  <c r="K973" i="5"/>
  <c r="M972" i="5"/>
  <c r="L972" i="5"/>
  <c r="K972" i="5"/>
  <c r="M971" i="5"/>
  <c r="L971" i="5"/>
  <c r="K971" i="5"/>
  <c r="M970" i="5"/>
  <c r="L970" i="5"/>
  <c r="K970" i="5"/>
  <c r="M969" i="5"/>
  <c r="L969" i="5"/>
  <c r="K969" i="5"/>
  <c r="M968" i="5"/>
  <c r="L968" i="5"/>
  <c r="K968" i="5"/>
  <c r="M967" i="5"/>
  <c r="L967" i="5"/>
  <c r="K967" i="5"/>
  <c r="M966" i="5"/>
  <c r="L966" i="5"/>
  <c r="K966" i="5"/>
  <c r="M965" i="5"/>
  <c r="L965" i="5"/>
  <c r="K965" i="5"/>
  <c r="M964" i="5"/>
  <c r="L964" i="5"/>
  <c r="K964" i="5"/>
  <c r="M963" i="5"/>
  <c r="L963" i="5"/>
  <c r="K963" i="5"/>
  <c r="M962" i="5"/>
  <c r="L962" i="5"/>
  <c r="K962" i="5"/>
  <c r="M961" i="5"/>
  <c r="L961" i="5"/>
  <c r="K961" i="5"/>
  <c r="M960" i="5"/>
  <c r="L960" i="5"/>
  <c r="K960" i="5"/>
  <c r="M959" i="5"/>
  <c r="L959" i="5"/>
  <c r="K959" i="5"/>
  <c r="M958" i="5"/>
  <c r="L958" i="5"/>
  <c r="K958" i="5"/>
  <c r="M957" i="5"/>
  <c r="L957" i="5"/>
  <c r="K957" i="5"/>
  <c r="M956" i="5"/>
  <c r="L956" i="5"/>
  <c r="K956" i="5"/>
  <c r="M955" i="5"/>
  <c r="L955" i="5"/>
  <c r="K955" i="5"/>
  <c r="M954" i="5"/>
  <c r="L954" i="5"/>
  <c r="K954" i="5"/>
  <c r="M953" i="5"/>
  <c r="L953" i="5"/>
  <c r="K953" i="5"/>
  <c r="M952" i="5"/>
  <c r="L952" i="5"/>
  <c r="K952" i="5"/>
  <c r="M951" i="5"/>
  <c r="L951" i="5"/>
  <c r="K951" i="5"/>
  <c r="M950" i="5"/>
  <c r="L950" i="5"/>
  <c r="K950" i="5"/>
  <c r="M949" i="5"/>
  <c r="L949" i="5"/>
  <c r="K949" i="5"/>
  <c r="M948" i="5"/>
  <c r="L948" i="5"/>
  <c r="K948" i="5"/>
  <c r="M947" i="5"/>
  <c r="L947" i="5"/>
  <c r="K947" i="5"/>
  <c r="M946" i="5"/>
  <c r="L946" i="5"/>
  <c r="K946" i="5"/>
  <c r="M945" i="5"/>
  <c r="L945" i="5"/>
  <c r="K945" i="5"/>
  <c r="M944" i="5"/>
  <c r="L944" i="5"/>
  <c r="K944" i="5"/>
  <c r="M943" i="5"/>
  <c r="L943" i="5"/>
  <c r="K943" i="5"/>
  <c r="M942" i="5"/>
  <c r="L942" i="5"/>
  <c r="K942" i="5"/>
  <c r="M941" i="5"/>
  <c r="L941" i="5"/>
  <c r="K941" i="5"/>
  <c r="M940" i="5"/>
  <c r="L940" i="5"/>
  <c r="K940" i="5"/>
  <c r="M939" i="5"/>
  <c r="L939" i="5"/>
  <c r="K939" i="5"/>
  <c r="M938" i="5"/>
  <c r="L938" i="5"/>
  <c r="K938" i="5"/>
  <c r="M937" i="5"/>
  <c r="L937" i="5"/>
  <c r="K937" i="5"/>
  <c r="M936" i="5"/>
  <c r="L936" i="5"/>
  <c r="K936" i="5"/>
  <c r="M935" i="5"/>
  <c r="L935" i="5"/>
  <c r="K935" i="5"/>
  <c r="M934" i="5"/>
  <c r="L934" i="5"/>
  <c r="K934" i="5"/>
  <c r="M933" i="5"/>
  <c r="L933" i="5"/>
  <c r="K933" i="5"/>
  <c r="M932" i="5"/>
  <c r="L932" i="5"/>
  <c r="K932" i="5"/>
  <c r="M931" i="5"/>
  <c r="L931" i="5"/>
  <c r="K931" i="5"/>
  <c r="M930" i="5"/>
  <c r="L930" i="5"/>
  <c r="K930" i="5"/>
  <c r="M929" i="5"/>
  <c r="L929" i="5"/>
  <c r="K929" i="5"/>
  <c r="M928" i="5"/>
  <c r="L928" i="5"/>
  <c r="K928" i="5"/>
  <c r="M927" i="5"/>
  <c r="L927" i="5"/>
  <c r="K927" i="5"/>
  <c r="M926" i="5"/>
  <c r="L926" i="5"/>
  <c r="K926" i="5"/>
  <c r="M925" i="5"/>
  <c r="L925" i="5"/>
  <c r="K925" i="5"/>
  <c r="M2148" i="5"/>
  <c r="L2148" i="5"/>
  <c r="K2148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1008" i="5"/>
  <c r="O1009" i="5"/>
  <c r="O1010" i="5"/>
  <c r="O1011" i="5"/>
  <c r="O1012" i="5"/>
  <c r="O1013" i="5"/>
  <c r="O1014" i="5"/>
  <c r="O1015" i="5"/>
  <c r="O1016" i="5"/>
  <c r="O1017" i="5"/>
  <c r="O1018" i="5"/>
  <c r="O1019" i="5"/>
  <c r="O1020" i="5"/>
  <c r="O1021" i="5"/>
  <c r="O1022" i="5"/>
  <c r="O1023" i="5"/>
  <c r="O1024" i="5"/>
  <c r="O1025" i="5"/>
  <c r="O1026" i="5"/>
  <c r="O1027" i="5"/>
  <c r="O1028" i="5"/>
  <c r="O1029" i="5"/>
  <c r="O1030" i="5"/>
  <c r="O1031" i="5"/>
  <c r="O1032" i="5"/>
  <c r="O1033" i="5"/>
  <c r="O1034" i="5"/>
  <c r="O1035" i="5"/>
  <c r="O1036" i="5"/>
  <c r="O1037" i="5"/>
  <c r="O1038" i="5"/>
  <c r="O1039" i="5"/>
  <c r="O1040" i="5"/>
  <c r="O1041" i="5"/>
  <c r="O1042" i="5"/>
  <c r="O1043" i="5"/>
  <c r="O1044" i="5"/>
  <c r="O1045" i="5"/>
  <c r="O1046" i="5"/>
  <c r="O1047" i="5"/>
  <c r="O1048" i="5"/>
  <c r="O1049" i="5"/>
  <c r="O1050" i="5"/>
  <c r="O1051" i="5"/>
  <c r="O1052" i="5"/>
  <c r="O1053" i="5"/>
  <c r="O1054" i="5"/>
  <c r="O1055" i="5"/>
  <c r="O1056" i="5"/>
  <c r="O1057" i="5"/>
  <c r="O1058" i="5"/>
  <c r="O1059" i="5"/>
  <c r="O1060" i="5"/>
  <c r="O1061" i="5"/>
  <c r="O1062" i="5"/>
  <c r="O1063" i="5"/>
  <c r="O1064" i="5"/>
  <c r="O1065" i="5"/>
  <c r="O1066" i="5"/>
  <c r="O1067" i="5"/>
  <c r="O1068" i="5"/>
  <c r="O1069" i="5"/>
  <c r="O1070" i="5"/>
  <c r="O1071" i="5"/>
  <c r="O1072" i="5"/>
  <c r="O1073" i="5"/>
  <c r="O1074" i="5"/>
  <c r="O1075" i="5"/>
  <c r="O1076" i="5"/>
  <c r="O1077" i="5"/>
  <c r="O1078" i="5"/>
  <c r="O1079" i="5"/>
  <c r="O1080" i="5"/>
  <c r="O1081" i="5"/>
  <c r="O1082" i="5"/>
  <c r="O1083" i="5"/>
  <c r="O1084" i="5"/>
  <c r="O1085" i="5"/>
  <c r="O1086" i="5"/>
  <c r="O1087" i="5"/>
  <c r="O1088" i="5"/>
  <c r="O1089" i="5"/>
  <c r="O1090" i="5"/>
  <c r="O1091" i="5"/>
  <c r="O1092" i="5"/>
  <c r="O1093" i="5"/>
  <c r="O1094" i="5"/>
  <c r="O1095" i="5"/>
  <c r="O1096" i="5"/>
  <c r="O1097" i="5"/>
  <c r="O1098" i="5"/>
  <c r="O1099" i="5"/>
  <c r="O1100" i="5"/>
  <c r="O1101" i="5"/>
  <c r="O1102" i="5"/>
  <c r="O1103" i="5"/>
  <c r="O1104" i="5"/>
  <c r="O1105" i="5"/>
  <c r="O1106" i="5"/>
  <c r="O1107" i="5"/>
  <c r="O1108" i="5"/>
  <c r="O1109" i="5"/>
  <c r="O1110" i="5"/>
  <c r="O1111" i="5"/>
  <c r="O1112" i="5"/>
  <c r="O1113" i="5"/>
  <c r="O1114" i="5"/>
  <c r="O1115" i="5"/>
  <c r="O1116" i="5"/>
  <c r="O1117" i="5"/>
  <c r="O1118" i="5"/>
  <c r="O1119" i="5"/>
  <c r="O1120" i="5"/>
  <c r="O1121" i="5"/>
  <c r="O1122" i="5"/>
  <c r="O1123" i="5"/>
  <c r="O1124" i="5"/>
  <c r="O1125" i="5"/>
  <c r="O1126" i="5"/>
  <c r="O1127" i="5"/>
  <c r="O1128" i="5"/>
  <c r="O1129" i="5"/>
  <c r="O1130" i="5"/>
  <c r="O1131" i="5"/>
  <c r="O1132" i="5"/>
  <c r="O1133" i="5"/>
  <c r="O1134" i="5"/>
  <c r="O1135" i="5"/>
  <c r="O1136" i="5"/>
  <c r="O1137" i="5"/>
  <c r="O1138" i="5"/>
  <c r="O1139" i="5"/>
  <c r="O1140" i="5"/>
  <c r="O1141" i="5"/>
  <c r="O1142" i="5"/>
  <c r="O1143" i="5"/>
  <c r="O1144" i="5"/>
  <c r="O1145" i="5"/>
  <c r="O1146" i="5"/>
  <c r="O1147" i="5"/>
  <c r="O1148" i="5"/>
  <c r="O1149" i="5"/>
  <c r="O1150" i="5"/>
  <c r="O1151" i="5"/>
  <c r="O1152" i="5"/>
  <c r="O1153" i="5"/>
  <c r="O1154" i="5"/>
  <c r="O1155" i="5"/>
  <c r="O1156" i="5"/>
  <c r="O1157" i="5"/>
  <c r="O1158" i="5"/>
  <c r="O1159" i="5"/>
  <c r="O1160" i="5"/>
  <c r="O1161" i="5"/>
  <c r="O1162" i="5"/>
  <c r="O1163" i="5"/>
  <c r="O1164" i="5"/>
  <c r="O1165" i="5"/>
  <c r="O1166" i="5"/>
  <c r="O1167" i="5"/>
  <c r="O1168" i="5"/>
  <c r="O1169" i="5"/>
  <c r="O1170" i="5"/>
  <c r="O1171" i="5"/>
  <c r="O1172" i="5"/>
  <c r="O1173" i="5"/>
  <c r="O1174" i="5"/>
  <c r="O1175" i="5"/>
  <c r="O1176" i="5"/>
  <c r="O1177" i="5"/>
  <c r="O1178" i="5"/>
  <c r="O1179" i="5"/>
  <c r="O1180" i="5"/>
  <c r="O1181" i="5"/>
  <c r="O1182" i="5"/>
  <c r="O1183" i="5"/>
  <c r="O1184" i="5"/>
  <c r="O1185" i="5"/>
  <c r="O1186" i="5"/>
  <c r="O1187" i="5"/>
  <c r="O1188" i="5"/>
  <c r="O1189" i="5"/>
  <c r="O1190" i="5"/>
  <c r="O1191" i="5"/>
  <c r="O1192" i="5"/>
  <c r="O1193" i="5"/>
  <c r="O1194" i="5"/>
  <c r="O1195" i="5"/>
  <c r="O1196" i="5"/>
  <c r="O1197" i="5"/>
  <c r="O1198" i="5"/>
  <c r="O1199" i="5"/>
  <c r="O1200" i="5"/>
  <c r="O1201" i="5"/>
  <c r="O1202" i="5"/>
  <c r="O1203" i="5"/>
  <c r="O1204" i="5"/>
  <c r="O1205" i="5"/>
  <c r="O1206" i="5"/>
  <c r="O1207" i="5"/>
  <c r="O1208" i="5"/>
  <c r="O1209" i="5"/>
  <c r="O1210" i="5"/>
  <c r="O1211" i="5"/>
  <c r="O1212" i="5"/>
  <c r="O1213" i="5"/>
  <c r="O1214" i="5"/>
  <c r="O1215" i="5"/>
  <c r="O1216" i="5"/>
  <c r="O1217" i="5"/>
  <c r="O1218" i="5"/>
  <c r="O1219" i="5"/>
  <c r="O1220" i="5"/>
  <c r="O1221" i="5"/>
  <c r="O1222" i="5"/>
  <c r="O1223" i="5"/>
  <c r="O1224" i="5"/>
  <c r="O1225" i="5"/>
  <c r="O1226" i="5"/>
  <c r="O1227" i="5"/>
  <c r="O1228" i="5"/>
  <c r="O1229" i="5"/>
  <c r="O1230" i="5"/>
  <c r="O1231" i="5"/>
  <c r="O1232" i="5"/>
  <c r="O1233" i="5"/>
  <c r="O1234" i="5"/>
  <c r="O1235" i="5"/>
  <c r="O1236" i="5"/>
  <c r="O1237" i="5"/>
  <c r="O1238" i="5"/>
  <c r="O1239" i="5"/>
  <c r="O1240" i="5"/>
  <c r="O1241" i="5"/>
  <c r="O1242" i="5"/>
  <c r="O1243" i="5"/>
  <c r="O1244" i="5"/>
  <c r="O1245" i="5"/>
  <c r="O1246" i="5"/>
  <c r="O1247" i="5"/>
  <c r="O1248" i="5"/>
  <c r="O1249" i="5"/>
  <c r="O1250" i="5"/>
  <c r="O1251" i="5"/>
  <c r="O1252" i="5"/>
  <c r="O1253" i="5"/>
  <c r="O1254" i="5"/>
  <c r="O1255" i="5"/>
  <c r="O1256" i="5"/>
  <c r="O1257" i="5"/>
  <c r="O1258" i="5"/>
  <c r="O1259" i="5"/>
  <c r="O1260" i="5"/>
  <c r="O1261" i="5"/>
  <c r="O1262" i="5"/>
  <c r="O1263" i="5"/>
  <c r="O1264" i="5"/>
  <c r="O1265" i="5"/>
  <c r="O1266" i="5"/>
  <c r="O1267" i="5"/>
  <c r="O1268" i="5"/>
  <c r="O1269" i="5"/>
  <c r="O1270" i="5"/>
  <c r="O1271" i="5"/>
  <c r="O1272" i="5"/>
  <c r="O1273" i="5"/>
  <c r="O1274" i="5"/>
  <c r="O1275" i="5"/>
  <c r="O1276" i="5"/>
  <c r="O1277" i="5"/>
  <c r="O1278" i="5"/>
  <c r="O1279" i="5"/>
  <c r="O1280" i="5"/>
  <c r="O1281" i="5"/>
  <c r="O1282" i="5"/>
  <c r="O1283" i="5"/>
  <c r="O1284" i="5"/>
  <c r="O1285" i="5"/>
  <c r="O1286" i="5"/>
  <c r="O1287" i="5"/>
  <c r="O1288" i="5"/>
  <c r="O1289" i="5"/>
  <c r="O1290" i="5"/>
  <c r="O1291" i="5"/>
  <c r="O1292" i="5"/>
  <c r="O1293" i="5"/>
  <c r="O1294" i="5"/>
  <c r="O1295" i="5"/>
  <c r="O1296" i="5"/>
  <c r="O1297" i="5"/>
  <c r="O1298" i="5"/>
  <c r="O1299" i="5"/>
  <c r="O1300" i="5"/>
  <c r="O1301" i="5"/>
  <c r="O1302" i="5"/>
  <c r="O1303" i="5"/>
  <c r="O1304" i="5"/>
  <c r="O1305" i="5"/>
  <c r="O1306" i="5"/>
  <c r="O1307" i="5"/>
  <c r="O1308" i="5"/>
  <c r="O1309" i="5"/>
  <c r="O1310" i="5"/>
  <c r="O1311" i="5"/>
  <c r="O1312" i="5"/>
  <c r="O1313" i="5"/>
  <c r="O1314" i="5"/>
  <c r="O1315" i="5"/>
  <c r="O1316" i="5"/>
  <c r="O1317" i="5"/>
  <c r="O1318" i="5"/>
  <c r="O1319" i="5"/>
  <c r="O1320" i="5"/>
  <c r="O1321" i="5"/>
  <c r="O1322" i="5"/>
  <c r="O1323" i="5"/>
  <c r="O1324" i="5"/>
  <c r="O1325" i="5"/>
  <c r="O1326" i="5"/>
  <c r="O1327" i="5"/>
  <c r="O1328" i="5"/>
  <c r="O1329" i="5"/>
  <c r="O1330" i="5"/>
  <c r="O1331" i="5"/>
  <c r="O1332" i="5"/>
  <c r="O1333" i="5"/>
  <c r="O1334" i="5"/>
  <c r="O1335" i="5"/>
  <c r="O1336" i="5"/>
  <c r="O1337" i="5"/>
  <c r="O1338" i="5"/>
  <c r="O1339" i="5"/>
  <c r="O1340" i="5"/>
  <c r="O1341" i="5"/>
  <c r="O1342" i="5"/>
  <c r="O1343" i="5"/>
  <c r="O1344" i="5"/>
  <c r="O1345" i="5"/>
  <c r="O1346" i="5"/>
  <c r="O1347" i="5"/>
  <c r="O1348" i="5"/>
  <c r="O1349" i="5"/>
  <c r="O1350" i="5"/>
  <c r="O1351" i="5"/>
  <c r="O1352" i="5"/>
  <c r="O1353" i="5"/>
  <c r="O1354" i="5"/>
  <c r="O1355" i="5"/>
  <c r="O1356" i="5"/>
  <c r="O1357" i="5"/>
  <c r="O1358" i="5"/>
  <c r="O1359" i="5"/>
  <c r="O1360" i="5"/>
  <c r="O1361" i="5"/>
  <c r="O1362" i="5"/>
  <c r="O1363" i="5"/>
  <c r="O1364" i="5"/>
  <c r="O1365" i="5"/>
  <c r="O1366" i="5"/>
  <c r="O1367" i="5"/>
  <c r="O1368" i="5"/>
  <c r="O1369" i="5"/>
  <c r="O1370" i="5"/>
  <c r="O1371" i="5"/>
  <c r="O1372" i="5"/>
  <c r="O1373" i="5"/>
  <c r="O1374" i="5"/>
  <c r="O1375" i="5"/>
  <c r="O1376" i="5"/>
  <c r="O1377" i="5"/>
  <c r="O1378" i="5"/>
  <c r="O1379" i="5"/>
  <c r="O1380" i="5"/>
  <c r="O1381" i="5"/>
  <c r="O1382" i="5"/>
  <c r="O1383" i="5"/>
  <c r="O1384" i="5"/>
  <c r="O1385" i="5"/>
  <c r="O1386" i="5"/>
  <c r="O1387" i="5"/>
  <c r="O1388" i="5"/>
  <c r="O1389" i="5"/>
  <c r="O1390" i="5"/>
  <c r="O1391" i="5"/>
  <c r="O1392" i="5"/>
  <c r="O1393" i="5"/>
  <c r="O1394" i="5"/>
  <c r="O1395" i="5"/>
  <c r="O1396" i="5"/>
  <c r="O1397" i="5"/>
  <c r="O1398" i="5"/>
  <c r="O1399" i="5"/>
  <c r="O1400" i="5"/>
  <c r="O1401" i="5"/>
  <c r="O1402" i="5"/>
  <c r="O1403" i="5"/>
  <c r="O1404" i="5"/>
  <c r="O1405" i="5"/>
  <c r="O1406" i="5"/>
  <c r="O1407" i="5"/>
  <c r="O1408" i="5"/>
  <c r="O1409" i="5"/>
  <c r="O1410" i="5"/>
  <c r="O1411" i="5"/>
  <c r="O1412" i="5"/>
  <c r="O1413" i="5"/>
  <c r="O1414" i="5"/>
  <c r="O1415" i="5"/>
  <c r="O1416" i="5"/>
  <c r="O1417" i="5"/>
  <c r="O1418" i="5"/>
  <c r="O1419" i="5"/>
  <c r="O1420" i="5"/>
  <c r="O1421" i="5"/>
  <c r="O1422" i="5"/>
  <c r="O1423" i="5"/>
  <c r="O1424" i="5"/>
  <c r="O1425" i="5"/>
  <c r="O1426" i="5"/>
  <c r="O1427" i="5"/>
  <c r="O1428" i="5"/>
  <c r="O1429" i="5"/>
  <c r="O1430" i="5"/>
  <c r="O1431" i="5"/>
  <c r="O1432" i="5"/>
  <c r="O1433" i="5"/>
  <c r="O1434" i="5"/>
  <c r="O1435" i="5"/>
  <c r="O1436" i="5"/>
  <c r="O1437" i="5"/>
  <c r="O1438" i="5"/>
  <c r="O1439" i="5"/>
  <c r="O1440" i="5"/>
  <c r="O1441" i="5"/>
  <c r="O1442" i="5"/>
  <c r="O1443" i="5"/>
  <c r="O1444" i="5"/>
  <c r="O1445" i="5"/>
  <c r="O1446" i="5"/>
  <c r="O1447" i="5"/>
  <c r="O1448" i="5"/>
  <c r="O1449" i="5"/>
  <c r="O1450" i="5"/>
  <c r="O1451" i="5"/>
  <c r="O1452" i="5"/>
  <c r="O1453" i="5"/>
  <c r="O1454" i="5"/>
  <c r="O1455" i="5"/>
  <c r="O1456" i="5"/>
  <c r="O1457" i="5"/>
  <c r="O1458" i="5"/>
  <c r="O1459" i="5"/>
  <c r="O1460" i="5"/>
  <c r="O1461" i="5"/>
  <c r="O1462" i="5"/>
  <c r="O1463" i="5"/>
  <c r="O1464" i="5"/>
  <c r="O1465" i="5"/>
  <c r="O1466" i="5"/>
  <c r="O1467" i="5"/>
  <c r="O1468" i="5"/>
  <c r="O1469" i="5"/>
  <c r="O1470" i="5"/>
  <c r="O1471" i="5"/>
  <c r="O1472" i="5"/>
  <c r="O1473" i="5"/>
  <c r="O1474" i="5"/>
  <c r="O1475" i="5"/>
  <c r="O1476" i="5"/>
  <c r="O1477" i="5"/>
  <c r="O1478" i="5"/>
  <c r="O1479" i="5"/>
  <c r="O1480" i="5"/>
  <c r="O1481" i="5"/>
  <c r="O1482" i="5"/>
  <c r="O1483" i="5"/>
  <c r="O1484" i="5"/>
  <c r="O1485" i="5"/>
  <c r="O1486" i="5"/>
  <c r="O1487" i="5"/>
  <c r="O1488" i="5"/>
  <c r="O1489" i="5"/>
  <c r="O1490" i="5"/>
  <c r="O1491" i="5"/>
  <c r="O1492" i="5"/>
  <c r="O1493" i="5"/>
  <c r="O1494" i="5"/>
  <c r="O1495" i="5"/>
  <c r="O1496" i="5"/>
  <c r="O1497" i="5"/>
  <c r="O1498" i="5"/>
  <c r="O1499" i="5"/>
  <c r="O1500" i="5"/>
  <c r="O1501" i="5"/>
  <c r="O1502" i="5"/>
  <c r="O1503" i="5"/>
  <c r="O1504" i="5"/>
  <c r="O1505" i="5"/>
  <c r="O1506" i="5"/>
  <c r="O1507" i="5"/>
  <c r="O1508" i="5"/>
  <c r="O1509" i="5"/>
  <c r="O1510" i="5"/>
  <c r="O1511" i="5"/>
  <c r="O1512" i="5"/>
  <c r="O1513" i="5"/>
  <c r="O1514" i="5"/>
  <c r="O1515" i="5"/>
  <c r="O1516" i="5"/>
  <c r="O1517" i="5"/>
  <c r="O1518" i="5"/>
  <c r="O1519" i="5"/>
  <c r="O1520" i="5"/>
  <c r="O1521" i="5"/>
  <c r="O1522" i="5"/>
  <c r="O1523" i="5"/>
  <c r="O1524" i="5"/>
  <c r="O1525" i="5"/>
  <c r="O1526" i="5"/>
  <c r="O1527" i="5"/>
  <c r="O1528" i="5"/>
  <c r="O1529" i="5"/>
  <c r="O1530" i="5"/>
  <c r="O1531" i="5"/>
  <c r="O1532" i="5"/>
  <c r="O1533" i="5"/>
  <c r="O1534" i="5"/>
  <c r="O1535" i="5"/>
  <c r="O1536" i="5"/>
  <c r="O1537" i="5"/>
  <c r="O1538" i="5"/>
  <c r="O1539" i="5"/>
  <c r="O1540" i="5"/>
  <c r="O1541" i="5"/>
  <c r="O1542" i="5"/>
  <c r="O1543" i="5"/>
  <c r="O1544" i="5"/>
  <c r="O1545" i="5"/>
  <c r="O1546" i="5"/>
  <c r="O1547" i="5"/>
  <c r="O1548" i="5"/>
  <c r="O1549" i="5"/>
  <c r="O1550" i="5"/>
  <c r="O1551" i="5"/>
  <c r="O1552" i="5"/>
  <c r="O1553" i="5"/>
  <c r="O1554" i="5"/>
  <c r="O1555" i="5"/>
  <c r="O1556" i="5"/>
  <c r="O1557" i="5"/>
  <c r="O1558" i="5"/>
  <c r="O1559" i="5"/>
  <c r="O1560" i="5"/>
  <c r="O1561" i="5"/>
  <c r="O1562" i="5"/>
  <c r="O1563" i="5"/>
  <c r="O1564" i="5"/>
  <c r="O1565" i="5"/>
  <c r="O1566" i="5"/>
  <c r="O1567" i="5"/>
  <c r="O1568" i="5"/>
  <c r="O1569" i="5"/>
  <c r="O1570" i="5"/>
  <c r="O1571" i="5"/>
  <c r="O1572" i="5"/>
  <c r="O1573" i="5"/>
  <c r="O1574" i="5"/>
  <c r="O1575" i="5"/>
  <c r="O1576" i="5"/>
  <c r="O1577" i="5"/>
  <c r="O1578" i="5"/>
  <c r="O1579" i="5"/>
  <c r="O1580" i="5"/>
  <c r="O1581" i="5"/>
  <c r="O1582" i="5"/>
  <c r="O1583" i="5"/>
  <c r="O1584" i="5"/>
  <c r="O1585" i="5"/>
  <c r="O1586" i="5"/>
  <c r="O1587" i="5"/>
  <c r="O1588" i="5"/>
  <c r="O1589" i="5"/>
  <c r="O1590" i="5"/>
  <c r="O1591" i="5"/>
  <c r="O1592" i="5"/>
  <c r="O1593" i="5"/>
  <c r="O1594" i="5"/>
  <c r="O1595" i="5"/>
  <c r="O1596" i="5"/>
  <c r="O1597" i="5"/>
  <c r="O1598" i="5"/>
  <c r="O1599" i="5"/>
  <c r="O1600" i="5"/>
  <c r="O1601" i="5"/>
  <c r="O1602" i="5"/>
  <c r="O1603" i="5"/>
  <c r="O1604" i="5"/>
  <c r="O1605" i="5"/>
  <c r="O1606" i="5"/>
  <c r="O1607" i="5"/>
  <c r="O1608" i="5"/>
  <c r="O1609" i="5"/>
  <c r="O1610" i="5"/>
  <c r="O1611" i="5"/>
  <c r="O1612" i="5"/>
  <c r="O1613" i="5"/>
  <c r="O1614" i="5"/>
  <c r="O1615" i="5"/>
  <c r="O1616" i="5"/>
  <c r="O1617" i="5"/>
  <c r="O1618" i="5"/>
  <c r="O1619" i="5"/>
  <c r="O1620" i="5"/>
  <c r="O1621" i="5"/>
  <c r="O1622" i="5"/>
  <c r="O1623" i="5"/>
  <c r="O1624" i="5"/>
  <c r="O1625" i="5"/>
  <c r="O1626" i="5"/>
  <c r="O1627" i="5"/>
  <c r="O1628" i="5"/>
  <c r="O1629" i="5"/>
  <c r="O1630" i="5"/>
  <c r="O1631" i="5"/>
  <c r="O1632" i="5"/>
  <c r="O1633" i="5"/>
  <c r="O1634" i="5"/>
  <c r="O1635" i="5"/>
  <c r="O1636" i="5"/>
  <c r="O1637" i="5"/>
  <c r="O1638" i="5"/>
  <c r="O1639" i="5"/>
  <c r="O1640" i="5"/>
  <c r="O1641" i="5"/>
  <c r="O1642" i="5"/>
  <c r="O1643" i="5"/>
  <c r="O1644" i="5"/>
  <c r="O1645" i="5"/>
  <c r="O1646" i="5"/>
  <c r="O1647" i="5"/>
  <c r="O1648" i="5"/>
  <c r="O1649" i="5"/>
  <c r="O1650" i="5"/>
  <c r="O1651" i="5"/>
  <c r="O1652" i="5"/>
  <c r="O1653" i="5"/>
  <c r="O1654" i="5"/>
  <c r="O1655" i="5"/>
  <c r="O1656" i="5"/>
  <c r="O1657" i="5"/>
  <c r="O1658" i="5"/>
  <c r="O1659" i="5"/>
  <c r="O1660" i="5"/>
  <c r="O1661" i="5"/>
  <c r="O1662" i="5"/>
  <c r="O1663" i="5"/>
  <c r="O1664" i="5"/>
  <c r="O1665" i="5"/>
  <c r="O1666" i="5"/>
  <c r="O1667" i="5"/>
  <c r="O1668" i="5"/>
  <c r="O1669" i="5"/>
  <c r="O1670" i="5"/>
  <c r="O1671" i="5"/>
  <c r="O1672" i="5"/>
  <c r="O1673" i="5"/>
  <c r="O1674" i="5"/>
  <c r="O1675" i="5"/>
  <c r="O1676" i="5"/>
  <c r="O1677" i="5"/>
  <c r="O1678" i="5"/>
  <c r="O1679" i="5"/>
  <c r="O1680" i="5"/>
  <c r="O1681" i="5"/>
  <c r="O1682" i="5"/>
  <c r="O1683" i="5"/>
  <c r="O1684" i="5"/>
  <c r="O1685" i="5"/>
  <c r="O1686" i="5"/>
  <c r="O1687" i="5"/>
  <c r="O1688" i="5"/>
  <c r="O1689" i="5"/>
  <c r="O1690" i="5"/>
  <c r="O1691" i="5"/>
  <c r="O1692" i="5"/>
  <c r="O1693" i="5"/>
  <c r="O1694" i="5"/>
  <c r="O1695" i="5"/>
  <c r="O1696" i="5"/>
  <c r="O1697" i="5"/>
  <c r="O1698" i="5"/>
  <c r="O1699" i="5"/>
  <c r="O1700" i="5"/>
  <c r="O1701" i="5"/>
  <c r="O1702" i="5"/>
  <c r="O1703" i="5"/>
  <c r="O1704" i="5"/>
  <c r="O1705" i="5"/>
  <c r="O1706" i="5"/>
  <c r="O1707" i="5"/>
  <c r="O1708" i="5"/>
  <c r="O1709" i="5"/>
  <c r="O1710" i="5"/>
  <c r="O1711" i="5"/>
  <c r="O1712" i="5"/>
  <c r="O1713" i="5"/>
  <c r="O1714" i="5"/>
  <c r="O1715" i="5"/>
  <c r="O1716" i="5"/>
  <c r="O1717" i="5"/>
  <c r="O1718" i="5"/>
  <c r="O1719" i="5"/>
  <c r="O1720" i="5"/>
  <c r="O1721" i="5"/>
  <c r="O1722" i="5"/>
  <c r="O1723" i="5"/>
  <c r="O1724" i="5"/>
  <c r="O1725" i="5"/>
  <c r="O1726" i="5"/>
  <c r="O1727" i="5"/>
  <c r="O1728" i="5"/>
  <c r="O1729" i="5"/>
  <c r="O1730" i="5"/>
  <c r="O1731" i="5"/>
  <c r="O1732" i="5"/>
  <c r="O1733" i="5"/>
  <c r="O1734" i="5"/>
  <c r="O1735" i="5"/>
  <c r="O1736" i="5"/>
  <c r="O1737" i="5"/>
  <c r="O1738" i="5"/>
  <c r="O1739" i="5"/>
  <c r="O1740" i="5"/>
  <c r="O1741" i="5"/>
  <c r="O1742" i="5"/>
  <c r="O1743" i="5"/>
  <c r="O1744" i="5"/>
  <c r="O1745" i="5"/>
  <c r="O1746" i="5"/>
  <c r="O1747" i="5"/>
  <c r="O1748" i="5"/>
  <c r="O1749" i="5"/>
  <c r="O1750" i="5"/>
  <c r="O1751" i="5"/>
  <c r="O1752" i="5"/>
  <c r="O1753" i="5"/>
  <c r="O1754" i="5"/>
  <c r="O1755" i="5"/>
  <c r="O1756" i="5"/>
  <c r="O1757" i="5"/>
  <c r="O1758" i="5"/>
  <c r="O1759" i="5"/>
  <c r="O1760" i="5"/>
  <c r="O1761" i="5"/>
  <c r="O1762" i="5"/>
  <c r="O1763" i="5"/>
  <c r="O1764" i="5"/>
  <c r="O1765" i="5"/>
  <c r="O1766" i="5"/>
  <c r="O1767" i="5"/>
  <c r="O1768" i="5"/>
  <c r="O1769" i="5"/>
  <c r="O1770" i="5"/>
  <c r="O1771" i="5"/>
  <c r="O1772" i="5"/>
  <c r="O1773" i="5"/>
  <c r="O1774" i="5"/>
  <c r="O1775" i="5"/>
  <c r="O1776" i="5"/>
  <c r="O1777" i="5"/>
  <c r="O1778" i="5"/>
  <c r="O1779" i="5"/>
  <c r="O1780" i="5"/>
  <c r="O1781" i="5"/>
  <c r="O1782" i="5"/>
  <c r="O1783" i="5"/>
  <c r="O1784" i="5"/>
  <c r="O1785" i="5"/>
  <c r="O1786" i="5"/>
  <c r="O1787" i="5"/>
  <c r="O1788" i="5"/>
  <c r="O1789" i="5"/>
  <c r="O1790" i="5"/>
  <c r="O1791" i="5"/>
  <c r="O1792" i="5"/>
  <c r="O1793" i="5"/>
  <c r="O1794" i="5"/>
  <c r="O1795" i="5"/>
  <c r="O1796" i="5"/>
  <c r="O1797" i="5"/>
  <c r="O1798" i="5"/>
  <c r="O1799" i="5"/>
  <c r="O1800" i="5"/>
  <c r="O1801" i="5"/>
  <c r="O1802" i="5"/>
  <c r="O1803" i="5"/>
  <c r="O1804" i="5"/>
  <c r="O1805" i="5"/>
  <c r="O1806" i="5"/>
  <c r="O1807" i="5"/>
  <c r="O1808" i="5"/>
  <c r="O1809" i="5"/>
  <c r="O1810" i="5"/>
  <c r="O1811" i="5"/>
  <c r="O1812" i="5"/>
  <c r="O1813" i="5"/>
  <c r="O1814" i="5"/>
  <c r="O1815" i="5"/>
  <c r="O1816" i="5"/>
  <c r="O1817" i="5"/>
  <c r="O1818" i="5"/>
  <c r="O1819" i="5"/>
  <c r="O1820" i="5"/>
  <c r="O1821" i="5"/>
  <c r="O1822" i="5"/>
  <c r="O1823" i="5"/>
  <c r="O1824" i="5"/>
  <c r="O1825" i="5"/>
  <c r="O1826" i="5"/>
  <c r="O1827" i="5"/>
  <c r="O1828" i="5"/>
  <c r="O1829" i="5"/>
  <c r="O1830" i="5"/>
  <c r="O1831" i="5"/>
  <c r="O1832" i="5"/>
  <c r="O1833" i="5"/>
  <c r="O1834" i="5"/>
  <c r="O1835" i="5"/>
  <c r="O1836" i="5"/>
  <c r="O1837" i="5"/>
  <c r="O1838" i="5"/>
  <c r="O1839" i="5"/>
  <c r="O1840" i="5"/>
  <c r="O1841" i="5"/>
  <c r="O1842" i="5"/>
  <c r="O1843" i="5"/>
  <c r="O1844" i="5"/>
  <c r="O1845" i="5"/>
  <c r="O1846" i="5"/>
  <c r="O1847" i="5"/>
  <c r="O1848" i="5"/>
  <c r="O1849" i="5"/>
  <c r="O1850" i="5"/>
  <c r="O1851" i="5"/>
  <c r="O1852" i="5"/>
  <c r="O1853" i="5"/>
  <c r="O1854" i="5"/>
  <c r="O1855" i="5"/>
  <c r="O1856" i="5"/>
  <c r="O1857" i="5"/>
  <c r="O1858" i="5"/>
  <c r="O1859" i="5"/>
  <c r="O1860" i="5"/>
  <c r="O1861" i="5"/>
  <c r="O1862" i="5"/>
  <c r="O1863" i="5"/>
  <c r="O1864" i="5"/>
  <c r="O1865" i="5"/>
  <c r="O1866" i="5"/>
  <c r="O1867" i="5"/>
  <c r="O1868" i="5"/>
  <c r="O1869" i="5"/>
  <c r="O1870" i="5"/>
  <c r="O1871" i="5"/>
  <c r="O1872" i="5"/>
  <c r="O1873" i="5"/>
  <c r="O1874" i="5"/>
  <c r="O1875" i="5"/>
  <c r="O1876" i="5"/>
  <c r="O1877" i="5"/>
  <c r="O1878" i="5"/>
  <c r="O1879" i="5"/>
  <c r="O1880" i="5"/>
  <c r="O1881" i="5"/>
  <c r="O1882" i="5"/>
  <c r="O1883" i="5"/>
  <c r="O1884" i="5"/>
  <c r="O1885" i="5"/>
  <c r="O1886" i="5"/>
  <c r="O1887" i="5"/>
  <c r="O1888" i="5"/>
  <c r="O1889" i="5"/>
  <c r="O1890" i="5"/>
  <c r="O1891" i="5"/>
  <c r="O1892" i="5"/>
  <c r="O1893" i="5"/>
  <c r="O1894" i="5"/>
  <c r="O1895" i="5"/>
  <c r="O1896" i="5"/>
  <c r="O1897" i="5"/>
  <c r="O1898" i="5"/>
  <c r="O1899" i="5"/>
  <c r="O1900" i="5"/>
  <c r="O1901" i="5"/>
  <c r="O1902" i="5"/>
  <c r="O1903" i="5"/>
  <c r="O1904" i="5"/>
  <c r="O1905" i="5"/>
  <c r="O1906" i="5"/>
  <c r="O1907" i="5"/>
  <c r="O1908" i="5"/>
  <c r="O1909" i="5"/>
  <c r="O1910" i="5"/>
  <c r="O1911" i="5"/>
  <c r="O1912" i="5"/>
  <c r="O1913" i="5"/>
  <c r="O1914" i="5"/>
  <c r="O1915" i="5"/>
  <c r="O1916" i="5"/>
  <c r="O1917" i="5"/>
  <c r="O1918" i="5"/>
  <c r="O1919" i="5"/>
  <c r="O1920" i="5"/>
  <c r="O1921" i="5"/>
  <c r="O1922" i="5"/>
  <c r="O1923" i="5"/>
  <c r="O1924" i="5"/>
  <c r="O1925" i="5"/>
  <c r="O1926" i="5"/>
  <c r="O1927" i="5"/>
  <c r="O1928" i="5"/>
  <c r="O1929" i="5"/>
  <c r="O1930" i="5"/>
  <c r="O1931" i="5"/>
  <c r="O1932" i="5"/>
  <c r="O1933" i="5"/>
  <c r="O1934" i="5"/>
  <c r="O1935" i="5"/>
  <c r="O1936" i="5"/>
  <c r="O1937" i="5"/>
  <c r="O1938" i="5"/>
  <c r="O1939" i="5"/>
  <c r="O1940" i="5"/>
  <c r="O1941" i="5"/>
  <c r="O1942" i="5"/>
  <c r="O1943" i="5"/>
  <c r="O1944" i="5"/>
  <c r="O1945" i="5"/>
  <c r="O1946" i="5"/>
  <c r="O1947" i="5"/>
  <c r="O1948" i="5"/>
  <c r="O1949" i="5"/>
  <c r="O1950" i="5"/>
  <c r="O1951" i="5"/>
  <c r="O1952" i="5"/>
  <c r="O1953" i="5"/>
  <c r="O1954" i="5"/>
  <c r="O1955" i="5"/>
  <c r="O1956" i="5"/>
  <c r="O1957" i="5"/>
  <c r="O1958" i="5"/>
  <c r="O1959" i="5"/>
  <c r="O1960" i="5"/>
  <c r="O1961" i="5"/>
  <c r="O1962" i="5"/>
  <c r="O1963" i="5"/>
  <c r="O1964" i="5"/>
  <c r="O1965" i="5"/>
  <c r="O1966" i="5"/>
  <c r="O1967" i="5"/>
  <c r="O1968" i="5"/>
  <c r="O1969" i="5"/>
  <c r="O1970" i="5"/>
  <c r="O1971" i="5"/>
  <c r="O1972" i="5"/>
  <c r="O1973" i="5"/>
  <c r="O1974" i="5"/>
  <c r="O1975" i="5"/>
  <c r="O1976" i="5"/>
  <c r="O1977" i="5"/>
  <c r="O1978" i="5"/>
  <c r="O1979" i="5"/>
  <c r="O1980" i="5"/>
  <c r="O1981" i="5"/>
  <c r="O1982" i="5"/>
  <c r="O1983" i="5"/>
  <c r="O1984" i="5"/>
  <c r="O1985" i="5"/>
  <c r="O1986" i="5"/>
  <c r="O1987" i="5"/>
  <c r="O1988" i="5"/>
  <c r="O1989" i="5"/>
  <c r="O1990" i="5"/>
  <c r="O1991" i="5"/>
  <c r="O1992" i="5"/>
  <c r="O1993" i="5"/>
  <c r="O1994" i="5"/>
  <c r="O1995" i="5"/>
  <c r="O1996" i="5"/>
  <c r="O1997" i="5"/>
  <c r="O1998" i="5"/>
  <c r="O1999" i="5"/>
  <c r="O2000" i="5"/>
  <c r="O2001" i="5"/>
  <c r="O2002" i="5"/>
  <c r="O2003" i="5"/>
  <c r="O2004" i="5"/>
  <c r="O2005" i="5"/>
  <c r="O2006" i="5"/>
  <c r="O2007" i="5"/>
  <c r="O2008" i="5"/>
  <c r="O2009" i="5"/>
  <c r="O2010" i="5"/>
  <c r="O2011" i="5"/>
  <c r="O2012" i="5"/>
  <c r="O2013" i="5"/>
  <c r="O2014" i="5"/>
  <c r="O2015" i="5"/>
  <c r="O2016" i="5"/>
  <c r="O2017" i="5"/>
  <c r="O2018" i="5"/>
  <c r="O2019" i="5"/>
  <c r="O2020" i="5"/>
  <c r="O2021" i="5"/>
  <c r="O2022" i="5"/>
  <c r="O2023" i="5"/>
  <c r="O2024" i="5"/>
  <c r="O2025" i="5"/>
  <c r="O2026" i="5"/>
  <c r="O2027" i="5"/>
  <c r="O2028" i="5"/>
  <c r="O2029" i="5"/>
  <c r="O2030" i="5"/>
  <c r="O2031" i="5"/>
  <c r="O2032" i="5"/>
  <c r="O2033" i="5"/>
  <c r="O2034" i="5"/>
  <c r="O2035" i="5"/>
  <c r="O2036" i="5"/>
  <c r="O2037" i="5"/>
  <c r="O2038" i="5"/>
  <c r="O2039" i="5"/>
  <c r="O2040" i="5"/>
  <c r="O2041" i="5"/>
  <c r="O2042" i="5"/>
  <c r="O2043" i="5"/>
  <c r="O2044" i="5"/>
  <c r="O2045" i="5"/>
  <c r="O2046" i="5"/>
  <c r="O2047" i="5"/>
  <c r="O2048" i="5"/>
  <c r="O2049" i="5"/>
  <c r="O2050" i="5"/>
  <c r="O2051" i="5"/>
  <c r="O2052" i="5"/>
  <c r="O2053" i="5"/>
  <c r="O2054" i="5"/>
  <c r="O2055" i="5"/>
  <c r="O2056" i="5"/>
  <c r="O2057" i="5"/>
  <c r="O2058" i="5"/>
  <c r="O2059" i="5"/>
  <c r="O2060" i="5"/>
  <c r="O2061" i="5"/>
  <c r="O2062" i="5"/>
  <c r="O2063" i="5"/>
  <c r="O2064" i="5"/>
  <c r="O2065" i="5"/>
  <c r="O2066" i="5"/>
  <c r="O2067" i="5"/>
  <c r="O2068" i="5"/>
  <c r="O2069" i="5"/>
  <c r="O2070" i="5"/>
  <c r="O2071" i="5"/>
  <c r="O2072" i="5"/>
  <c r="O2073" i="5"/>
  <c r="O2074" i="5"/>
  <c r="O2075" i="5"/>
  <c r="O2076" i="5"/>
  <c r="O2077" i="5"/>
  <c r="O2078" i="5"/>
  <c r="O2079" i="5"/>
  <c r="O2080" i="5"/>
  <c r="O2081" i="5"/>
  <c r="O2082" i="5"/>
  <c r="O2083" i="5"/>
  <c r="O2084" i="5"/>
  <c r="O2085" i="5"/>
  <c r="O2086" i="5"/>
  <c r="O2087" i="5"/>
  <c r="O2088" i="5"/>
  <c r="O2089" i="5"/>
  <c r="O2090" i="5"/>
  <c r="O2091" i="5"/>
  <c r="O2092" i="5"/>
  <c r="O2093" i="5"/>
  <c r="O2094" i="5"/>
  <c r="O2095" i="5"/>
  <c r="O2096" i="5"/>
  <c r="O2097" i="5"/>
  <c r="O2098" i="5"/>
  <c r="O2099" i="5"/>
  <c r="O2100" i="5"/>
  <c r="O2101" i="5"/>
  <c r="O2102" i="5"/>
  <c r="O2103" i="5"/>
  <c r="O2104" i="5"/>
  <c r="O2105" i="5"/>
  <c r="O2106" i="5"/>
  <c r="O2107" i="5"/>
  <c r="O2108" i="5"/>
  <c r="O2109" i="5"/>
  <c r="O2110" i="5"/>
  <c r="O2111" i="5"/>
  <c r="O2112" i="5"/>
  <c r="O2113" i="5"/>
  <c r="O2114" i="5"/>
  <c r="O2115" i="5"/>
  <c r="O2116" i="5"/>
  <c r="O2117" i="5"/>
  <c r="O2118" i="5"/>
  <c r="O2119" i="5"/>
  <c r="O2120" i="5"/>
  <c r="O2121" i="5"/>
  <c r="O2122" i="5"/>
  <c r="O2123" i="5"/>
  <c r="O2124" i="5"/>
  <c r="O2125" i="5"/>
  <c r="O2126" i="5"/>
  <c r="O2127" i="5"/>
  <c r="O2128" i="5"/>
  <c r="O2129" i="5"/>
  <c r="O2130" i="5"/>
  <c r="O2131" i="5"/>
  <c r="O2132" i="5"/>
  <c r="O2133" i="5"/>
  <c r="O2134" i="5"/>
  <c r="O2135" i="5"/>
  <c r="O2136" i="5"/>
  <c r="O2137" i="5"/>
  <c r="O2138" i="5"/>
  <c r="O2139" i="5"/>
  <c r="O2140" i="5"/>
  <c r="O2141" i="5"/>
  <c r="O2142" i="5"/>
  <c r="O2143" i="5"/>
  <c r="O2144" i="5"/>
  <c r="O2145" i="5"/>
  <c r="O2146" i="5"/>
  <c r="O2147" i="5"/>
  <c r="O2148" i="5"/>
  <c r="P925" i="5"/>
  <c r="P926" i="5"/>
  <c r="P927" i="5"/>
  <c r="P928" i="5"/>
  <c r="P929" i="5"/>
  <c r="P930" i="5"/>
  <c r="P931" i="5"/>
  <c r="P932" i="5"/>
  <c r="P933" i="5"/>
  <c r="P934" i="5"/>
  <c r="P935" i="5"/>
  <c r="P936" i="5"/>
  <c r="P937" i="5"/>
  <c r="P938" i="5"/>
  <c r="P939" i="5"/>
  <c r="P940" i="5"/>
  <c r="P941" i="5"/>
  <c r="P942" i="5"/>
  <c r="P943" i="5"/>
  <c r="P944" i="5"/>
  <c r="P945" i="5"/>
  <c r="P946" i="5"/>
  <c r="P947" i="5"/>
  <c r="P948" i="5"/>
  <c r="P949" i="5"/>
  <c r="P950" i="5"/>
  <c r="P951" i="5"/>
  <c r="P952" i="5"/>
  <c r="P953" i="5"/>
  <c r="P954" i="5"/>
  <c r="P955" i="5"/>
  <c r="P956" i="5"/>
  <c r="P957" i="5"/>
  <c r="P958" i="5"/>
  <c r="P959" i="5"/>
  <c r="P960" i="5"/>
  <c r="P961" i="5"/>
  <c r="P962" i="5"/>
  <c r="P963" i="5"/>
  <c r="P964" i="5"/>
  <c r="P965" i="5"/>
  <c r="P966" i="5"/>
  <c r="P967" i="5"/>
  <c r="P968" i="5"/>
  <c r="P969" i="5"/>
  <c r="P970" i="5"/>
  <c r="P971" i="5"/>
  <c r="P972" i="5"/>
  <c r="P973" i="5"/>
  <c r="P974" i="5"/>
  <c r="P975" i="5"/>
  <c r="P976" i="5"/>
  <c r="P977" i="5"/>
  <c r="P978" i="5"/>
  <c r="P979" i="5"/>
  <c r="P980" i="5"/>
  <c r="P981" i="5"/>
  <c r="P982" i="5"/>
  <c r="P983" i="5"/>
  <c r="P984" i="5"/>
  <c r="P985" i="5"/>
  <c r="P986" i="5"/>
  <c r="P987" i="5"/>
  <c r="P988" i="5"/>
  <c r="P989" i="5"/>
  <c r="P990" i="5"/>
  <c r="P991" i="5"/>
  <c r="P992" i="5"/>
  <c r="P993" i="5"/>
  <c r="P994" i="5"/>
  <c r="P995" i="5"/>
  <c r="P996" i="5"/>
  <c r="P997" i="5"/>
  <c r="P998" i="5"/>
  <c r="P999" i="5"/>
  <c r="P1000" i="5"/>
  <c r="P1001" i="5"/>
  <c r="P1002" i="5"/>
  <c r="P1003" i="5"/>
  <c r="P1004" i="5"/>
  <c r="P1005" i="5"/>
  <c r="P1006" i="5"/>
  <c r="P1007" i="5"/>
  <c r="P1008" i="5"/>
  <c r="P1009" i="5"/>
  <c r="P1010" i="5"/>
  <c r="P1011" i="5"/>
  <c r="P1012" i="5"/>
  <c r="P1013" i="5"/>
  <c r="P1014" i="5"/>
  <c r="P1015" i="5"/>
  <c r="P1016" i="5"/>
  <c r="P1017" i="5"/>
  <c r="P1018" i="5"/>
  <c r="P1019" i="5"/>
  <c r="P1020" i="5"/>
  <c r="P1021" i="5"/>
  <c r="P1022" i="5"/>
  <c r="P1023" i="5"/>
  <c r="P1024" i="5"/>
  <c r="P1025" i="5"/>
  <c r="P1026" i="5"/>
  <c r="P1027" i="5"/>
  <c r="P1028" i="5"/>
  <c r="P1029" i="5"/>
  <c r="P1030" i="5"/>
  <c r="P1031" i="5"/>
  <c r="P1032" i="5"/>
  <c r="P1033" i="5"/>
  <c r="P1034" i="5"/>
  <c r="P1035" i="5"/>
  <c r="P1036" i="5"/>
  <c r="P1037" i="5"/>
  <c r="P1038" i="5"/>
  <c r="P1039" i="5"/>
  <c r="P1040" i="5"/>
  <c r="P1041" i="5"/>
  <c r="P1042" i="5"/>
  <c r="P1043" i="5"/>
  <c r="P1044" i="5"/>
  <c r="P1045" i="5"/>
  <c r="P1046" i="5"/>
  <c r="P1047" i="5"/>
  <c r="P1048" i="5"/>
  <c r="P1049" i="5"/>
  <c r="P1050" i="5"/>
  <c r="P1051" i="5"/>
  <c r="P1052" i="5"/>
  <c r="P1053" i="5"/>
  <c r="P1054" i="5"/>
  <c r="P1055" i="5"/>
  <c r="P1056" i="5"/>
  <c r="P1057" i="5"/>
  <c r="P1058" i="5"/>
  <c r="P1059" i="5"/>
  <c r="P1060" i="5"/>
  <c r="P1061" i="5"/>
  <c r="P1062" i="5"/>
  <c r="P1063" i="5"/>
  <c r="P1064" i="5"/>
  <c r="P1065" i="5"/>
  <c r="P1066" i="5"/>
  <c r="P1067" i="5"/>
  <c r="P1068" i="5"/>
  <c r="P1069" i="5"/>
  <c r="P1070" i="5"/>
  <c r="P1071" i="5"/>
  <c r="P1072" i="5"/>
  <c r="P1073" i="5"/>
  <c r="P1074" i="5"/>
  <c r="P1075" i="5"/>
  <c r="P1076" i="5"/>
  <c r="P1077" i="5"/>
  <c r="P1078" i="5"/>
  <c r="P1079" i="5"/>
  <c r="P1080" i="5"/>
  <c r="P1081" i="5"/>
  <c r="P1082" i="5"/>
  <c r="P1083" i="5"/>
  <c r="P1084" i="5"/>
  <c r="P1085" i="5"/>
  <c r="P1086" i="5"/>
  <c r="P1087" i="5"/>
  <c r="P1088" i="5"/>
  <c r="P1089" i="5"/>
  <c r="P1090" i="5"/>
  <c r="P1091" i="5"/>
  <c r="P1092" i="5"/>
  <c r="P1093" i="5"/>
  <c r="P1094" i="5"/>
  <c r="P1095" i="5"/>
  <c r="P1096" i="5"/>
  <c r="P1097" i="5"/>
  <c r="P1098" i="5"/>
  <c r="P1099" i="5"/>
  <c r="P1100" i="5"/>
  <c r="P1101" i="5"/>
  <c r="P1102" i="5"/>
  <c r="P1103" i="5"/>
  <c r="P1104" i="5"/>
  <c r="P1105" i="5"/>
  <c r="P1106" i="5"/>
  <c r="P1107" i="5"/>
  <c r="P1108" i="5"/>
  <c r="P1109" i="5"/>
  <c r="P1110" i="5"/>
  <c r="P1111" i="5"/>
  <c r="P1112" i="5"/>
  <c r="P1113" i="5"/>
  <c r="P1114" i="5"/>
  <c r="P1115" i="5"/>
  <c r="P1116" i="5"/>
  <c r="P1117" i="5"/>
  <c r="P1118" i="5"/>
  <c r="P1119" i="5"/>
  <c r="P1120" i="5"/>
  <c r="P1121" i="5"/>
  <c r="P1122" i="5"/>
  <c r="P1123" i="5"/>
  <c r="P1124" i="5"/>
  <c r="P1125" i="5"/>
  <c r="P1126" i="5"/>
  <c r="P1127" i="5"/>
  <c r="P1128" i="5"/>
  <c r="P1129" i="5"/>
  <c r="P1130" i="5"/>
  <c r="P1131" i="5"/>
  <c r="P1132" i="5"/>
  <c r="P1133" i="5"/>
  <c r="P1134" i="5"/>
  <c r="P1135" i="5"/>
  <c r="P1136" i="5"/>
  <c r="P1137" i="5"/>
  <c r="P1138" i="5"/>
  <c r="P1139" i="5"/>
  <c r="P1140" i="5"/>
  <c r="P1141" i="5"/>
  <c r="P1142" i="5"/>
  <c r="P1143" i="5"/>
  <c r="P1144" i="5"/>
  <c r="P1145" i="5"/>
  <c r="P1146" i="5"/>
  <c r="P1147" i="5"/>
  <c r="P1148" i="5"/>
  <c r="P1149" i="5"/>
  <c r="P1150" i="5"/>
  <c r="P1151" i="5"/>
  <c r="P1152" i="5"/>
  <c r="P1153" i="5"/>
  <c r="P1154" i="5"/>
  <c r="P1155" i="5"/>
  <c r="P1156" i="5"/>
  <c r="P1157" i="5"/>
  <c r="P1158" i="5"/>
  <c r="P1159" i="5"/>
  <c r="P1160" i="5"/>
  <c r="P1161" i="5"/>
  <c r="P1162" i="5"/>
  <c r="P1163" i="5"/>
  <c r="P1164" i="5"/>
  <c r="P1165" i="5"/>
  <c r="P1166" i="5"/>
  <c r="P1167" i="5"/>
  <c r="P1168" i="5"/>
  <c r="P1169" i="5"/>
  <c r="P1170" i="5"/>
  <c r="P1171" i="5"/>
  <c r="P1172" i="5"/>
  <c r="P1173" i="5"/>
  <c r="P1174" i="5"/>
  <c r="P1175" i="5"/>
  <c r="P1176" i="5"/>
  <c r="P1177" i="5"/>
  <c r="P1178" i="5"/>
  <c r="P1179" i="5"/>
  <c r="P1180" i="5"/>
  <c r="P1181" i="5"/>
  <c r="P1182" i="5"/>
  <c r="P1183" i="5"/>
  <c r="P1184" i="5"/>
  <c r="P1185" i="5"/>
  <c r="P1186" i="5"/>
  <c r="P1187" i="5"/>
  <c r="P1188" i="5"/>
  <c r="P1189" i="5"/>
  <c r="P1190" i="5"/>
  <c r="P1191" i="5"/>
  <c r="P1192" i="5"/>
  <c r="P1193" i="5"/>
  <c r="P1194" i="5"/>
  <c r="P1195" i="5"/>
  <c r="P1196" i="5"/>
  <c r="P1197" i="5"/>
  <c r="P1198" i="5"/>
  <c r="P1199" i="5"/>
  <c r="P1200" i="5"/>
  <c r="P1201" i="5"/>
  <c r="P1202" i="5"/>
  <c r="P1203" i="5"/>
  <c r="P1204" i="5"/>
  <c r="P1205" i="5"/>
  <c r="P1206" i="5"/>
  <c r="P1207" i="5"/>
  <c r="P1208" i="5"/>
  <c r="P1209" i="5"/>
  <c r="P1210" i="5"/>
  <c r="P1211" i="5"/>
  <c r="P1212" i="5"/>
  <c r="P1213" i="5"/>
  <c r="P1214" i="5"/>
  <c r="P1215" i="5"/>
  <c r="P1216" i="5"/>
  <c r="P1217" i="5"/>
  <c r="P1218" i="5"/>
  <c r="P1219" i="5"/>
  <c r="P1220" i="5"/>
  <c r="P1221" i="5"/>
  <c r="P1222" i="5"/>
  <c r="P1223" i="5"/>
  <c r="P1224" i="5"/>
  <c r="P1225" i="5"/>
  <c r="P1226" i="5"/>
  <c r="P1227" i="5"/>
  <c r="P1228" i="5"/>
  <c r="P1229" i="5"/>
  <c r="P1230" i="5"/>
  <c r="P1231" i="5"/>
  <c r="P1232" i="5"/>
  <c r="P1233" i="5"/>
  <c r="P1234" i="5"/>
  <c r="P1235" i="5"/>
  <c r="P1236" i="5"/>
  <c r="P1237" i="5"/>
  <c r="P1238" i="5"/>
  <c r="P1239" i="5"/>
  <c r="P1240" i="5"/>
  <c r="P1241" i="5"/>
  <c r="P1242" i="5"/>
  <c r="P1243" i="5"/>
  <c r="P1244" i="5"/>
  <c r="P1245" i="5"/>
  <c r="P1246" i="5"/>
  <c r="P1247" i="5"/>
  <c r="P1248" i="5"/>
  <c r="P1249" i="5"/>
  <c r="P1250" i="5"/>
  <c r="P1251" i="5"/>
  <c r="P1252" i="5"/>
  <c r="P1253" i="5"/>
  <c r="P1254" i="5"/>
  <c r="P1255" i="5"/>
  <c r="P1256" i="5"/>
  <c r="P1257" i="5"/>
  <c r="P1258" i="5"/>
  <c r="P1259" i="5"/>
  <c r="P1260" i="5"/>
  <c r="P1261" i="5"/>
  <c r="P1262" i="5"/>
  <c r="P1263" i="5"/>
  <c r="P1264" i="5"/>
  <c r="P1265" i="5"/>
  <c r="P1266" i="5"/>
  <c r="P1267" i="5"/>
  <c r="P1268" i="5"/>
  <c r="P1269" i="5"/>
  <c r="P1270" i="5"/>
  <c r="P1271" i="5"/>
  <c r="P1272" i="5"/>
  <c r="P1273" i="5"/>
  <c r="P1274" i="5"/>
  <c r="P1275" i="5"/>
  <c r="P1276" i="5"/>
  <c r="P1277" i="5"/>
  <c r="P1278" i="5"/>
  <c r="P1279" i="5"/>
  <c r="P1280" i="5"/>
  <c r="P1281" i="5"/>
  <c r="P1282" i="5"/>
  <c r="P1283" i="5"/>
  <c r="P1284" i="5"/>
  <c r="P1285" i="5"/>
  <c r="P1286" i="5"/>
  <c r="P1287" i="5"/>
  <c r="P1288" i="5"/>
  <c r="P1289" i="5"/>
  <c r="P1290" i="5"/>
  <c r="P1291" i="5"/>
  <c r="P1292" i="5"/>
  <c r="P1293" i="5"/>
  <c r="P1294" i="5"/>
  <c r="P1295" i="5"/>
  <c r="P1296" i="5"/>
  <c r="P1297" i="5"/>
  <c r="P1298" i="5"/>
  <c r="P1299" i="5"/>
  <c r="P1300" i="5"/>
  <c r="P1301" i="5"/>
  <c r="P1302" i="5"/>
  <c r="P1303" i="5"/>
  <c r="P1304" i="5"/>
  <c r="P1305" i="5"/>
  <c r="P1306" i="5"/>
  <c r="P1307" i="5"/>
  <c r="P1308" i="5"/>
  <c r="P1309" i="5"/>
  <c r="P1310" i="5"/>
  <c r="P1311" i="5"/>
  <c r="P1312" i="5"/>
  <c r="P1313" i="5"/>
  <c r="P1314" i="5"/>
  <c r="P1315" i="5"/>
  <c r="P1316" i="5"/>
  <c r="P1317" i="5"/>
  <c r="P1318" i="5"/>
  <c r="P1319" i="5"/>
  <c r="P1320" i="5"/>
  <c r="P1321" i="5"/>
  <c r="P1322" i="5"/>
  <c r="P1323" i="5"/>
  <c r="P1324" i="5"/>
  <c r="P1325" i="5"/>
  <c r="P1326" i="5"/>
  <c r="P1327" i="5"/>
  <c r="P1328" i="5"/>
  <c r="P1329" i="5"/>
  <c r="P1330" i="5"/>
  <c r="P1331" i="5"/>
  <c r="P1332" i="5"/>
  <c r="P1333" i="5"/>
  <c r="P1334" i="5"/>
  <c r="P1335" i="5"/>
  <c r="P1336" i="5"/>
  <c r="P1337" i="5"/>
  <c r="P1338" i="5"/>
  <c r="P1339" i="5"/>
  <c r="P1340" i="5"/>
  <c r="P1341" i="5"/>
  <c r="P1342" i="5"/>
  <c r="P1343" i="5"/>
  <c r="P1344" i="5"/>
  <c r="P1345" i="5"/>
  <c r="P1346" i="5"/>
  <c r="P1347" i="5"/>
  <c r="P1348" i="5"/>
  <c r="P1349" i="5"/>
  <c r="P1350" i="5"/>
  <c r="P1351" i="5"/>
  <c r="P1352" i="5"/>
  <c r="P1353" i="5"/>
  <c r="P1354" i="5"/>
  <c r="P1355" i="5"/>
  <c r="P1356" i="5"/>
  <c r="P1357" i="5"/>
  <c r="P1358" i="5"/>
  <c r="P1359" i="5"/>
  <c r="P1360" i="5"/>
  <c r="P1361" i="5"/>
  <c r="P1362" i="5"/>
  <c r="P1363" i="5"/>
  <c r="P1364" i="5"/>
  <c r="P1365" i="5"/>
  <c r="P1366" i="5"/>
  <c r="P1367" i="5"/>
  <c r="P1368" i="5"/>
  <c r="P1369" i="5"/>
  <c r="P1370" i="5"/>
  <c r="P1371" i="5"/>
  <c r="P1372" i="5"/>
  <c r="P1373" i="5"/>
  <c r="P1374" i="5"/>
  <c r="P1375" i="5"/>
  <c r="P1376" i="5"/>
  <c r="P1377" i="5"/>
  <c r="P1378" i="5"/>
  <c r="P1379" i="5"/>
  <c r="P1380" i="5"/>
  <c r="P1381" i="5"/>
  <c r="P1382" i="5"/>
  <c r="P1383" i="5"/>
  <c r="P1384" i="5"/>
  <c r="P1385" i="5"/>
  <c r="P1386" i="5"/>
  <c r="P1387" i="5"/>
  <c r="P1388" i="5"/>
  <c r="P1389" i="5"/>
  <c r="P1390" i="5"/>
  <c r="P1391" i="5"/>
  <c r="P1392" i="5"/>
  <c r="P1393" i="5"/>
  <c r="P1394" i="5"/>
  <c r="P1395" i="5"/>
  <c r="P1396" i="5"/>
  <c r="P1397" i="5"/>
  <c r="P1398" i="5"/>
  <c r="P1399" i="5"/>
  <c r="P1400" i="5"/>
  <c r="P1401" i="5"/>
  <c r="P1402" i="5"/>
  <c r="P1403" i="5"/>
  <c r="P1404" i="5"/>
  <c r="P1405" i="5"/>
  <c r="P1406" i="5"/>
  <c r="P1407" i="5"/>
  <c r="P1408" i="5"/>
  <c r="P1409" i="5"/>
  <c r="P1410" i="5"/>
  <c r="P1411" i="5"/>
  <c r="P1412" i="5"/>
  <c r="P1413" i="5"/>
  <c r="P1414" i="5"/>
  <c r="P1415" i="5"/>
  <c r="P1416" i="5"/>
  <c r="P1417" i="5"/>
  <c r="P1418" i="5"/>
  <c r="P1419" i="5"/>
  <c r="P1420" i="5"/>
  <c r="P1421" i="5"/>
  <c r="P1422" i="5"/>
  <c r="P1423" i="5"/>
  <c r="P1424" i="5"/>
  <c r="P1425" i="5"/>
  <c r="P1426" i="5"/>
  <c r="P1427" i="5"/>
  <c r="P1428" i="5"/>
  <c r="P1429" i="5"/>
  <c r="P1430" i="5"/>
  <c r="P1431" i="5"/>
  <c r="P1432" i="5"/>
  <c r="P1433" i="5"/>
  <c r="P1434" i="5"/>
  <c r="P1435" i="5"/>
  <c r="P1436" i="5"/>
  <c r="P1437" i="5"/>
  <c r="P1438" i="5"/>
  <c r="P1439" i="5"/>
  <c r="P1440" i="5"/>
  <c r="P1441" i="5"/>
  <c r="P1442" i="5"/>
  <c r="P1443" i="5"/>
  <c r="P1444" i="5"/>
  <c r="P1445" i="5"/>
  <c r="P1446" i="5"/>
  <c r="P1447" i="5"/>
  <c r="P1448" i="5"/>
  <c r="P1449" i="5"/>
  <c r="P1450" i="5"/>
  <c r="P1451" i="5"/>
  <c r="P1452" i="5"/>
  <c r="P1453" i="5"/>
  <c r="P1454" i="5"/>
  <c r="P1455" i="5"/>
  <c r="P1456" i="5"/>
  <c r="P1457" i="5"/>
  <c r="P1458" i="5"/>
  <c r="P1459" i="5"/>
  <c r="P1460" i="5"/>
  <c r="P1461" i="5"/>
  <c r="P1462" i="5"/>
  <c r="P1463" i="5"/>
  <c r="P1464" i="5"/>
  <c r="P1465" i="5"/>
  <c r="P1466" i="5"/>
  <c r="P1467" i="5"/>
  <c r="P1468" i="5"/>
  <c r="P1469" i="5"/>
  <c r="P1470" i="5"/>
  <c r="P1471" i="5"/>
  <c r="P1472" i="5"/>
  <c r="P1473" i="5"/>
  <c r="P1474" i="5"/>
  <c r="P1475" i="5"/>
  <c r="P1476" i="5"/>
  <c r="P1477" i="5"/>
  <c r="P1478" i="5"/>
  <c r="P1479" i="5"/>
  <c r="P1480" i="5"/>
  <c r="P1481" i="5"/>
  <c r="P1482" i="5"/>
  <c r="P1483" i="5"/>
  <c r="P1484" i="5"/>
  <c r="P1485" i="5"/>
  <c r="P1486" i="5"/>
  <c r="P1487" i="5"/>
  <c r="P1488" i="5"/>
  <c r="P1489" i="5"/>
  <c r="P1490" i="5"/>
  <c r="P1491" i="5"/>
  <c r="P1492" i="5"/>
  <c r="P1493" i="5"/>
  <c r="P1494" i="5"/>
  <c r="P1495" i="5"/>
  <c r="P1496" i="5"/>
  <c r="P1497" i="5"/>
  <c r="P1498" i="5"/>
  <c r="P1499" i="5"/>
  <c r="P1500" i="5"/>
  <c r="P1501" i="5"/>
  <c r="P1502" i="5"/>
  <c r="P1503" i="5"/>
  <c r="P1504" i="5"/>
  <c r="P1505" i="5"/>
  <c r="P1506" i="5"/>
  <c r="P1507" i="5"/>
  <c r="P1508" i="5"/>
  <c r="P1509" i="5"/>
  <c r="P1510" i="5"/>
  <c r="P1511" i="5"/>
  <c r="P1512" i="5"/>
  <c r="P1513" i="5"/>
  <c r="P1514" i="5"/>
  <c r="P1515" i="5"/>
  <c r="P1516" i="5"/>
  <c r="P1517" i="5"/>
  <c r="P1518" i="5"/>
  <c r="P1519" i="5"/>
  <c r="P1520" i="5"/>
  <c r="P1521" i="5"/>
  <c r="P1522" i="5"/>
  <c r="P1523" i="5"/>
  <c r="P1524" i="5"/>
  <c r="P1525" i="5"/>
  <c r="P1526" i="5"/>
  <c r="P1527" i="5"/>
  <c r="P1528" i="5"/>
  <c r="P1529" i="5"/>
  <c r="P1530" i="5"/>
  <c r="P1531" i="5"/>
  <c r="P1532" i="5"/>
  <c r="P1533" i="5"/>
  <c r="P1534" i="5"/>
  <c r="P1535" i="5"/>
  <c r="P1536" i="5"/>
  <c r="P1537" i="5"/>
  <c r="P1538" i="5"/>
  <c r="P1539" i="5"/>
  <c r="P1540" i="5"/>
  <c r="P1541" i="5"/>
  <c r="P1542" i="5"/>
  <c r="P1543" i="5"/>
  <c r="P1544" i="5"/>
  <c r="P1545" i="5"/>
  <c r="P1546" i="5"/>
  <c r="P1547" i="5"/>
  <c r="P1548" i="5"/>
  <c r="P1549" i="5"/>
  <c r="P1550" i="5"/>
  <c r="P1551" i="5"/>
  <c r="P1552" i="5"/>
  <c r="P1553" i="5"/>
  <c r="P1554" i="5"/>
  <c r="P1555" i="5"/>
  <c r="P1556" i="5"/>
  <c r="P1557" i="5"/>
  <c r="P1558" i="5"/>
  <c r="P1559" i="5"/>
  <c r="P1560" i="5"/>
  <c r="P1561" i="5"/>
  <c r="P1562" i="5"/>
  <c r="P1563" i="5"/>
  <c r="P1564" i="5"/>
  <c r="P1565" i="5"/>
  <c r="P1566" i="5"/>
  <c r="P1567" i="5"/>
  <c r="P1568" i="5"/>
  <c r="P1569" i="5"/>
  <c r="P1570" i="5"/>
  <c r="P1571" i="5"/>
  <c r="P1572" i="5"/>
  <c r="P1573" i="5"/>
  <c r="P1574" i="5"/>
  <c r="P1575" i="5"/>
  <c r="P1576" i="5"/>
  <c r="P1577" i="5"/>
  <c r="P1578" i="5"/>
  <c r="P1579" i="5"/>
  <c r="P1580" i="5"/>
  <c r="P1581" i="5"/>
  <c r="P1582" i="5"/>
  <c r="P1583" i="5"/>
  <c r="P1584" i="5"/>
  <c r="P1585" i="5"/>
  <c r="P1586" i="5"/>
  <c r="P1587" i="5"/>
  <c r="P1588" i="5"/>
  <c r="P1589" i="5"/>
  <c r="P1590" i="5"/>
  <c r="P1591" i="5"/>
  <c r="P1592" i="5"/>
  <c r="P1593" i="5"/>
  <c r="P1594" i="5"/>
  <c r="P1595" i="5"/>
  <c r="P1596" i="5"/>
  <c r="P1597" i="5"/>
  <c r="P1598" i="5"/>
  <c r="P1599" i="5"/>
  <c r="P1600" i="5"/>
  <c r="P1601" i="5"/>
  <c r="P1602" i="5"/>
  <c r="P1603" i="5"/>
  <c r="P1604" i="5"/>
  <c r="P1605" i="5"/>
  <c r="P1606" i="5"/>
  <c r="P1607" i="5"/>
  <c r="P1608" i="5"/>
  <c r="P1609" i="5"/>
  <c r="P1610" i="5"/>
  <c r="P1611" i="5"/>
  <c r="P1612" i="5"/>
  <c r="P1613" i="5"/>
  <c r="P1614" i="5"/>
  <c r="P1615" i="5"/>
  <c r="P1616" i="5"/>
  <c r="P1617" i="5"/>
  <c r="P1618" i="5"/>
  <c r="P1619" i="5"/>
  <c r="P1620" i="5"/>
  <c r="P1621" i="5"/>
  <c r="P1622" i="5"/>
  <c r="P1623" i="5"/>
  <c r="P1624" i="5"/>
  <c r="P1625" i="5"/>
  <c r="P1626" i="5"/>
  <c r="P1627" i="5"/>
  <c r="P1628" i="5"/>
  <c r="P1629" i="5"/>
  <c r="P1630" i="5"/>
  <c r="P1631" i="5"/>
  <c r="P1632" i="5"/>
  <c r="P1633" i="5"/>
  <c r="P1634" i="5"/>
  <c r="P1635" i="5"/>
  <c r="P1636" i="5"/>
  <c r="P1637" i="5"/>
  <c r="P1638" i="5"/>
  <c r="P1639" i="5"/>
  <c r="P1640" i="5"/>
  <c r="P1641" i="5"/>
  <c r="P1642" i="5"/>
  <c r="P1643" i="5"/>
  <c r="P1644" i="5"/>
  <c r="P1645" i="5"/>
  <c r="P1646" i="5"/>
  <c r="P1647" i="5"/>
  <c r="P1648" i="5"/>
  <c r="P1649" i="5"/>
  <c r="P1650" i="5"/>
  <c r="P1651" i="5"/>
  <c r="P1652" i="5"/>
  <c r="P1653" i="5"/>
  <c r="P1654" i="5"/>
  <c r="P1655" i="5"/>
  <c r="P1656" i="5"/>
  <c r="P1657" i="5"/>
  <c r="P1658" i="5"/>
  <c r="P1659" i="5"/>
  <c r="P1660" i="5"/>
  <c r="P1661" i="5"/>
  <c r="P1662" i="5"/>
  <c r="P1663" i="5"/>
  <c r="P1664" i="5"/>
  <c r="P1665" i="5"/>
  <c r="P1666" i="5"/>
  <c r="P1667" i="5"/>
  <c r="P1668" i="5"/>
  <c r="P1669" i="5"/>
  <c r="P1670" i="5"/>
  <c r="P1671" i="5"/>
  <c r="P1672" i="5"/>
  <c r="P1673" i="5"/>
  <c r="P1674" i="5"/>
  <c r="P1675" i="5"/>
  <c r="P1676" i="5"/>
  <c r="P1677" i="5"/>
  <c r="P1678" i="5"/>
  <c r="P1679" i="5"/>
  <c r="P1680" i="5"/>
  <c r="P1681" i="5"/>
  <c r="P1682" i="5"/>
  <c r="P1683" i="5"/>
  <c r="P1684" i="5"/>
  <c r="P1685" i="5"/>
  <c r="P1686" i="5"/>
  <c r="P1687" i="5"/>
  <c r="P1688" i="5"/>
  <c r="P1689" i="5"/>
  <c r="P1690" i="5"/>
  <c r="P1691" i="5"/>
  <c r="P1692" i="5"/>
  <c r="P1693" i="5"/>
  <c r="P1694" i="5"/>
  <c r="P1695" i="5"/>
  <c r="P1696" i="5"/>
  <c r="P1697" i="5"/>
  <c r="P1698" i="5"/>
  <c r="P1699" i="5"/>
  <c r="P1700" i="5"/>
  <c r="P1701" i="5"/>
  <c r="P1702" i="5"/>
  <c r="P1703" i="5"/>
  <c r="P1704" i="5"/>
  <c r="P1705" i="5"/>
  <c r="P1706" i="5"/>
  <c r="P1707" i="5"/>
  <c r="P1708" i="5"/>
  <c r="P1709" i="5"/>
  <c r="P1710" i="5"/>
  <c r="P1711" i="5"/>
  <c r="P1712" i="5"/>
  <c r="P1713" i="5"/>
  <c r="P1714" i="5"/>
  <c r="P1715" i="5"/>
  <c r="P1716" i="5"/>
  <c r="P1717" i="5"/>
  <c r="P1718" i="5"/>
  <c r="P1719" i="5"/>
  <c r="P1720" i="5"/>
  <c r="P1721" i="5"/>
  <c r="P1722" i="5"/>
  <c r="P1723" i="5"/>
  <c r="P1724" i="5"/>
  <c r="P1725" i="5"/>
  <c r="P1726" i="5"/>
  <c r="P1727" i="5"/>
  <c r="P1728" i="5"/>
  <c r="P1729" i="5"/>
  <c r="P1730" i="5"/>
  <c r="P1731" i="5"/>
  <c r="P1732" i="5"/>
  <c r="P1733" i="5"/>
  <c r="P1734" i="5"/>
  <c r="P1735" i="5"/>
  <c r="P1736" i="5"/>
  <c r="P1737" i="5"/>
  <c r="P1738" i="5"/>
  <c r="P1739" i="5"/>
  <c r="P1740" i="5"/>
  <c r="P1741" i="5"/>
  <c r="P1742" i="5"/>
  <c r="P1743" i="5"/>
  <c r="P1744" i="5"/>
  <c r="P1745" i="5"/>
  <c r="P1746" i="5"/>
  <c r="P1747" i="5"/>
  <c r="P1748" i="5"/>
  <c r="P1749" i="5"/>
  <c r="P1750" i="5"/>
  <c r="P1751" i="5"/>
  <c r="P1752" i="5"/>
  <c r="P1753" i="5"/>
  <c r="P1754" i="5"/>
  <c r="P1755" i="5"/>
  <c r="P1756" i="5"/>
  <c r="P1757" i="5"/>
  <c r="P1758" i="5"/>
  <c r="P1759" i="5"/>
  <c r="P1760" i="5"/>
  <c r="P1761" i="5"/>
  <c r="P1762" i="5"/>
  <c r="P1763" i="5"/>
  <c r="P1764" i="5"/>
  <c r="P1765" i="5"/>
  <c r="P1766" i="5"/>
  <c r="P1767" i="5"/>
  <c r="P1768" i="5"/>
  <c r="P1769" i="5"/>
  <c r="P1770" i="5"/>
  <c r="P1771" i="5"/>
  <c r="P1772" i="5"/>
  <c r="P1773" i="5"/>
  <c r="P1774" i="5"/>
  <c r="P1775" i="5"/>
  <c r="P1776" i="5"/>
  <c r="P1777" i="5"/>
  <c r="P1778" i="5"/>
  <c r="P1779" i="5"/>
  <c r="P1780" i="5"/>
  <c r="P1781" i="5"/>
  <c r="P1782" i="5"/>
  <c r="P1783" i="5"/>
  <c r="P1784" i="5"/>
  <c r="P1785" i="5"/>
  <c r="P1786" i="5"/>
  <c r="P1787" i="5"/>
  <c r="P1788" i="5"/>
  <c r="P1789" i="5"/>
  <c r="P1790" i="5"/>
  <c r="P1791" i="5"/>
  <c r="P1792" i="5"/>
  <c r="P1793" i="5"/>
  <c r="P1794" i="5"/>
  <c r="P1795" i="5"/>
  <c r="P1796" i="5"/>
  <c r="P1797" i="5"/>
  <c r="P1798" i="5"/>
  <c r="P1799" i="5"/>
  <c r="P1800" i="5"/>
  <c r="P1801" i="5"/>
  <c r="P1802" i="5"/>
  <c r="P1803" i="5"/>
  <c r="P1804" i="5"/>
  <c r="P1805" i="5"/>
  <c r="P1806" i="5"/>
  <c r="P1807" i="5"/>
  <c r="P1808" i="5"/>
  <c r="P1809" i="5"/>
  <c r="P1810" i="5"/>
  <c r="P1811" i="5"/>
  <c r="P1812" i="5"/>
  <c r="P1813" i="5"/>
  <c r="P1814" i="5"/>
  <c r="P1815" i="5"/>
  <c r="P1816" i="5"/>
  <c r="P1817" i="5"/>
  <c r="P1818" i="5"/>
  <c r="P1819" i="5"/>
  <c r="P1820" i="5"/>
  <c r="P1821" i="5"/>
  <c r="P1822" i="5"/>
  <c r="P1823" i="5"/>
  <c r="P1824" i="5"/>
  <c r="P1825" i="5"/>
  <c r="P1826" i="5"/>
  <c r="P1827" i="5"/>
  <c r="P1828" i="5"/>
  <c r="P1829" i="5"/>
  <c r="P1830" i="5"/>
  <c r="P1831" i="5"/>
  <c r="P1832" i="5"/>
  <c r="P1833" i="5"/>
  <c r="P1834" i="5"/>
  <c r="P1835" i="5"/>
  <c r="P1836" i="5"/>
  <c r="P1837" i="5"/>
  <c r="P1838" i="5"/>
  <c r="P1839" i="5"/>
  <c r="P1840" i="5"/>
  <c r="P1841" i="5"/>
  <c r="P1842" i="5"/>
  <c r="P1843" i="5"/>
  <c r="P1844" i="5"/>
  <c r="P1845" i="5"/>
  <c r="P1846" i="5"/>
  <c r="P1847" i="5"/>
  <c r="P1848" i="5"/>
  <c r="P1849" i="5"/>
  <c r="P1850" i="5"/>
  <c r="P1851" i="5"/>
  <c r="P1852" i="5"/>
  <c r="P1853" i="5"/>
  <c r="P1854" i="5"/>
  <c r="P1855" i="5"/>
  <c r="P1856" i="5"/>
  <c r="P1857" i="5"/>
  <c r="P1858" i="5"/>
  <c r="P1859" i="5"/>
  <c r="P1860" i="5"/>
  <c r="P1861" i="5"/>
  <c r="P1862" i="5"/>
  <c r="P1863" i="5"/>
  <c r="P1864" i="5"/>
  <c r="P1865" i="5"/>
  <c r="P1866" i="5"/>
  <c r="P1867" i="5"/>
  <c r="P1868" i="5"/>
  <c r="P1869" i="5"/>
  <c r="P1870" i="5"/>
  <c r="P1871" i="5"/>
  <c r="P1872" i="5"/>
  <c r="P1873" i="5"/>
  <c r="P1874" i="5"/>
  <c r="P1875" i="5"/>
  <c r="P1876" i="5"/>
  <c r="P1877" i="5"/>
  <c r="P1878" i="5"/>
  <c r="P1879" i="5"/>
  <c r="P1880" i="5"/>
  <c r="P1881" i="5"/>
  <c r="P1882" i="5"/>
  <c r="P1883" i="5"/>
  <c r="P1884" i="5"/>
  <c r="P1885" i="5"/>
  <c r="P1886" i="5"/>
  <c r="P1887" i="5"/>
  <c r="P1888" i="5"/>
  <c r="P1889" i="5"/>
  <c r="P1890" i="5"/>
  <c r="P1891" i="5"/>
  <c r="P1892" i="5"/>
  <c r="P1893" i="5"/>
  <c r="P1894" i="5"/>
  <c r="P1895" i="5"/>
  <c r="P1896" i="5"/>
  <c r="P1897" i="5"/>
  <c r="P1898" i="5"/>
  <c r="P1899" i="5"/>
  <c r="P1900" i="5"/>
  <c r="P1901" i="5"/>
  <c r="P1902" i="5"/>
  <c r="P1903" i="5"/>
  <c r="P1904" i="5"/>
  <c r="P1905" i="5"/>
  <c r="P1906" i="5"/>
  <c r="P1907" i="5"/>
  <c r="P1908" i="5"/>
  <c r="P1909" i="5"/>
  <c r="P1910" i="5"/>
  <c r="P1911" i="5"/>
  <c r="P1912" i="5"/>
  <c r="P1913" i="5"/>
  <c r="P1914" i="5"/>
  <c r="P1915" i="5"/>
  <c r="P1916" i="5"/>
  <c r="P1917" i="5"/>
  <c r="P1918" i="5"/>
  <c r="P1919" i="5"/>
  <c r="P1920" i="5"/>
  <c r="P1921" i="5"/>
  <c r="P1922" i="5"/>
  <c r="P1923" i="5"/>
  <c r="P1924" i="5"/>
  <c r="P1925" i="5"/>
  <c r="P1926" i="5"/>
  <c r="P1927" i="5"/>
  <c r="P1928" i="5"/>
  <c r="P1929" i="5"/>
  <c r="P1930" i="5"/>
  <c r="P1931" i="5"/>
  <c r="P1932" i="5"/>
  <c r="P1933" i="5"/>
  <c r="P1934" i="5"/>
  <c r="P1935" i="5"/>
  <c r="P1936" i="5"/>
  <c r="P1937" i="5"/>
  <c r="P1938" i="5"/>
  <c r="P1939" i="5"/>
  <c r="P1940" i="5"/>
  <c r="P1941" i="5"/>
  <c r="P1942" i="5"/>
  <c r="P1943" i="5"/>
  <c r="P1944" i="5"/>
  <c r="P1945" i="5"/>
  <c r="P1946" i="5"/>
  <c r="P1947" i="5"/>
  <c r="P1948" i="5"/>
  <c r="P1949" i="5"/>
  <c r="P1950" i="5"/>
  <c r="P1951" i="5"/>
  <c r="P1952" i="5"/>
  <c r="P1953" i="5"/>
  <c r="P1954" i="5"/>
  <c r="P1955" i="5"/>
  <c r="P1956" i="5"/>
  <c r="P1957" i="5"/>
  <c r="P1958" i="5"/>
  <c r="P1959" i="5"/>
  <c r="P1960" i="5"/>
  <c r="P1961" i="5"/>
  <c r="P1962" i="5"/>
  <c r="P1963" i="5"/>
  <c r="P1964" i="5"/>
  <c r="P1965" i="5"/>
  <c r="P1966" i="5"/>
  <c r="P1967" i="5"/>
  <c r="P1968" i="5"/>
  <c r="P1969" i="5"/>
  <c r="P1970" i="5"/>
  <c r="P1971" i="5"/>
  <c r="P1972" i="5"/>
  <c r="P1973" i="5"/>
  <c r="P1974" i="5"/>
  <c r="P1975" i="5"/>
  <c r="P1976" i="5"/>
  <c r="P1977" i="5"/>
  <c r="P1978" i="5"/>
  <c r="P1979" i="5"/>
  <c r="P1980" i="5"/>
  <c r="P1981" i="5"/>
  <c r="P1982" i="5"/>
  <c r="P1983" i="5"/>
  <c r="P1984" i="5"/>
  <c r="P1985" i="5"/>
  <c r="P1986" i="5"/>
  <c r="P1987" i="5"/>
  <c r="P1988" i="5"/>
  <c r="P1989" i="5"/>
  <c r="P1990" i="5"/>
  <c r="P1991" i="5"/>
  <c r="P1992" i="5"/>
  <c r="P1993" i="5"/>
  <c r="P1994" i="5"/>
  <c r="P1995" i="5"/>
  <c r="P1996" i="5"/>
  <c r="P1997" i="5"/>
  <c r="P1998" i="5"/>
  <c r="P1999" i="5"/>
  <c r="P2000" i="5"/>
  <c r="P2001" i="5"/>
  <c r="P2002" i="5"/>
  <c r="P2003" i="5"/>
  <c r="P2004" i="5"/>
  <c r="P2005" i="5"/>
  <c r="P2006" i="5"/>
  <c r="P2007" i="5"/>
  <c r="P2008" i="5"/>
  <c r="P2009" i="5"/>
  <c r="P2010" i="5"/>
  <c r="P2011" i="5"/>
  <c r="P2012" i="5"/>
  <c r="P2013" i="5"/>
  <c r="P2014" i="5"/>
  <c r="P2015" i="5"/>
  <c r="P2016" i="5"/>
  <c r="P2017" i="5"/>
  <c r="P2018" i="5"/>
  <c r="P2019" i="5"/>
  <c r="P2020" i="5"/>
  <c r="P2021" i="5"/>
  <c r="P2022" i="5"/>
  <c r="P2023" i="5"/>
  <c r="P2024" i="5"/>
  <c r="P2025" i="5"/>
  <c r="P2026" i="5"/>
  <c r="P2027" i="5"/>
  <c r="P2028" i="5"/>
  <c r="P2029" i="5"/>
  <c r="P2030" i="5"/>
  <c r="P2031" i="5"/>
  <c r="P2032" i="5"/>
  <c r="P2033" i="5"/>
  <c r="P2034" i="5"/>
  <c r="P2035" i="5"/>
  <c r="P2036" i="5"/>
  <c r="P2037" i="5"/>
  <c r="P2038" i="5"/>
  <c r="P2039" i="5"/>
  <c r="P2040" i="5"/>
  <c r="P2041" i="5"/>
  <c r="P2042" i="5"/>
  <c r="P2043" i="5"/>
  <c r="P2044" i="5"/>
  <c r="P2045" i="5"/>
  <c r="P2046" i="5"/>
  <c r="P2047" i="5"/>
  <c r="P2048" i="5"/>
  <c r="P2049" i="5"/>
  <c r="P2050" i="5"/>
  <c r="P2051" i="5"/>
  <c r="P2052" i="5"/>
  <c r="P2053" i="5"/>
  <c r="P2054" i="5"/>
  <c r="P2055" i="5"/>
  <c r="P2056" i="5"/>
  <c r="P2057" i="5"/>
  <c r="P2058" i="5"/>
  <c r="P2059" i="5"/>
  <c r="P2060" i="5"/>
  <c r="P2061" i="5"/>
  <c r="P2062" i="5"/>
  <c r="P2063" i="5"/>
  <c r="P2064" i="5"/>
  <c r="P2065" i="5"/>
  <c r="P2066" i="5"/>
  <c r="P2067" i="5"/>
  <c r="P2068" i="5"/>
  <c r="P2069" i="5"/>
  <c r="P2070" i="5"/>
  <c r="P2071" i="5"/>
  <c r="P2072" i="5"/>
  <c r="P2073" i="5"/>
  <c r="P2074" i="5"/>
  <c r="P2075" i="5"/>
  <c r="P2076" i="5"/>
  <c r="P2077" i="5"/>
  <c r="P2078" i="5"/>
  <c r="P2079" i="5"/>
  <c r="P2080" i="5"/>
  <c r="P2081" i="5"/>
  <c r="P2082" i="5"/>
  <c r="P2083" i="5"/>
  <c r="P2084" i="5"/>
  <c r="P2085" i="5"/>
  <c r="P2086" i="5"/>
  <c r="P2087" i="5"/>
  <c r="P2088" i="5"/>
  <c r="P2089" i="5"/>
  <c r="P2090" i="5"/>
  <c r="P2091" i="5"/>
  <c r="P2092" i="5"/>
  <c r="P2093" i="5"/>
  <c r="P2094" i="5"/>
  <c r="P2095" i="5"/>
  <c r="P2096" i="5"/>
  <c r="P2097" i="5"/>
  <c r="P2098" i="5"/>
  <c r="P2099" i="5"/>
  <c r="P2100" i="5"/>
  <c r="P2101" i="5"/>
  <c r="P2102" i="5"/>
  <c r="P2103" i="5"/>
  <c r="P2104" i="5"/>
  <c r="P2105" i="5"/>
  <c r="P2106" i="5"/>
  <c r="P2107" i="5"/>
  <c r="P2108" i="5"/>
  <c r="P2109" i="5"/>
  <c r="P2110" i="5"/>
  <c r="P2111" i="5"/>
  <c r="P2112" i="5"/>
  <c r="P2113" i="5"/>
  <c r="P2114" i="5"/>
  <c r="P2115" i="5"/>
  <c r="P2116" i="5"/>
  <c r="P2117" i="5"/>
  <c r="P2118" i="5"/>
  <c r="P2119" i="5"/>
  <c r="P2120" i="5"/>
  <c r="P2121" i="5"/>
  <c r="P2122" i="5"/>
  <c r="P2123" i="5"/>
  <c r="P2124" i="5"/>
  <c r="P2125" i="5"/>
  <c r="P2126" i="5"/>
  <c r="P2127" i="5"/>
  <c r="P2128" i="5"/>
  <c r="P2129" i="5"/>
  <c r="P2130" i="5"/>
  <c r="P2131" i="5"/>
  <c r="P2132" i="5"/>
  <c r="P2133" i="5"/>
  <c r="P2134" i="5"/>
  <c r="P2135" i="5"/>
  <c r="P2136" i="5"/>
  <c r="P2137" i="5"/>
  <c r="P2138" i="5"/>
  <c r="P2139" i="5"/>
  <c r="P2140" i="5"/>
  <c r="P2141" i="5"/>
  <c r="P2142" i="5"/>
  <c r="P2143" i="5"/>
  <c r="P2144" i="5"/>
  <c r="P2145" i="5"/>
  <c r="P2146" i="5"/>
  <c r="P2147" i="5"/>
  <c r="P2148" i="5"/>
  <c r="Q925" i="5"/>
  <c r="Q926" i="5"/>
  <c r="Q927" i="5"/>
  <c r="Q928" i="5"/>
  <c r="R928" i="5" s="1"/>
  <c r="Q929" i="5"/>
  <c r="R929" i="5" s="1"/>
  <c r="Q930" i="5"/>
  <c r="Q931" i="5"/>
  <c r="Q932" i="5"/>
  <c r="R932" i="5" s="1"/>
  <c r="Q933" i="5"/>
  <c r="Q934" i="5"/>
  <c r="R934" i="5" s="1"/>
  <c r="Q935" i="5"/>
  <c r="R935" i="5" s="1"/>
  <c r="Q936" i="5"/>
  <c r="R936" i="5" s="1"/>
  <c r="Q937" i="5"/>
  <c r="R937" i="5" s="1"/>
  <c r="Q938" i="5"/>
  <c r="R938" i="5" s="1"/>
  <c r="Q939" i="5"/>
  <c r="Q940" i="5"/>
  <c r="R940" i="5" s="1"/>
  <c r="Q941" i="5"/>
  <c r="Q942" i="5"/>
  <c r="Q943" i="5"/>
  <c r="R943" i="5" s="1"/>
  <c r="Q944" i="5"/>
  <c r="Q945" i="5"/>
  <c r="R945" i="5" s="1"/>
  <c r="Q946" i="5"/>
  <c r="R946" i="5" s="1"/>
  <c r="Q947" i="5"/>
  <c r="Q948" i="5"/>
  <c r="Q949" i="5"/>
  <c r="Q950" i="5"/>
  <c r="R950" i="5" s="1"/>
  <c r="Q951" i="5"/>
  <c r="Q952" i="5"/>
  <c r="R952" i="5" s="1"/>
  <c r="Q953" i="5"/>
  <c r="R953" i="5" s="1"/>
  <c r="Q954" i="5"/>
  <c r="R954" i="5" s="1"/>
  <c r="Q955" i="5"/>
  <c r="R955" i="5" s="1"/>
  <c r="Q956" i="5"/>
  <c r="Q957" i="5"/>
  <c r="Q958" i="5"/>
  <c r="Q959" i="5"/>
  <c r="R959" i="5" s="1"/>
  <c r="Q960" i="5"/>
  <c r="Q961" i="5"/>
  <c r="R961" i="5" s="1"/>
  <c r="Q962" i="5"/>
  <c r="R962" i="5" s="1"/>
  <c r="Q963" i="5"/>
  <c r="Q964" i="5"/>
  <c r="Q965" i="5"/>
  <c r="Q966" i="5"/>
  <c r="R966" i="5" s="1"/>
  <c r="Q967" i="5"/>
  <c r="R967" i="5" s="1"/>
  <c r="Q968" i="5"/>
  <c r="R968" i="5" s="1"/>
  <c r="Q969" i="5"/>
  <c r="R969" i="5" s="1"/>
  <c r="Q970" i="5"/>
  <c r="Q971" i="5"/>
  <c r="Q972" i="5"/>
  <c r="Q973" i="5"/>
  <c r="Q974" i="5"/>
  <c r="R974" i="5" s="1"/>
  <c r="Q975" i="5"/>
  <c r="R975" i="5" s="1"/>
  <c r="Q976" i="5"/>
  <c r="Q977" i="5"/>
  <c r="R977" i="5" s="1"/>
  <c r="Q978" i="5"/>
  <c r="R978" i="5" s="1"/>
  <c r="Q979" i="5"/>
  <c r="Q980" i="5"/>
  <c r="R980" i="5" s="1"/>
  <c r="Q981" i="5"/>
  <c r="Q982" i="5"/>
  <c r="R982" i="5" s="1"/>
  <c r="Q983" i="5"/>
  <c r="R983" i="5" s="1"/>
  <c r="Q984" i="5"/>
  <c r="R984" i="5" s="1"/>
  <c r="Q985" i="5"/>
  <c r="R985" i="5" s="1"/>
  <c r="Q986" i="5"/>
  <c r="R986" i="5" s="1"/>
  <c r="Q987" i="5"/>
  <c r="Q988" i="5"/>
  <c r="Q989" i="5"/>
  <c r="Q990" i="5"/>
  <c r="R990" i="5" s="1"/>
  <c r="Q991" i="5"/>
  <c r="R991" i="5" s="1"/>
  <c r="Q992" i="5"/>
  <c r="Q993" i="5"/>
  <c r="R993" i="5" s="1"/>
  <c r="Q994" i="5"/>
  <c r="Q995" i="5"/>
  <c r="R995" i="5" s="1"/>
  <c r="Q996" i="5"/>
  <c r="Q997" i="5"/>
  <c r="Q998" i="5"/>
  <c r="R998" i="5" s="1"/>
  <c r="Q999" i="5"/>
  <c r="Q1000" i="5"/>
  <c r="R1000" i="5" s="1"/>
  <c r="Q1001" i="5"/>
  <c r="R1001" i="5" s="1"/>
  <c r="Q1002" i="5"/>
  <c r="R1002" i="5" s="1"/>
  <c r="Q1003" i="5"/>
  <c r="R1003" i="5" s="1"/>
  <c r="Q1004" i="5"/>
  <c r="Q1005" i="5"/>
  <c r="Q1006" i="5"/>
  <c r="Q1007" i="5"/>
  <c r="Q1008" i="5"/>
  <c r="R1008" i="5" s="1"/>
  <c r="Q1009" i="5"/>
  <c r="R1009" i="5" s="1"/>
  <c r="Q1010" i="5"/>
  <c r="Q1011" i="5"/>
  <c r="R1011" i="5" s="1"/>
  <c r="Q1012" i="5"/>
  <c r="Q1013" i="5"/>
  <c r="Q1014" i="5"/>
  <c r="Q1015" i="5"/>
  <c r="Q1016" i="5"/>
  <c r="R1016" i="5" s="1"/>
  <c r="Q1017" i="5"/>
  <c r="R1017" i="5" s="1"/>
  <c r="Q1018" i="5"/>
  <c r="R1018" i="5" s="1"/>
  <c r="Q1019" i="5"/>
  <c r="R1019" i="5" s="1"/>
  <c r="Q1020" i="5"/>
  <c r="Q1021" i="5"/>
  <c r="Q1022" i="5"/>
  <c r="Q1023" i="5"/>
  <c r="Q1024" i="5"/>
  <c r="R1024" i="5" s="1"/>
  <c r="Q1025" i="5"/>
  <c r="R1025" i="5" s="1"/>
  <c r="Q1026" i="5"/>
  <c r="Q1027" i="5"/>
  <c r="R1027" i="5" s="1"/>
  <c r="Q1028" i="5"/>
  <c r="R1028" i="5" s="1"/>
  <c r="Q1029" i="5"/>
  <c r="Q1030" i="5"/>
  <c r="Q1031" i="5"/>
  <c r="R1031" i="5" s="1"/>
  <c r="Q1032" i="5"/>
  <c r="Q1033" i="5"/>
  <c r="R1033" i="5" s="1"/>
  <c r="Q1034" i="5"/>
  <c r="Q1035" i="5"/>
  <c r="Q1036" i="5"/>
  <c r="Q1037" i="5"/>
  <c r="Q1038" i="5"/>
  <c r="R1038" i="5" s="1"/>
  <c r="Q1039" i="5"/>
  <c r="R1039" i="5" s="1"/>
  <c r="Q1040" i="5"/>
  <c r="R1040" i="5" s="1"/>
  <c r="Q1041" i="5"/>
  <c r="R1041" i="5" s="1"/>
  <c r="Q1042" i="5"/>
  <c r="R1042" i="5" s="1"/>
  <c r="Q1043" i="5"/>
  <c r="Q1044" i="5"/>
  <c r="Q1045" i="5"/>
  <c r="Q1046" i="5"/>
  <c r="Q1047" i="5"/>
  <c r="R1047" i="5" s="1"/>
  <c r="Q1048" i="5"/>
  <c r="Q1049" i="5"/>
  <c r="R1049" i="5" s="1"/>
  <c r="Q1050" i="5"/>
  <c r="R1050" i="5" s="1"/>
  <c r="Q1051" i="5"/>
  <c r="Q1052" i="5"/>
  <c r="Q1053" i="5"/>
  <c r="Q1054" i="5"/>
  <c r="R1054" i="5" s="1"/>
  <c r="Q1055" i="5"/>
  <c r="R1055" i="5" s="1"/>
  <c r="Q1056" i="5"/>
  <c r="R1056" i="5" s="1"/>
  <c r="Q1057" i="5"/>
  <c r="R1057" i="5" s="1"/>
  <c r="Q1058" i="5"/>
  <c r="R1058" i="5" s="1"/>
  <c r="Q1059" i="5"/>
  <c r="R1059" i="5" s="1"/>
  <c r="Q1060" i="5"/>
  <c r="Q1061" i="5"/>
  <c r="Q1062" i="5"/>
  <c r="Q1063" i="5"/>
  <c r="R1063" i="5" s="1"/>
  <c r="Q1064" i="5"/>
  <c r="R1064" i="5" s="1"/>
  <c r="Q1065" i="5"/>
  <c r="R1065" i="5" s="1"/>
  <c r="Q1066" i="5"/>
  <c r="R1066" i="5" s="1"/>
  <c r="Q1067" i="5"/>
  <c r="Q1068" i="5"/>
  <c r="Q1069" i="5"/>
  <c r="Q1070" i="5"/>
  <c r="R1070" i="5" s="1"/>
  <c r="Q1071" i="5"/>
  <c r="R1071" i="5" s="1"/>
  <c r="Q1072" i="5"/>
  <c r="R1072" i="5" s="1"/>
  <c r="Q1073" i="5"/>
  <c r="R1073" i="5" s="1"/>
  <c r="Q1074" i="5"/>
  <c r="R1074" i="5" s="1"/>
  <c r="Q1075" i="5"/>
  <c r="Q1076" i="5"/>
  <c r="Q1077" i="5"/>
  <c r="Q1078" i="5"/>
  <c r="Q1079" i="5"/>
  <c r="R1079" i="5" s="1"/>
  <c r="Q1080" i="5"/>
  <c r="R1080" i="5" s="1"/>
  <c r="Q1081" i="5"/>
  <c r="R1081" i="5" s="1"/>
  <c r="Q1082" i="5"/>
  <c r="R1082" i="5" s="1"/>
  <c r="Q1083" i="5"/>
  <c r="Q1084" i="5"/>
  <c r="Q1085" i="5"/>
  <c r="Q1086" i="5"/>
  <c r="R1086" i="5" s="1"/>
  <c r="Q1087" i="5"/>
  <c r="R1087" i="5" s="1"/>
  <c r="Q1088" i="5"/>
  <c r="R1088" i="5" s="1"/>
  <c r="Q1089" i="5"/>
  <c r="R1089" i="5" s="1"/>
  <c r="Q1090" i="5"/>
  <c r="R1090" i="5" s="1"/>
  <c r="Q1091" i="5"/>
  <c r="R1091" i="5" s="1"/>
  <c r="Q1092" i="5"/>
  <c r="Q1093" i="5"/>
  <c r="Q1094" i="5"/>
  <c r="Q1095" i="5"/>
  <c r="R1095" i="5" s="1"/>
  <c r="Q1096" i="5"/>
  <c r="R1096" i="5" s="1"/>
  <c r="Q1097" i="5"/>
  <c r="R1097" i="5" s="1"/>
  <c r="Q1098" i="5"/>
  <c r="R1098" i="5" s="1"/>
  <c r="Q1099" i="5"/>
  <c r="Q1100" i="5"/>
  <c r="Q1101" i="5"/>
  <c r="Q1102" i="5"/>
  <c r="R1102" i="5" s="1"/>
  <c r="Q1103" i="5"/>
  <c r="R1103" i="5" s="1"/>
  <c r="Q1104" i="5"/>
  <c r="R1104" i="5" s="1"/>
  <c r="Q1105" i="5"/>
  <c r="R1105" i="5" s="1"/>
  <c r="Q1106" i="5"/>
  <c r="R1106" i="5" s="1"/>
  <c r="Q1107" i="5"/>
  <c r="Q1108" i="5"/>
  <c r="Q1109" i="5"/>
  <c r="Q1110" i="5"/>
  <c r="Q1111" i="5"/>
  <c r="Q1112" i="5"/>
  <c r="R1112" i="5" s="1"/>
  <c r="Q1113" i="5"/>
  <c r="Q1114" i="5"/>
  <c r="R1114" i="5" s="1"/>
  <c r="Q1115" i="5"/>
  <c r="Q1116" i="5"/>
  <c r="Q1117" i="5"/>
  <c r="Q1118" i="5"/>
  <c r="R1118" i="5" s="1"/>
  <c r="Q1119" i="5"/>
  <c r="R1119" i="5" s="1"/>
  <c r="Q1120" i="5"/>
  <c r="R1120" i="5" s="1"/>
  <c r="Q1121" i="5"/>
  <c r="R1121" i="5" s="1"/>
  <c r="Q1122" i="5"/>
  <c r="R1122" i="5" s="1"/>
  <c r="Q1123" i="5"/>
  <c r="R1123" i="5" s="1"/>
  <c r="Q1124" i="5"/>
  <c r="Q1125" i="5"/>
  <c r="Q1126" i="5"/>
  <c r="Q1127" i="5"/>
  <c r="R1127" i="5" s="1"/>
  <c r="Q1128" i="5"/>
  <c r="Q1129" i="5"/>
  <c r="R1129" i="5" s="1"/>
  <c r="Q1130" i="5"/>
  <c r="R1130" i="5" s="1"/>
  <c r="Q1131" i="5"/>
  <c r="Q1132" i="5"/>
  <c r="Q1133" i="5"/>
  <c r="Q1134" i="5"/>
  <c r="R1134" i="5" s="1"/>
  <c r="Q1135" i="5"/>
  <c r="R1135" i="5" s="1"/>
  <c r="Q1136" i="5"/>
  <c r="R1136" i="5" s="1"/>
  <c r="Q1137" i="5"/>
  <c r="R1137" i="5" s="1"/>
  <c r="Q1138" i="5"/>
  <c r="R1138" i="5" s="1"/>
  <c r="Q1139" i="5"/>
  <c r="Q1140" i="5"/>
  <c r="Q1141" i="5"/>
  <c r="Q1142" i="5"/>
  <c r="Q1143" i="5"/>
  <c r="Q1144" i="5"/>
  <c r="R1144" i="5" s="1"/>
  <c r="Q1145" i="5"/>
  <c r="R1145" i="5" s="1"/>
  <c r="Q1146" i="5"/>
  <c r="R1146" i="5" s="1"/>
  <c r="Q1147" i="5"/>
  <c r="Q1148" i="5"/>
  <c r="Q1149" i="5"/>
  <c r="Q1150" i="5"/>
  <c r="R1150" i="5" s="1"/>
  <c r="Q1151" i="5"/>
  <c r="R1151" i="5" s="1"/>
  <c r="Q1152" i="5"/>
  <c r="R1152" i="5" s="1"/>
  <c r="Q1153" i="5"/>
  <c r="R1153" i="5" s="1"/>
  <c r="Q1154" i="5"/>
  <c r="R1154" i="5" s="1"/>
  <c r="Q1155" i="5"/>
  <c r="R1155" i="5" s="1"/>
  <c r="Q1156" i="5"/>
  <c r="Q1157" i="5"/>
  <c r="Q1158" i="5"/>
  <c r="Q1159" i="5"/>
  <c r="R1159" i="5" s="1"/>
  <c r="Q1160" i="5"/>
  <c r="R1160" i="5" s="1"/>
  <c r="Q1161" i="5"/>
  <c r="R1161" i="5" s="1"/>
  <c r="Q1162" i="5"/>
  <c r="R1162" i="5" s="1"/>
  <c r="Q1163" i="5"/>
  <c r="Q1164" i="5"/>
  <c r="Q1165" i="5"/>
  <c r="Q1166" i="5"/>
  <c r="R1166" i="5" s="1"/>
  <c r="Q1167" i="5"/>
  <c r="R1167" i="5" s="1"/>
  <c r="Q1168" i="5"/>
  <c r="R1168" i="5" s="1"/>
  <c r="Q1169" i="5"/>
  <c r="Q1170" i="5"/>
  <c r="R1170" i="5" s="1"/>
  <c r="Q1171" i="5"/>
  <c r="Q1172" i="5"/>
  <c r="Q1173" i="5"/>
  <c r="Q1174" i="5"/>
  <c r="Q1175" i="5"/>
  <c r="R1175" i="5" s="1"/>
  <c r="Q1176" i="5"/>
  <c r="R1176" i="5" s="1"/>
  <c r="Q1177" i="5"/>
  <c r="R1177" i="5" s="1"/>
  <c r="Q1178" i="5"/>
  <c r="R1178" i="5" s="1"/>
  <c r="Q1179" i="5"/>
  <c r="Q1180" i="5"/>
  <c r="Q1181" i="5"/>
  <c r="Q1182" i="5"/>
  <c r="R1182" i="5" s="1"/>
  <c r="Q1183" i="5"/>
  <c r="R1183" i="5" s="1"/>
  <c r="Q1184" i="5"/>
  <c r="R1184" i="5" s="1"/>
  <c r="Q1185" i="5"/>
  <c r="R1185" i="5" s="1"/>
  <c r="Q1186" i="5"/>
  <c r="R1186" i="5" s="1"/>
  <c r="Q1187" i="5"/>
  <c r="R1187" i="5" s="1"/>
  <c r="Q1188" i="5"/>
  <c r="Q1189" i="5"/>
  <c r="Q1190" i="5"/>
  <c r="Q1191" i="5"/>
  <c r="R1191" i="5" s="1"/>
  <c r="Q1192" i="5"/>
  <c r="R1192" i="5" s="1"/>
  <c r="Q1193" i="5"/>
  <c r="R1193" i="5" s="1"/>
  <c r="Q1194" i="5"/>
  <c r="R1194" i="5" s="1"/>
  <c r="Q1195" i="5"/>
  <c r="Q1196" i="5"/>
  <c r="Q1197" i="5"/>
  <c r="Q1198" i="5"/>
  <c r="R1198" i="5" s="1"/>
  <c r="Q1199" i="5"/>
  <c r="R1199" i="5" s="1"/>
  <c r="Q1200" i="5"/>
  <c r="R1200" i="5" s="1"/>
  <c r="Q1201" i="5"/>
  <c r="R1201" i="5" s="1"/>
  <c r="Q1202" i="5"/>
  <c r="R1202" i="5" s="1"/>
  <c r="Q1203" i="5"/>
  <c r="Q1204" i="5"/>
  <c r="Q1205" i="5"/>
  <c r="Q1206" i="5"/>
  <c r="Q1207" i="5"/>
  <c r="R1207" i="5" s="1"/>
  <c r="Q1208" i="5"/>
  <c r="R1208" i="5" s="1"/>
  <c r="Q1209" i="5"/>
  <c r="R1209" i="5" s="1"/>
  <c r="Q1210" i="5"/>
  <c r="R1210" i="5" s="1"/>
  <c r="Q1211" i="5"/>
  <c r="Q1212" i="5"/>
  <c r="Q1213" i="5"/>
  <c r="Q1214" i="5"/>
  <c r="R1214" i="5" s="1"/>
  <c r="Q1215" i="5"/>
  <c r="R1215" i="5" s="1"/>
  <c r="Q1216" i="5"/>
  <c r="R1216" i="5" s="1"/>
  <c r="Q1217" i="5"/>
  <c r="R1217" i="5" s="1"/>
  <c r="Q1218" i="5"/>
  <c r="R1218" i="5" s="1"/>
  <c r="Q1219" i="5"/>
  <c r="R1219" i="5" s="1"/>
  <c r="Q1220" i="5"/>
  <c r="Q1221" i="5"/>
  <c r="Q1222" i="5"/>
  <c r="Q1223" i="5"/>
  <c r="Q1224" i="5"/>
  <c r="R1224" i="5" s="1"/>
  <c r="Q1225" i="5"/>
  <c r="R1225" i="5" s="1"/>
  <c r="Q1226" i="5"/>
  <c r="Q1227" i="5"/>
  <c r="R1227" i="5" s="1"/>
  <c r="Q1228" i="5"/>
  <c r="Q1229" i="5"/>
  <c r="R1229" i="5" s="1"/>
  <c r="Q1230" i="5"/>
  <c r="Q1231" i="5"/>
  <c r="R1231" i="5" s="1"/>
  <c r="Q1232" i="5"/>
  <c r="R1232" i="5" s="1"/>
  <c r="Q1233" i="5"/>
  <c r="R1233" i="5" s="1"/>
  <c r="Q1234" i="5"/>
  <c r="Q1235" i="5"/>
  <c r="R1235" i="5" s="1"/>
  <c r="Q1236" i="5"/>
  <c r="Q1237" i="5"/>
  <c r="R1237" i="5" s="1"/>
  <c r="Q1238" i="5"/>
  <c r="R1238" i="5" s="1"/>
  <c r="Q1239" i="5"/>
  <c r="R1239" i="5" s="1"/>
  <c r="Q1240" i="5"/>
  <c r="R1240" i="5" s="1"/>
  <c r="Q1241" i="5"/>
  <c r="R1241" i="5" s="1"/>
  <c r="Q1242" i="5"/>
  <c r="Q1243" i="5"/>
  <c r="R1243" i="5" s="1"/>
  <c r="Q1244" i="5"/>
  <c r="Q1245" i="5"/>
  <c r="R1245" i="5" s="1"/>
  <c r="Q1246" i="5"/>
  <c r="Q1247" i="5"/>
  <c r="R1247" i="5" s="1"/>
  <c r="Q1248" i="5"/>
  <c r="R1248" i="5" s="1"/>
  <c r="Q1249" i="5"/>
  <c r="R1249" i="5" s="1"/>
  <c r="Q1250" i="5"/>
  <c r="Q1251" i="5"/>
  <c r="R1251" i="5" s="1"/>
  <c r="Q1252" i="5"/>
  <c r="Q1253" i="5"/>
  <c r="Q1254" i="5"/>
  <c r="R1254" i="5" s="1"/>
  <c r="Q1255" i="5"/>
  <c r="R1255" i="5" s="1"/>
  <c r="Q1256" i="5"/>
  <c r="R1256" i="5" s="1"/>
  <c r="Q1257" i="5"/>
  <c r="R1257" i="5" s="1"/>
  <c r="Q1258" i="5"/>
  <c r="Q1259" i="5"/>
  <c r="Q1260" i="5"/>
  <c r="Q1261" i="5"/>
  <c r="R1261" i="5" s="1"/>
  <c r="Q1262" i="5"/>
  <c r="Q1263" i="5"/>
  <c r="R1263" i="5" s="1"/>
  <c r="Q1264" i="5"/>
  <c r="R1264" i="5" s="1"/>
  <c r="Q1265" i="5"/>
  <c r="R1265" i="5" s="1"/>
  <c r="Q1266" i="5"/>
  <c r="Q1267" i="5"/>
  <c r="R1267" i="5" s="1"/>
  <c r="Q1268" i="5"/>
  <c r="Q1269" i="5"/>
  <c r="Q1270" i="5"/>
  <c r="Q1271" i="5"/>
  <c r="R1271" i="5" s="1"/>
  <c r="Q1272" i="5"/>
  <c r="Q1273" i="5"/>
  <c r="R1273" i="5" s="1"/>
  <c r="Q1274" i="5"/>
  <c r="Q1275" i="5"/>
  <c r="R1275" i="5" s="1"/>
  <c r="Q1276" i="5"/>
  <c r="Q1277" i="5"/>
  <c r="R1277" i="5" s="1"/>
  <c r="Q1278" i="5"/>
  <c r="R1278" i="5" s="1"/>
  <c r="Q1279" i="5"/>
  <c r="R1279" i="5" s="1"/>
  <c r="Q1280" i="5"/>
  <c r="R1280" i="5" s="1"/>
  <c r="Q1281" i="5"/>
  <c r="R1281" i="5" s="1"/>
  <c r="Q1282" i="5"/>
  <c r="Q1283" i="5"/>
  <c r="R1283" i="5" s="1"/>
  <c r="Q1284" i="5"/>
  <c r="Q1285" i="5"/>
  <c r="Q1286" i="5"/>
  <c r="R1286" i="5" s="1"/>
  <c r="Q1287" i="5"/>
  <c r="R1287" i="5" s="1"/>
  <c r="Q1288" i="5"/>
  <c r="R1288" i="5" s="1"/>
  <c r="Q1289" i="5"/>
  <c r="R1289" i="5" s="1"/>
  <c r="Q1290" i="5"/>
  <c r="Q1291" i="5"/>
  <c r="Q1292" i="5"/>
  <c r="Q1293" i="5"/>
  <c r="R1293" i="5" s="1"/>
  <c r="Q1294" i="5"/>
  <c r="R1294" i="5" s="1"/>
  <c r="Q1295" i="5"/>
  <c r="R1295" i="5" s="1"/>
  <c r="Q1296" i="5"/>
  <c r="R1296" i="5" s="1"/>
  <c r="Q1297" i="5"/>
  <c r="R1297" i="5" s="1"/>
  <c r="Q1298" i="5"/>
  <c r="Q1299" i="5"/>
  <c r="R1299" i="5" s="1"/>
  <c r="Q1300" i="5"/>
  <c r="Q1301" i="5"/>
  <c r="R1301" i="5" s="1"/>
  <c r="Q1302" i="5"/>
  <c r="R1302" i="5" s="1"/>
  <c r="Q1303" i="5"/>
  <c r="R1303" i="5" s="1"/>
  <c r="Q1304" i="5"/>
  <c r="R1304" i="5" s="1"/>
  <c r="Q1305" i="5"/>
  <c r="R1305" i="5" s="1"/>
  <c r="Q1306" i="5"/>
  <c r="Q1307" i="5"/>
  <c r="R1307" i="5" s="1"/>
  <c r="Q1308" i="5"/>
  <c r="Q1309" i="5"/>
  <c r="R1309" i="5" s="1"/>
  <c r="Q1310" i="5"/>
  <c r="R1310" i="5" s="1"/>
  <c r="Q1311" i="5"/>
  <c r="R1311" i="5" s="1"/>
  <c r="Q1312" i="5"/>
  <c r="R1312" i="5" s="1"/>
  <c r="Q1313" i="5"/>
  <c r="R1313" i="5" s="1"/>
  <c r="Q1314" i="5"/>
  <c r="R1314" i="5" s="1"/>
  <c r="Q1315" i="5"/>
  <c r="R1315" i="5" s="1"/>
  <c r="Q1316" i="5"/>
  <c r="Q1317" i="5"/>
  <c r="Q1318" i="5"/>
  <c r="R1318" i="5" s="1"/>
  <c r="Q1319" i="5"/>
  <c r="R1319" i="5" s="1"/>
  <c r="Q1320" i="5"/>
  <c r="Q1321" i="5"/>
  <c r="R1321" i="5" s="1"/>
  <c r="Q1322" i="5"/>
  <c r="Q1323" i="5"/>
  <c r="R1323" i="5" s="1"/>
  <c r="Q1324" i="5"/>
  <c r="Q1325" i="5"/>
  <c r="R1325" i="5" s="1"/>
  <c r="Q1326" i="5"/>
  <c r="Q1327" i="5"/>
  <c r="R1327" i="5" s="1"/>
  <c r="Q1328" i="5"/>
  <c r="R1328" i="5" s="1"/>
  <c r="Q1329" i="5"/>
  <c r="R1329" i="5" s="1"/>
  <c r="Q1330" i="5"/>
  <c r="Q1331" i="5"/>
  <c r="R1331" i="5" s="1"/>
  <c r="Q1332" i="5"/>
  <c r="Q1333" i="5"/>
  <c r="R1333" i="5" s="1"/>
  <c r="Q1334" i="5"/>
  <c r="Q1335" i="5"/>
  <c r="R1335" i="5" s="1"/>
  <c r="Q1336" i="5"/>
  <c r="R1336" i="5" s="1"/>
  <c r="Q1337" i="5"/>
  <c r="R1337" i="5" s="1"/>
  <c r="Q1338" i="5"/>
  <c r="Q1339" i="5"/>
  <c r="R1339" i="5" s="1"/>
  <c r="Q1340" i="5"/>
  <c r="Q1341" i="5"/>
  <c r="Q1342" i="5"/>
  <c r="Q1343" i="5"/>
  <c r="R1343" i="5" s="1"/>
  <c r="Q1344" i="5"/>
  <c r="Q1345" i="5"/>
  <c r="R1345" i="5" s="1"/>
  <c r="Q1346" i="5"/>
  <c r="Q1347" i="5"/>
  <c r="R1347" i="5" s="1"/>
  <c r="Q1348" i="5"/>
  <c r="Q1349" i="5"/>
  <c r="R1349" i="5" s="1"/>
  <c r="Q1350" i="5"/>
  <c r="R1350" i="5" s="1"/>
  <c r="Q1351" i="5"/>
  <c r="R1351" i="5" s="1"/>
  <c r="Q1352" i="5"/>
  <c r="R1352" i="5" s="1"/>
  <c r="Q1353" i="5"/>
  <c r="R1353" i="5" s="1"/>
  <c r="Q1354" i="5"/>
  <c r="Q1355" i="5"/>
  <c r="R1355" i="5" s="1"/>
  <c r="Q1356" i="5"/>
  <c r="Q1357" i="5"/>
  <c r="R1357" i="5" s="1"/>
  <c r="Q1358" i="5"/>
  <c r="Q1359" i="5"/>
  <c r="R1359" i="5" s="1"/>
  <c r="Q1360" i="5"/>
  <c r="R1360" i="5" s="1"/>
  <c r="Q1361" i="5"/>
  <c r="R1361" i="5" s="1"/>
  <c r="Q1362" i="5"/>
  <c r="Q1363" i="5"/>
  <c r="R1363" i="5" s="1"/>
  <c r="Q1364" i="5"/>
  <c r="Q1365" i="5"/>
  <c r="R1365" i="5" s="1"/>
  <c r="Q1366" i="5"/>
  <c r="R1366" i="5" s="1"/>
  <c r="Q1367" i="5"/>
  <c r="Q1368" i="5"/>
  <c r="R1368" i="5" s="1"/>
  <c r="Q1369" i="5"/>
  <c r="R1369" i="5" s="1"/>
  <c r="Q1370" i="5"/>
  <c r="Q1371" i="5"/>
  <c r="R1371" i="5" s="1"/>
  <c r="Q1372" i="5"/>
  <c r="Q1373" i="5"/>
  <c r="R1373" i="5" s="1"/>
  <c r="Q1374" i="5"/>
  <c r="R1374" i="5" s="1"/>
  <c r="Q1375" i="5"/>
  <c r="R1375" i="5" s="1"/>
  <c r="Q1376" i="5"/>
  <c r="R1376" i="5" s="1"/>
  <c r="Q1377" i="5"/>
  <c r="R1377" i="5" s="1"/>
  <c r="Q1378" i="5"/>
  <c r="Q1379" i="5"/>
  <c r="R1379" i="5" s="1"/>
  <c r="Q1380" i="5"/>
  <c r="Q1381" i="5"/>
  <c r="Q1382" i="5"/>
  <c r="R1382" i="5" s="1"/>
  <c r="Q1383" i="5"/>
  <c r="R1383" i="5" s="1"/>
  <c r="Q1384" i="5"/>
  <c r="R1384" i="5" s="1"/>
  <c r="Q1385" i="5"/>
  <c r="R1385" i="5" s="1"/>
  <c r="Q1386" i="5"/>
  <c r="R1386" i="5" s="1"/>
  <c r="Q1387" i="5"/>
  <c r="R1387" i="5" s="1"/>
  <c r="Q1388" i="5"/>
  <c r="Q1389" i="5"/>
  <c r="R1389" i="5" s="1"/>
  <c r="Q1390" i="5"/>
  <c r="R1390" i="5" s="1"/>
  <c r="Q1391" i="5"/>
  <c r="R1391" i="5" s="1"/>
  <c r="Q1392" i="5"/>
  <c r="R1392" i="5" s="1"/>
  <c r="Q1393" i="5"/>
  <c r="R1393" i="5" s="1"/>
  <c r="Q1394" i="5"/>
  <c r="Q1395" i="5"/>
  <c r="R1395" i="5" s="1"/>
  <c r="Q1396" i="5"/>
  <c r="Q1397" i="5"/>
  <c r="Q1398" i="5"/>
  <c r="R1398" i="5" s="1"/>
  <c r="Q1399" i="5"/>
  <c r="R1399" i="5" s="1"/>
  <c r="Q1400" i="5"/>
  <c r="R1400" i="5" s="1"/>
  <c r="Q1401" i="5"/>
  <c r="R1401" i="5" s="1"/>
  <c r="Q1402" i="5"/>
  <c r="Q1403" i="5"/>
  <c r="R1403" i="5" s="1"/>
  <c r="Q1404" i="5"/>
  <c r="Q1405" i="5"/>
  <c r="Q1406" i="5"/>
  <c r="Q1407" i="5"/>
  <c r="R1407" i="5" s="1"/>
  <c r="Q1408" i="5"/>
  <c r="R1408" i="5" s="1"/>
  <c r="Q1409" i="5"/>
  <c r="R1409" i="5" s="1"/>
  <c r="Q1410" i="5"/>
  <c r="Q1411" i="5"/>
  <c r="R1411" i="5" s="1"/>
  <c r="Q1412" i="5"/>
  <c r="Q1413" i="5"/>
  <c r="Q1414" i="5"/>
  <c r="R1414" i="5" s="1"/>
  <c r="Q1415" i="5"/>
  <c r="R1415" i="5" s="1"/>
  <c r="Q1416" i="5"/>
  <c r="R1416" i="5" s="1"/>
  <c r="Q1417" i="5"/>
  <c r="R1417" i="5" s="1"/>
  <c r="Q1418" i="5"/>
  <c r="Q1419" i="5"/>
  <c r="R1419" i="5" s="1"/>
  <c r="Q1420" i="5"/>
  <c r="Q1421" i="5"/>
  <c r="R1421" i="5" s="1"/>
  <c r="Q1422" i="5"/>
  <c r="R1422" i="5" s="1"/>
  <c r="Q1423" i="5"/>
  <c r="R1423" i="5" s="1"/>
  <c r="Q1424" i="5"/>
  <c r="R1424" i="5" s="1"/>
  <c r="Q1425" i="5"/>
  <c r="R1425" i="5" s="1"/>
  <c r="Q1426" i="5"/>
  <c r="Q1427" i="5"/>
  <c r="Q1428" i="5"/>
  <c r="Q1429" i="5"/>
  <c r="R1429" i="5" s="1"/>
  <c r="Q1430" i="5"/>
  <c r="Q1431" i="5"/>
  <c r="Q1432" i="5"/>
  <c r="R1432" i="5" s="1"/>
  <c r="Q1433" i="5"/>
  <c r="Q1434" i="5"/>
  <c r="Q1435" i="5"/>
  <c r="R1435" i="5" s="1"/>
  <c r="Q1436" i="5"/>
  <c r="Q1437" i="5"/>
  <c r="R1437" i="5" s="1"/>
  <c r="Q1438" i="5"/>
  <c r="Q1439" i="5"/>
  <c r="R1439" i="5" s="1"/>
  <c r="Q1440" i="5"/>
  <c r="R1440" i="5" s="1"/>
  <c r="Q1441" i="5"/>
  <c r="R1441" i="5" s="1"/>
  <c r="Q1442" i="5"/>
  <c r="Q1443" i="5"/>
  <c r="R1443" i="5" s="1"/>
  <c r="Q1444" i="5"/>
  <c r="Q1445" i="5"/>
  <c r="Q1446" i="5"/>
  <c r="Q1447" i="5"/>
  <c r="R1447" i="5" s="1"/>
  <c r="Q1448" i="5"/>
  <c r="R1448" i="5" s="1"/>
  <c r="Q1449" i="5"/>
  <c r="R1449" i="5" s="1"/>
  <c r="Q1450" i="5"/>
  <c r="Q1451" i="5"/>
  <c r="R1451" i="5" s="1"/>
  <c r="Q1452" i="5"/>
  <c r="Q1453" i="5"/>
  <c r="R1453" i="5" s="1"/>
  <c r="Q1454" i="5"/>
  <c r="Q1455" i="5"/>
  <c r="R1455" i="5" s="1"/>
  <c r="Q1456" i="5"/>
  <c r="R1456" i="5" s="1"/>
  <c r="Q1457" i="5"/>
  <c r="R1457" i="5" s="1"/>
  <c r="Q1458" i="5"/>
  <c r="Q1459" i="5"/>
  <c r="R1459" i="5" s="1"/>
  <c r="Q1460" i="5"/>
  <c r="Q1461" i="5"/>
  <c r="R1461" i="5" s="1"/>
  <c r="Q1462" i="5"/>
  <c r="Q1463" i="5"/>
  <c r="R1463" i="5" s="1"/>
  <c r="Q1464" i="5"/>
  <c r="R1464" i="5" s="1"/>
  <c r="Q1465" i="5"/>
  <c r="R1465" i="5" s="1"/>
  <c r="Q1466" i="5"/>
  <c r="Q1467" i="5"/>
  <c r="R1467" i="5" s="1"/>
  <c r="Q1468" i="5"/>
  <c r="Q1469" i="5"/>
  <c r="R1469" i="5" s="1"/>
  <c r="Q1470" i="5"/>
  <c r="R1470" i="5" s="1"/>
  <c r="Q1471" i="5"/>
  <c r="R1471" i="5" s="1"/>
  <c r="Q1472" i="5"/>
  <c r="R1472" i="5" s="1"/>
  <c r="Q1473" i="5"/>
  <c r="R1473" i="5" s="1"/>
  <c r="Q1474" i="5"/>
  <c r="Q1475" i="5"/>
  <c r="Q1476" i="5"/>
  <c r="Q1477" i="5"/>
  <c r="Q1478" i="5"/>
  <c r="R1478" i="5" s="1"/>
  <c r="Q1479" i="5"/>
  <c r="R1479" i="5" s="1"/>
  <c r="Q1480" i="5"/>
  <c r="R1480" i="5" s="1"/>
  <c r="Q1481" i="5"/>
  <c r="R1481" i="5" s="1"/>
  <c r="Q1482" i="5"/>
  <c r="Q1483" i="5"/>
  <c r="R1483" i="5" s="1"/>
  <c r="Q1484" i="5"/>
  <c r="Q1485" i="5"/>
  <c r="R1485" i="5" s="1"/>
  <c r="Q1486" i="5"/>
  <c r="R1486" i="5" s="1"/>
  <c r="Q1487" i="5"/>
  <c r="R1487" i="5" s="1"/>
  <c r="Q1488" i="5"/>
  <c r="Q1489" i="5"/>
  <c r="R1489" i="5" s="1"/>
  <c r="Q1490" i="5"/>
  <c r="Q1491" i="5"/>
  <c r="R1491" i="5" s="1"/>
  <c r="Q1492" i="5"/>
  <c r="Q1493" i="5"/>
  <c r="R1493" i="5" s="1"/>
  <c r="Q1494" i="5"/>
  <c r="Q1495" i="5"/>
  <c r="R1495" i="5" s="1"/>
  <c r="Q1496" i="5"/>
  <c r="R1496" i="5" s="1"/>
  <c r="Q1497" i="5"/>
  <c r="R1497" i="5" s="1"/>
  <c r="Q1498" i="5"/>
  <c r="Q1499" i="5"/>
  <c r="R1499" i="5" s="1"/>
  <c r="Q1500" i="5"/>
  <c r="Q1501" i="5"/>
  <c r="R1501" i="5" s="1"/>
  <c r="Q1502" i="5"/>
  <c r="Q1503" i="5"/>
  <c r="R1503" i="5" s="1"/>
  <c r="Q1504" i="5"/>
  <c r="R1504" i="5" s="1"/>
  <c r="Q1505" i="5"/>
  <c r="R1505" i="5" s="1"/>
  <c r="Q1506" i="5"/>
  <c r="Q1507" i="5"/>
  <c r="R1507" i="5" s="1"/>
  <c r="Q1508" i="5"/>
  <c r="Q1509" i="5"/>
  <c r="Q1510" i="5"/>
  <c r="Q1511" i="5"/>
  <c r="R1511" i="5" s="1"/>
  <c r="Q1512" i="5"/>
  <c r="R1512" i="5" s="1"/>
  <c r="Q1513" i="5"/>
  <c r="R1513" i="5" s="1"/>
  <c r="Q1514" i="5"/>
  <c r="Q1515" i="5"/>
  <c r="R1515" i="5" s="1"/>
  <c r="Q1516" i="5"/>
  <c r="Q1517" i="5"/>
  <c r="R1517" i="5" s="1"/>
  <c r="Q1518" i="5"/>
  <c r="R1518" i="5" s="1"/>
  <c r="Q1519" i="5"/>
  <c r="R1519" i="5" s="1"/>
  <c r="Q1520" i="5"/>
  <c r="R1520" i="5" s="1"/>
  <c r="Q1521" i="5"/>
  <c r="Q1522" i="5"/>
  <c r="Q1523" i="5"/>
  <c r="Q1524" i="5"/>
  <c r="Q1525" i="5"/>
  <c r="Q1526" i="5"/>
  <c r="Q1527" i="5"/>
  <c r="R1527" i="5" s="1"/>
  <c r="Q1528" i="5"/>
  <c r="R1528" i="5" s="1"/>
  <c r="Q1529" i="5"/>
  <c r="R1529" i="5" s="1"/>
  <c r="Q1530" i="5"/>
  <c r="Q1531" i="5"/>
  <c r="Q1532" i="5"/>
  <c r="Q1533" i="5"/>
  <c r="Q1534" i="5"/>
  <c r="Q1535" i="5"/>
  <c r="R1535" i="5" s="1"/>
  <c r="Q1536" i="5"/>
  <c r="R1536" i="5" s="1"/>
  <c r="Q1537" i="5"/>
  <c r="R1537" i="5" s="1"/>
  <c r="Q1538" i="5"/>
  <c r="Q1539" i="5"/>
  <c r="R1539" i="5" s="1"/>
  <c r="Q1540" i="5"/>
  <c r="Q1541" i="5"/>
  <c r="Q1542" i="5"/>
  <c r="Q1543" i="5"/>
  <c r="R1543" i="5" s="1"/>
  <c r="Q1544" i="5"/>
  <c r="R1544" i="5" s="1"/>
  <c r="Q1545" i="5"/>
  <c r="R1545" i="5" s="1"/>
  <c r="Q1546" i="5"/>
  <c r="Q1547" i="5"/>
  <c r="Q1548" i="5"/>
  <c r="Q1549" i="5"/>
  <c r="R1549" i="5" s="1"/>
  <c r="Q1550" i="5"/>
  <c r="R1550" i="5" s="1"/>
  <c r="Q1551" i="5"/>
  <c r="R1551" i="5" s="1"/>
  <c r="Q1552" i="5"/>
  <c r="R1552" i="5" s="1"/>
  <c r="Q1553" i="5"/>
  <c r="R1553" i="5" s="1"/>
  <c r="Q1554" i="5"/>
  <c r="Q1555" i="5"/>
  <c r="R1555" i="5" s="1"/>
  <c r="Q1556" i="5"/>
  <c r="Q1557" i="5"/>
  <c r="R1557" i="5" s="1"/>
  <c r="Q1558" i="5"/>
  <c r="R1558" i="5" s="1"/>
  <c r="Q1559" i="5"/>
  <c r="R1559" i="5" s="1"/>
  <c r="Q1560" i="5"/>
  <c r="R1560" i="5" s="1"/>
  <c r="Q1561" i="5"/>
  <c r="R1561" i="5" s="1"/>
  <c r="Q1562" i="5"/>
  <c r="Q1563" i="5"/>
  <c r="Q1564" i="5"/>
  <c r="Q1565" i="5"/>
  <c r="R1565" i="5" s="1"/>
  <c r="Q1566" i="5"/>
  <c r="R1566" i="5" s="1"/>
  <c r="Q1567" i="5"/>
  <c r="R1567" i="5" s="1"/>
  <c r="Q1568" i="5"/>
  <c r="R1568" i="5" s="1"/>
  <c r="Q1569" i="5"/>
  <c r="R1569" i="5" s="1"/>
  <c r="Q1570" i="5"/>
  <c r="Q1571" i="5"/>
  <c r="R1571" i="5" s="1"/>
  <c r="Q1572" i="5"/>
  <c r="Q1573" i="5"/>
  <c r="R1573" i="5" s="1"/>
  <c r="Q1574" i="5"/>
  <c r="Q1575" i="5"/>
  <c r="Q1576" i="5"/>
  <c r="R1576" i="5" s="1"/>
  <c r="Q1577" i="5"/>
  <c r="R1577" i="5" s="1"/>
  <c r="Q1578" i="5"/>
  <c r="Q1579" i="5"/>
  <c r="R1579" i="5" s="1"/>
  <c r="Q1580" i="5"/>
  <c r="Q1581" i="5"/>
  <c r="R1581" i="5" s="1"/>
  <c r="Q1582" i="5"/>
  <c r="R1582" i="5" s="1"/>
  <c r="Q1583" i="5"/>
  <c r="R1583" i="5" s="1"/>
  <c r="Q1584" i="5"/>
  <c r="R1584" i="5" s="1"/>
  <c r="Q1585" i="5"/>
  <c r="R1585" i="5" s="1"/>
  <c r="Q1586" i="5"/>
  <c r="Q1587" i="5"/>
  <c r="R1587" i="5" s="1"/>
  <c r="Q1588" i="5"/>
  <c r="Q1589" i="5"/>
  <c r="Q1590" i="5"/>
  <c r="Q1591" i="5"/>
  <c r="R1591" i="5" s="1"/>
  <c r="Q1592" i="5"/>
  <c r="R1592" i="5" s="1"/>
  <c r="Q1593" i="5"/>
  <c r="R1593" i="5" s="1"/>
  <c r="Q1594" i="5"/>
  <c r="R1594" i="5" s="1"/>
  <c r="Q1595" i="5"/>
  <c r="Q1596" i="5"/>
  <c r="Q1597" i="5"/>
  <c r="Q1598" i="5"/>
  <c r="Q1599" i="5"/>
  <c r="Q1600" i="5"/>
  <c r="R1600" i="5" s="1"/>
  <c r="Q1601" i="5"/>
  <c r="R1601" i="5" s="1"/>
  <c r="Q1602" i="5"/>
  <c r="Q1603" i="5"/>
  <c r="Q1604" i="5"/>
  <c r="Q1605" i="5"/>
  <c r="Q1606" i="5"/>
  <c r="Q1607" i="5"/>
  <c r="R1607" i="5" s="1"/>
  <c r="Q1608" i="5"/>
  <c r="R1608" i="5" s="1"/>
  <c r="Q1609" i="5"/>
  <c r="R1609" i="5" s="1"/>
  <c r="Q1610" i="5"/>
  <c r="Q1611" i="5"/>
  <c r="R1611" i="5" s="1"/>
  <c r="Q1612" i="5"/>
  <c r="Q1613" i="5"/>
  <c r="R1613" i="5" s="1"/>
  <c r="Q1614" i="5"/>
  <c r="Q1615" i="5"/>
  <c r="R1615" i="5" s="1"/>
  <c r="Q1616" i="5"/>
  <c r="R1616" i="5" s="1"/>
  <c r="Q1617" i="5"/>
  <c r="Q1618" i="5"/>
  <c r="Q1619" i="5"/>
  <c r="R1619" i="5" s="1"/>
  <c r="Q1620" i="5"/>
  <c r="Q1621" i="5"/>
  <c r="R1621" i="5" s="1"/>
  <c r="Q1622" i="5"/>
  <c r="R1622" i="5" s="1"/>
  <c r="Q1623" i="5"/>
  <c r="R1623" i="5" s="1"/>
  <c r="Q1624" i="5"/>
  <c r="R1624" i="5" s="1"/>
  <c r="Q1625" i="5"/>
  <c r="R1625" i="5" s="1"/>
  <c r="Q1626" i="5"/>
  <c r="Q1627" i="5"/>
  <c r="Q1628" i="5"/>
  <c r="Q1629" i="5"/>
  <c r="R1629" i="5" s="1"/>
  <c r="Q1630" i="5"/>
  <c r="R1630" i="5" s="1"/>
  <c r="Q1631" i="5"/>
  <c r="R1631" i="5" s="1"/>
  <c r="Q1632" i="5"/>
  <c r="R1632" i="5" s="1"/>
  <c r="Q1633" i="5"/>
  <c r="R1633" i="5" s="1"/>
  <c r="Q1634" i="5"/>
  <c r="Q1635" i="5"/>
  <c r="R1635" i="5" s="1"/>
  <c r="Q1636" i="5"/>
  <c r="Q1637" i="5"/>
  <c r="Q1638" i="5"/>
  <c r="Q1639" i="5"/>
  <c r="R1639" i="5" s="1"/>
  <c r="Q1640" i="5"/>
  <c r="R1640" i="5" s="1"/>
  <c r="Q1641" i="5"/>
  <c r="R1641" i="5" s="1"/>
  <c r="Q1642" i="5"/>
  <c r="Q1643" i="5"/>
  <c r="R1643" i="5" s="1"/>
  <c r="Q1644" i="5"/>
  <c r="Q1645" i="5"/>
  <c r="R1645" i="5" s="1"/>
  <c r="Q1646" i="5"/>
  <c r="Q1647" i="5"/>
  <c r="R1647" i="5" s="1"/>
  <c r="Q1648" i="5"/>
  <c r="R1648" i="5" s="1"/>
  <c r="Q1649" i="5"/>
  <c r="R1649" i="5" s="1"/>
  <c r="Q1650" i="5"/>
  <c r="Q1651" i="5"/>
  <c r="R1651" i="5" s="1"/>
  <c r="Q1652" i="5"/>
  <c r="Q1653" i="5"/>
  <c r="Q1654" i="5"/>
  <c r="R1654" i="5" s="1"/>
  <c r="Q1655" i="5"/>
  <c r="R1655" i="5" s="1"/>
  <c r="Q1656" i="5"/>
  <c r="R1656" i="5" s="1"/>
  <c r="Q1657" i="5"/>
  <c r="R1657" i="5" s="1"/>
  <c r="Q1658" i="5"/>
  <c r="Q1659" i="5"/>
  <c r="R1659" i="5" s="1"/>
  <c r="Q1660" i="5"/>
  <c r="Q1661" i="5"/>
  <c r="Q1662" i="5"/>
  <c r="Q1663" i="5"/>
  <c r="R1663" i="5" s="1"/>
  <c r="Q1664" i="5"/>
  <c r="R1664" i="5" s="1"/>
  <c r="Q1665" i="5"/>
  <c r="R1665" i="5" s="1"/>
  <c r="Q1666" i="5"/>
  <c r="Q1667" i="5"/>
  <c r="Q1668" i="5"/>
  <c r="Q1669" i="5"/>
  <c r="Q1670" i="5"/>
  <c r="Q1671" i="5"/>
  <c r="R1671" i="5" s="1"/>
  <c r="Q1672" i="5"/>
  <c r="R1672" i="5" s="1"/>
  <c r="Q1673" i="5"/>
  <c r="R1673" i="5" s="1"/>
  <c r="Q1674" i="5"/>
  <c r="Q1675" i="5"/>
  <c r="R1675" i="5" s="1"/>
  <c r="Q1676" i="5"/>
  <c r="Q1677" i="5"/>
  <c r="R1677" i="5" s="1"/>
  <c r="Q1678" i="5"/>
  <c r="Q1679" i="5"/>
  <c r="R1679" i="5" s="1"/>
  <c r="Q1680" i="5"/>
  <c r="R1680" i="5" s="1"/>
  <c r="Q1681" i="5"/>
  <c r="R1681" i="5" s="1"/>
  <c r="Q1682" i="5"/>
  <c r="Q1683" i="5"/>
  <c r="R1683" i="5" s="1"/>
  <c r="Q1684" i="5"/>
  <c r="Q1685" i="5"/>
  <c r="R1685" i="5" s="1"/>
  <c r="Q1686" i="5"/>
  <c r="Q1687" i="5"/>
  <c r="R1687" i="5" s="1"/>
  <c r="Q1688" i="5"/>
  <c r="R1688" i="5" s="1"/>
  <c r="Q1689" i="5"/>
  <c r="R1689" i="5" s="1"/>
  <c r="Q1690" i="5"/>
  <c r="Q1691" i="5"/>
  <c r="R1691" i="5" s="1"/>
  <c r="Q1692" i="5"/>
  <c r="Q1693" i="5"/>
  <c r="R1693" i="5" s="1"/>
  <c r="Q1694" i="5"/>
  <c r="R1694" i="5" s="1"/>
  <c r="Q1695" i="5"/>
  <c r="R1695" i="5" s="1"/>
  <c r="Q1696" i="5"/>
  <c r="R1696" i="5" s="1"/>
  <c r="Q1697" i="5"/>
  <c r="R1697" i="5" s="1"/>
  <c r="Q1698" i="5"/>
  <c r="Q1699" i="5"/>
  <c r="Q1700" i="5"/>
  <c r="Q1701" i="5"/>
  <c r="Q1702" i="5"/>
  <c r="R1702" i="5" s="1"/>
  <c r="Q1703" i="5"/>
  <c r="R1703" i="5" s="1"/>
  <c r="Q1704" i="5"/>
  <c r="R1704" i="5" s="1"/>
  <c r="Q1705" i="5"/>
  <c r="R1705" i="5" s="1"/>
  <c r="Q1706" i="5"/>
  <c r="Q1707" i="5"/>
  <c r="R1707" i="5" s="1"/>
  <c r="Q1708" i="5"/>
  <c r="Q1709" i="5"/>
  <c r="Q1710" i="5"/>
  <c r="R1710" i="5" s="1"/>
  <c r="Q1711" i="5"/>
  <c r="R1711" i="5" s="1"/>
  <c r="Q1712" i="5"/>
  <c r="R1712" i="5" s="1"/>
  <c r="Q1713" i="5"/>
  <c r="R1713" i="5" s="1"/>
  <c r="Q1714" i="5"/>
  <c r="Q1715" i="5"/>
  <c r="R1715" i="5" s="1"/>
  <c r="Q1716" i="5"/>
  <c r="Q1717" i="5"/>
  <c r="R1717" i="5" s="1"/>
  <c r="Q1718" i="5"/>
  <c r="R1718" i="5" s="1"/>
  <c r="Q1719" i="5"/>
  <c r="R1719" i="5" s="1"/>
  <c r="Q1720" i="5"/>
  <c r="R1720" i="5" s="1"/>
  <c r="Q1721" i="5"/>
  <c r="R1721" i="5" s="1"/>
  <c r="Q1722" i="5"/>
  <c r="Q1723" i="5"/>
  <c r="R1723" i="5" s="1"/>
  <c r="Q1724" i="5"/>
  <c r="Q1725" i="5"/>
  <c r="Q1726" i="5"/>
  <c r="R1726" i="5" s="1"/>
  <c r="Q1727" i="5"/>
  <c r="R1727" i="5" s="1"/>
  <c r="Q1728" i="5"/>
  <c r="R1728" i="5" s="1"/>
  <c r="Q1729" i="5"/>
  <c r="R1729" i="5" s="1"/>
  <c r="Q1730" i="5"/>
  <c r="Q1731" i="5"/>
  <c r="R1731" i="5" s="1"/>
  <c r="Q1732" i="5"/>
  <c r="Q1733" i="5"/>
  <c r="Q1734" i="5"/>
  <c r="Q1735" i="5"/>
  <c r="R1735" i="5" s="1"/>
  <c r="Q1736" i="5"/>
  <c r="R1736" i="5" s="1"/>
  <c r="Q1737" i="5"/>
  <c r="R1737" i="5" s="1"/>
  <c r="Q1738" i="5"/>
  <c r="Q1739" i="5"/>
  <c r="Q1740" i="5"/>
  <c r="Q1741" i="5"/>
  <c r="R1741" i="5" s="1"/>
  <c r="Q1742" i="5"/>
  <c r="R1742" i="5" s="1"/>
  <c r="Q1743" i="5"/>
  <c r="R1743" i="5" s="1"/>
  <c r="Q1744" i="5"/>
  <c r="R1744" i="5" s="1"/>
  <c r="Q1745" i="5"/>
  <c r="R1745" i="5" s="1"/>
  <c r="Q1746" i="5"/>
  <c r="Q1747" i="5"/>
  <c r="R1747" i="5" s="1"/>
  <c r="Q1748" i="5"/>
  <c r="Q1749" i="5"/>
  <c r="R1749" i="5" s="1"/>
  <c r="Q1750" i="5"/>
  <c r="R1750" i="5" s="1"/>
  <c r="Q1751" i="5"/>
  <c r="R1751" i="5" s="1"/>
  <c r="Q1752" i="5"/>
  <c r="R1752" i="5" s="1"/>
  <c r="Q1753" i="5"/>
  <c r="R1753" i="5" s="1"/>
  <c r="Q1754" i="5"/>
  <c r="Q1755" i="5"/>
  <c r="R1755" i="5" s="1"/>
  <c r="Q1756" i="5"/>
  <c r="Q1757" i="5"/>
  <c r="R1757" i="5" s="1"/>
  <c r="Q1758" i="5"/>
  <c r="R1758" i="5" s="1"/>
  <c r="Q1759" i="5"/>
  <c r="R1759" i="5" s="1"/>
  <c r="Q1760" i="5"/>
  <c r="R1760" i="5" s="1"/>
  <c r="Q1761" i="5"/>
  <c r="R1761" i="5" s="1"/>
  <c r="Q1762" i="5"/>
  <c r="R1762" i="5" s="1"/>
  <c r="Q1763" i="5"/>
  <c r="Q1764" i="5"/>
  <c r="Q1765" i="5"/>
  <c r="Q1766" i="5"/>
  <c r="R1766" i="5" s="1"/>
  <c r="Q1767" i="5"/>
  <c r="R1767" i="5" s="1"/>
  <c r="Q1768" i="5"/>
  <c r="R1768" i="5" s="1"/>
  <c r="Q1769" i="5"/>
  <c r="R1769" i="5" s="1"/>
  <c r="Q1770" i="5"/>
  <c r="Q1771" i="5"/>
  <c r="Q1772" i="5"/>
  <c r="Q1773" i="5"/>
  <c r="R1773" i="5" s="1"/>
  <c r="Q1774" i="5"/>
  <c r="R1774" i="5" s="1"/>
  <c r="Q1775" i="5"/>
  <c r="R1775" i="5" s="1"/>
  <c r="Q1776" i="5"/>
  <c r="R1776" i="5" s="1"/>
  <c r="Q1777" i="5"/>
  <c r="R1777" i="5" s="1"/>
  <c r="Q1778" i="5"/>
  <c r="Q1779" i="5"/>
  <c r="R1779" i="5" s="1"/>
  <c r="Q1780" i="5"/>
  <c r="Q1781" i="5"/>
  <c r="Q1782" i="5"/>
  <c r="Q1783" i="5"/>
  <c r="R1783" i="5" s="1"/>
  <c r="Q1784" i="5"/>
  <c r="Q1785" i="5"/>
  <c r="R1785" i="5" s="1"/>
  <c r="Q1786" i="5"/>
  <c r="Q1787" i="5"/>
  <c r="R1787" i="5" s="1"/>
  <c r="Q1788" i="5"/>
  <c r="Q1789" i="5"/>
  <c r="Q1790" i="5"/>
  <c r="Q1791" i="5"/>
  <c r="R1791" i="5" s="1"/>
  <c r="Q1792" i="5"/>
  <c r="R1792" i="5" s="1"/>
  <c r="Q1793" i="5"/>
  <c r="R1793" i="5" s="1"/>
  <c r="Q1794" i="5"/>
  <c r="Q1795" i="5"/>
  <c r="R1795" i="5" s="1"/>
  <c r="Q1796" i="5"/>
  <c r="Q1797" i="5"/>
  <c r="R1797" i="5" s="1"/>
  <c r="Q1798" i="5"/>
  <c r="R1798" i="5" s="1"/>
  <c r="Q1799" i="5"/>
  <c r="R1799" i="5" s="1"/>
  <c r="Q1800" i="5"/>
  <c r="R1800" i="5" s="1"/>
  <c r="Q1801" i="5"/>
  <c r="R1801" i="5" s="1"/>
  <c r="Q1802" i="5"/>
  <c r="Q1803" i="5"/>
  <c r="Q1804" i="5"/>
  <c r="Q1805" i="5"/>
  <c r="R1805" i="5" s="1"/>
  <c r="Q1806" i="5"/>
  <c r="R1806" i="5" s="1"/>
  <c r="Q1807" i="5"/>
  <c r="R1807" i="5" s="1"/>
  <c r="Q1808" i="5"/>
  <c r="R1808" i="5" s="1"/>
  <c r="Q1809" i="5"/>
  <c r="R1809" i="5" s="1"/>
  <c r="Q1810" i="5"/>
  <c r="Q1811" i="5"/>
  <c r="R1811" i="5" s="1"/>
  <c r="Q1812" i="5"/>
  <c r="Q1813" i="5"/>
  <c r="R1813" i="5" s="1"/>
  <c r="Q1814" i="5"/>
  <c r="R1814" i="5" s="1"/>
  <c r="Q1815" i="5"/>
  <c r="R1815" i="5" s="1"/>
  <c r="Q1816" i="5"/>
  <c r="R1816" i="5" s="1"/>
  <c r="Q1817" i="5"/>
  <c r="R1817" i="5" s="1"/>
  <c r="Q1818" i="5"/>
  <c r="Q1819" i="5"/>
  <c r="R1819" i="5" s="1"/>
  <c r="Q1820" i="5"/>
  <c r="Q1821" i="5"/>
  <c r="R1821" i="5" s="1"/>
  <c r="Q1822" i="5"/>
  <c r="R1822" i="5" s="1"/>
  <c r="Q1823" i="5"/>
  <c r="R1823" i="5" s="1"/>
  <c r="Q1824" i="5"/>
  <c r="R1824" i="5" s="1"/>
  <c r="Q1825" i="5"/>
  <c r="R1825" i="5" s="1"/>
  <c r="Q1826" i="5"/>
  <c r="Q1827" i="5"/>
  <c r="R1827" i="5" s="1"/>
  <c r="Q1828" i="5"/>
  <c r="Q1829" i="5"/>
  <c r="R1829" i="5" s="1"/>
  <c r="Q1830" i="5"/>
  <c r="R1830" i="5" s="1"/>
  <c r="Q1831" i="5"/>
  <c r="R1831" i="5" s="1"/>
  <c r="Q1832" i="5"/>
  <c r="R1832" i="5" s="1"/>
  <c r="Q1833" i="5"/>
  <c r="Q1834" i="5"/>
  <c r="Q1835" i="5"/>
  <c r="Q1836" i="5"/>
  <c r="Q1837" i="5"/>
  <c r="R1837" i="5" s="1"/>
  <c r="Q1838" i="5"/>
  <c r="Q1839" i="5"/>
  <c r="R1839" i="5" s="1"/>
  <c r="Q1840" i="5"/>
  <c r="Q1841" i="5"/>
  <c r="R1841" i="5" s="1"/>
  <c r="Q1842" i="5"/>
  <c r="Q1843" i="5"/>
  <c r="R1843" i="5" s="1"/>
  <c r="Q1844" i="5"/>
  <c r="Q1845" i="5"/>
  <c r="Q1846" i="5"/>
  <c r="R1846" i="5" s="1"/>
  <c r="Q1847" i="5"/>
  <c r="R1847" i="5" s="1"/>
  <c r="Q1848" i="5"/>
  <c r="R1848" i="5" s="1"/>
  <c r="Q1849" i="5"/>
  <c r="R1849" i="5" s="1"/>
  <c r="Q1850" i="5"/>
  <c r="Q1851" i="5"/>
  <c r="R1851" i="5" s="1"/>
  <c r="Q1852" i="5"/>
  <c r="Q1853" i="5"/>
  <c r="Q1854" i="5"/>
  <c r="Q1855" i="5"/>
  <c r="R1855" i="5" s="1"/>
  <c r="Q1856" i="5"/>
  <c r="R1856" i="5" s="1"/>
  <c r="Q1857" i="5"/>
  <c r="Q1858" i="5"/>
  <c r="Q1859" i="5"/>
  <c r="R1859" i="5" s="1"/>
  <c r="Q1860" i="5"/>
  <c r="Q1861" i="5"/>
  <c r="Q1862" i="5"/>
  <c r="Q1863" i="5"/>
  <c r="R1863" i="5" s="1"/>
  <c r="Q1864" i="5"/>
  <c r="Q1865" i="5"/>
  <c r="R1865" i="5" s="1"/>
  <c r="Q1866" i="5"/>
  <c r="Q1867" i="5"/>
  <c r="R1867" i="5" s="1"/>
  <c r="Q1868" i="5"/>
  <c r="Q1869" i="5"/>
  <c r="R1869" i="5" s="1"/>
  <c r="Q1870" i="5"/>
  <c r="Q1871" i="5"/>
  <c r="R1871" i="5" s="1"/>
  <c r="Q1872" i="5"/>
  <c r="R1872" i="5" s="1"/>
  <c r="Q1873" i="5"/>
  <c r="R1873" i="5" s="1"/>
  <c r="Q1874" i="5"/>
  <c r="Q1875" i="5"/>
  <c r="Q1876" i="5"/>
  <c r="Q1877" i="5"/>
  <c r="R1877" i="5" s="1"/>
  <c r="Q1878" i="5"/>
  <c r="Q1879" i="5"/>
  <c r="R1879" i="5" s="1"/>
  <c r="Q1880" i="5"/>
  <c r="Q1881" i="5"/>
  <c r="R1881" i="5" s="1"/>
  <c r="Q1882" i="5"/>
  <c r="Q1883" i="5"/>
  <c r="R1883" i="5" s="1"/>
  <c r="Q1884" i="5"/>
  <c r="Q1885" i="5"/>
  <c r="R1885" i="5" s="1"/>
  <c r="Q1886" i="5"/>
  <c r="R1886" i="5" s="1"/>
  <c r="Q1887" i="5"/>
  <c r="R1887" i="5" s="1"/>
  <c r="Q1888" i="5"/>
  <c r="R1888" i="5" s="1"/>
  <c r="Q1889" i="5"/>
  <c r="R1889" i="5" s="1"/>
  <c r="Q1890" i="5"/>
  <c r="Q1891" i="5"/>
  <c r="R1891" i="5" s="1"/>
  <c r="Q1892" i="5"/>
  <c r="Q1893" i="5"/>
  <c r="Q1894" i="5"/>
  <c r="Q1895" i="5"/>
  <c r="R1895" i="5" s="1"/>
  <c r="Q1896" i="5"/>
  <c r="R1896" i="5" s="1"/>
  <c r="Q1897" i="5"/>
  <c r="Q1898" i="5"/>
  <c r="Q1899" i="5"/>
  <c r="R1899" i="5" s="1"/>
  <c r="Q1900" i="5"/>
  <c r="Q1901" i="5"/>
  <c r="R1901" i="5" s="1"/>
  <c r="Q1902" i="5"/>
  <c r="Q1903" i="5"/>
  <c r="R1903" i="5" s="1"/>
  <c r="Q1904" i="5"/>
  <c r="Q1905" i="5"/>
  <c r="Q1906" i="5"/>
  <c r="Q1907" i="5"/>
  <c r="R1907" i="5" s="1"/>
  <c r="Q1908" i="5"/>
  <c r="Q1909" i="5"/>
  <c r="R1909" i="5" s="1"/>
  <c r="Q1910" i="5"/>
  <c r="R1910" i="5" s="1"/>
  <c r="Q1911" i="5"/>
  <c r="R1911" i="5" s="1"/>
  <c r="Q1912" i="5"/>
  <c r="Q1913" i="5"/>
  <c r="R1913" i="5" s="1"/>
  <c r="Q1914" i="5"/>
  <c r="Q1915" i="5"/>
  <c r="R1915" i="5" s="1"/>
  <c r="Q1916" i="5"/>
  <c r="Q1917" i="5"/>
  <c r="R1917" i="5" s="1"/>
  <c r="Q1918" i="5"/>
  <c r="Q1919" i="5"/>
  <c r="R1919" i="5" s="1"/>
  <c r="Q1920" i="5"/>
  <c r="Q1921" i="5"/>
  <c r="R1921" i="5" s="1"/>
  <c r="Q1922" i="5"/>
  <c r="Q1923" i="5"/>
  <c r="R1923" i="5" s="1"/>
  <c r="Q1924" i="5"/>
  <c r="Q1925" i="5"/>
  <c r="R1925" i="5" s="1"/>
  <c r="Q1926" i="5"/>
  <c r="Q1927" i="5"/>
  <c r="Q1928" i="5"/>
  <c r="Q1929" i="5"/>
  <c r="R1929" i="5" s="1"/>
  <c r="Q1930" i="5"/>
  <c r="Q1931" i="5"/>
  <c r="Q1932" i="5"/>
  <c r="Q1933" i="5"/>
  <c r="R1933" i="5" s="1"/>
  <c r="Q1934" i="5"/>
  <c r="Q1935" i="5"/>
  <c r="R1935" i="5" s="1"/>
  <c r="Q1936" i="5"/>
  <c r="Q1937" i="5"/>
  <c r="Q1938" i="5"/>
  <c r="Q1939" i="5"/>
  <c r="R1939" i="5" s="1"/>
  <c r="Q1940" i="5"/>
  <c r="Q1941" i="5"/>
  <c r="R1941" i="5" s="1"/>
  <c r="Q1942" i="5"/>
  <c r="R1942" i="5" s="1"/>
  <c r="Q1943" i="5"/>
  <c r="R1943" i="5" s="1"/>
  <c r="Q1944" i="5"/>
  <c r="R1944" i="5" s="1"/>
  <c r="Q1945" i="5"/>
  <c r="Q1946" i="5"/>
  <c r="Q1947" i="5"/>
  <c r="R1947" i="5" s="1"/>
  <c r="Q1948" i="5"/>
  <c r="Q1949" i="5"/>
  <c r="R1949" i="5" s="1"/>
  <c r="Q1950" i="5"/>
  <c r="Q1951" i="5"/>
  <c r="R1951" i="5" s="1"/>
  <c r="Q1952" i="5"/>
  <c r="Q1953" i="5"/>
  <c r="R1953" i="5" s="1"/>
  <c r="Q1954" i="5"/>
  <c r="Q1955" i="5"/>
  <c r="R1955" i="5" s="1"/>
  <c r="Q1956" i="5"/>
  <c r="Q1957" i="5"/>
  <c r="R1957" i="5" s="1"/>
  <c r="Q1958" i="5"/>
  <c r="Q1959" i="5"/>
  <c r="R1959" i="5" s="1"/>
  <c r="Q1960" i="5"/>
  <c r="R1960" i="5" s="1"/>
  <c r="Q1961" i="5"/>
  <c r="R1961" i="5" s="1"/>
  <c r="Q1962" i="5"/>
  <c r="R1962" i="5" s="1"/>
  <c r="Q1963" i="5"/>
  <c r="R1963" i="5" s="1"/>
  <c r="Q1964" i="5"/>
  <c r="Q1965" i="5"/>
  <c r="Q1966" i="5"/>
  <c r="Q1967" i="5"/>
  <c r="R1967" i="5" s="1"/>
  <c r="Q1968" i="5"/>
  <c r="Q1969" i="5"/>
  <c r="R1969" i="5" s="1"/>
  <c r="Q1970" i="5"/>
  <c r="Q1971" i="5"/>
  <c r="R1971" i="5" s="1"/>
  <c r="Q1972" i="5"/>
  <c r="Q1973" i="5"/>
  <c r="R1973" i="5" s="1"/>
  <c r="Q1974" i="5"/>
  <c r="R1974" i="5" s="1"/>
  <c r="Q1975" i="5"/>
  <c r="R1975" i="5" s="1"/>
  <c r="Q1976" i="5"/>
  <c r="R1976" i="5" s="1"/>
  <c r="Q1977" i="5"/>
  <c r="R1977" i="5" s="1"/>
  <c r="Q1978" i="5"/>
  <c r="Q1979" i="5"/>
  <c r="R1979" i="5" s="1"/>
  <c r="Q1980" i="5"/>
  <c r="Q1981" i="5"/>
  <c r="R1981" i="5" s="1"/>
  <c r="Q1982" i="5"/>
  <c r="Q1983" i="5"/>
  <c r="R1983" i="5" s="1"/>
  <c r="Q1984" i="5"/>
  <c r="R1984" i="5" s="1"/>
  <c r="Q1985" i="5"/>
  <c r="R1985" i="5" s="1"/>
  <c r="Q1986" i="5"/>
  <c r="Q1987" i="5"/>
  <c r="R1987" i="5" s="1"/>
  <c r="Q1988" i="5"/>
  <c r="Q1989" i="5"/>
  <c r="R1989" i="5" s="1"/>
  <c r="Q1990" i="5"/>
  <c r="Q1991" i="5"/>
  <c r="R1991" i="5" s="1"/>
  <c r="Q1992" i="5"/>
  <c r="Q1993" i="5"/>
  <c r="R1993" i="5" s="1"/>
  <c r="Q1994" i="5"/>
  <c r="Q1995" i="5"/>
  <c r="R1995" i="5" s="1"/>
  <c r="Q1996" i="5"/>
  <c r="Q1997" i="5"/>
  <c r="R1997" i="5" s="1"/>
  <c r="Q1998" i="5"/>
  <c r="R1998" i="5" s="1"/>
  <c r="Q1999" i="5"/>
  <c r="R1999" i="5" s="1"/>
  <c r="Q2000" i="5"/>
  <c r="Q2001" i="5"/>
  <c r="R2001" i="5" s="1"/>
  <c r="Q2002" i="5"/>
  <c r="Q2003" i="5"/>
  <c r="Q2004" i="5"/>
  <c r="R2004" i="5" s="1"/>
  <c r="Q2005" i="5"/>
  <c r="Q2006" i="5"/>
  <c r="R2006" i="5" s="1"/>
  <c r="Q2007" i="5"/>
  <c r="R2007" i="5" s="1"/>
  <c r="Q2008" i="5"/>
  <c r="R2008" i="5" s="1"/>
  <c r="Q2009" i="5"/>
  <c r="R2009" i="5" s="1"/>
  <c r="Q2010" i="5"/>
  <c r="Q2011" i="5"/>
  <c r="Q2012" i="5"/>
  <c r="Q2013" i="5"/>
  <c r="R2013" i="5" s="1"/>
  <c r="Q2014" i="5"/>
  <c r="R2014" i="5" s="1"/>
  <c r="Q2015" i="5"/>
  <c r="R2015" i="5" s="1"/>
  <c r="Q2016" i="5"/>
  <c r="R2016" i="5" s="1"/>
  <c r="Q2017" i="5"/>
  <c r="R2017" i="5" s="1"/>
  <c r="Q2018" i="5"/>
  <c r="Q2019" i="5"/>
  <c r="Q2020" i="5"/>
  <c r="Q2021" i="5"/>
  <c r="R2021" i="5" s="1"/>
  <c r="Q2022" i="5"/>
  <c r="Q2023" i="5"/>
  <c r="R2023" i="5" s="1"/>
  <c r="Q2024" i="5"/>
  <c r="Q2025" i="5"/>
  <c r="R2025" i="5" s="1"/>
  <c r="Q2026" i="5"/>
  <c r="Q2027" i="5"/>
  <c r="Q2028" i="5"/>
  <c r="Q2029" i="5"/>
  <c r="R2029" i="5" s="1"/>
  <c r="Q2030" i="5"/>
  <c r="Q2031" i="5"/>
  <c r="R2031" i="5" s="1"/>
  <c r="Q2032" i="5"/>
  <c r="Q2033" i="5"/>
  <c r="Q2034" i="5"/>
  <c r="Q2035" i="5"/>
  <c r="Q2036" i="5"/>
  <c r="Q2037" i="5"/>
  <c r="R2037" i="5" s="1"/>
  <c r="Q2038" i="5"/>
  <c r="Q2039" i="5"/>
  <c r="R2039" i="5" s="1"/>
  <c r="Q2040" i="5"/>
  <c r="R2040" i="5" s="1"/>
  <c r="Q2041" i="5"/>
  <c r="R2041" i="5" s="1"/>
  <c r="Q2042" i="5"/>
  <c r="Q2043" i="5"/>
  <c r="Q2044" i="5"/>
  <c r="Q2045" i="5"/>
  <c r="R2045" i="5" s="1"/>
  <c r="Q2046" i="5"/>
  <c r="R2046" i="5" s="1"/>
  <c r="Q2047" i="5"/>
  <c r="R2047" i="5" s="1"/>
  <c r="Q2048" i="5"/>
  <c r="Q2049" i="5"/>
  <c r="Q2050" i="5"/>
  <c r="Q2051" i="5"/>
  <c r="Q2052" i="5"/>
  <c r="Q2053" i="5"/>
  <c r="R2053" i="5" s="1"/>
  <c r="Q2054" i="5"/>
  <c r="R2054" i="5" s="1"/>
  <c r="Q2055" i="5"/>
  <c r="R2055" i="5" s="1"/>
  <c r="Q2056" i="5"/>
  <c r="R2056" i="5" s="1"/>
  <c r="Q2057" i="5"/>
  <c r="R2057" i="5" s="1"/>
  <c r="Q2058" i="5"/>
  <c r="Q2059" i="5"/>
  <c r="Q2060" i="5"/>
  <c r="R2060" i="5" s="1"/>
  <c r="Q2061" i="5"/>
  <c r="R2061" i="5" s="1"/>
  <c r="Q2062" i="5"/>
  <c r="R2062" i="5" s="1"/>
  <c r="Q2063" i="5"/>
  <c r="R2063" i="5" s="1"/>
  <c r="Q2064" i="5"/>
  <c r="R2064" i="5" s="1"/>
  <c r="Q2065" i="5"/>
  <c r="R2065" i="5" s="1"/>
  <c r="Q2066" i="5"/>
  <c r="R2066" i="5" s="1"/>
  <c r="Q2067" i="5"/>
  <c r="Q2068" i="5"/>
  <c r="Q2069" i="5"/>
  <c r="R2069" i="5" s="1"/>
  <c r="Q2070" i="5"/>
  <c r="Q2071" i="5"/>
  <c r="R2071" i="5" s="1"/>
  <c r="Q2072" i="5"/>
  <c r="Q2073" i="5"/>
  <c r="Q2074" i="5"/>
  <c r="R2074" i="5" s="1"/>
  <c r="Q2075" i="5"/>
  <c r="Q2076" i="5"/>
  <c r="Q2077" i="5"/>
  <c r="R2077" i="5" s="1"/>
  <c r="Q2078" i="5"/>
  <c r="R2078" i="5" s="1"/>
  <c r="Q2079" i="5"/>
  <c r="R2079" i="5" s="1"/>
  <c r="Q2080" i="5"/>
  <c r="R2080" i="5" s="1"/>
  <c r="Q2081" i="5"/>
  <c r="R2081" i="5" s="1"/>
  <c r="Q2082" i="5"/>
  <c r="Q2083" i="5"/>
  <c r="Q2084" i="5"/>
  <c r="Q2085" i="5"/>
  <c r="R2085" i="5" s="1"/>
  <c r="Q2086" i="5"/>
  <c r="R2086" i="5" s="1"/>
  <c r="Q2087" i="5"/>
  <c r="Q2088" i="5"/>
  <c r="R2088" i="5" s="1"/>
  <c r="Q2089" i="5"/>
  <c r="Q2090" i="5"/>
  <c r="R2090" i="5" s="1"/>
  <c r="Q2091" i="5"/>
  <c r="Q2092" i="5"/>
  <c r="Q2093" i="5"/>
  <c r="R2093" i="5" s="1"/>
  <c r="Q2094" i="5"/>
  <c r="R2094" i="5" s="1"/>
  <c r="Q2095" i="5"/>
  <c r="R2095" i="5" s="1"/>
  <c r="Q2096" i="5"/>
  <c r="Q2097" i="5"/>
  <c r="Q2098" i="5"/>
  <c r="Q2099" i="5"/>
  <c r="Q2100" i="5"/>
  <c r="Q2101" i="5"/>
  <c r="R2101" i="5" s="1"/>
  <c r="Q2102" i="5"/>
  <c r="R2102" i="5" s="1"/>
  <c r="Q2103" i="5"/>
  <c r="R2103" i="5" s="1"/>
  <c r="Q2104" i="5"/>
  <c r="Q2105" i="5"/>
  <c r="R2105" i="5" s="1"/>
  <c r="Q2106" i="5"/>
  <c r="Q2107" i="5"/>
  <c r="Q2108" i="5"/>
  <c r="Q2109" i="5"/>
  <c r="Q2110" i="5"/>
  <c r="Q2111" i="5"/>
  <c r="R2111" i="5" s="1"/>
  <c r="Q2112" i="5"/>
  <c r="Q2113" i="5"/>
  <c r="Q2114" i="5"/>
  <c r="Q2115" i="5"/>
  <c r="Q2116" i="5"/>
  <c r="Q2117" i="5"/>
  <c r="R2117" i="5" s="1"/>
  <c r="Q2118" i="5"/>
  <c r="Q2119" i="5"/>
  <c r="R2119" i="5" s="1"/>
  <c r="Q2120" i="5"/>
  <c r="R2120" i="5" s="1"/>
  <c r="Q2121" i="5"/>
  <c r="R2121" i="5" s="1"/>
  <c r="Q2122" i="5"/>
  <c r="Q2123" i="5"/>
  <c r="Q2124" i="5"/>
  <c r="R2124" i="5" s="1"/>
  <c r="Q2125" i="5"/>
  <c r="R2125" i="5" s="1"/>
  <c r="Q2126" i="5"/>
  <c r="R2126" i="5" s="1"/>
  <c r="Q2127" i="5"/>
  <c r="R2127" i="5" s="1"/>
  <c r="Q2128" i="5"/>
  <c r="Q2129" i="5"/>
  <c r="R2129" i="5" s="1"/>
  <c r="Q2130" i="5"/>
  <c r="R2130" i="5" s="1"/>
  <c r="Q2131" i="5"/>
  <c r="Q2132" i="5"/>
  <c r="Q2133" i="5"/>
  <c r="R2133" i="5" s="1"/>
  <c r="Q2134" i="5"/>
  <c r="Q2135" i="5"/>
  <c r="Q2136" i="5"/>
  <c r="Q2137" i="5"/>
  <c r="Q2138" i="5"/>
  <c r="R2138" i="5" s="1"/>
  <c r="Q2139" i="5"/>
  <c r="Q2140" i="5"/>
  <c r="Q2141" i="5"/>
  <c r="R2141" i="5" s="1"/>
  <c r="Q2142" i="5"/>
  <c r="R2142" i="5" s="1"/>
  <c r="Q2143" i="5"/>
  <c r="R2143" i="5" s="1"/>
  <c r="Q2144" i="5"/>
  <c r="Q2145" i="5"/>
  <c r="R2145" i="5" s="1"/>
  <c r="Q2146" i="5"/>
  <c r="Q2147" i="5"/>
  <c r="Q2148" i="5"/>
  <c r="R925" i="5"/>
  <c r="R926" i="5"/>
  <c r="R927" i="5"/>
  <c r="R930" i="5"/>
  <c r="B2" i="9"/>
  <c r="R1169" i="5" l="1"/>
  <c r="R1427" i="5"/>
  <c r="R931" i="5"/>
  <c r="R951" i="5"/>
  <c r="R2032" i="5"/>
  <c r="R958" i="5"/>
  <c r="R942" i="5"/>
  <c r="R1143" i="5"/>
  <c r="R2135" i="5"/>
  <c r="R1223" i="5"/>
  <c r="R992" i="5"/>
  <c r="R976" i="5"/>
  <c r="R960" i="5"/>
  <c r="R944" i="5"/>
  <c r="R1709" i="5"/>
  <c r="R987" i="5"/>
  <c r="R979" i="5"/>
  <c r="R971" i="5"/>
  <c r="R963" i="5"/>
  <c r="R947" i="5"/>
  <c r="R939" i="5"/>
  <c r="R1965" i="5"/>
  <c r="R994" i="5"/>
  <c r="R970" i="5"/>
  <c r="R1020" i="5"/>
  <c r="R988" i="5"/>
  <c r="R996" i="5"/>
  <c r="R972" i="5"/>
  <c r="R964" i="5"/>
  <c r="R956" i="5"/>
  <c r="R948" i="5"/>
  <c r="R2109" i="5"/>
  <c r="R997" i="5"/>
  <c r="R989" i="5"/>
  <c r="R981" i="5"/>
  <c r="R973" i="5"/>
  <c r="R957" i="5"/>
  <c r="R949" i="5"/>
  <c r="R941" i="5"/>
  <c r="R965" i="5"/>
  <c r="R933" i="5"/>
  <c r="R1021" i="5"/>
  <c r="R1012" i="5"/>
  <c r="R1004" i="5"/>
  <c r="R1431" i="5"/>
  <c r="R1526" i="5"/>
  <c r="R1010" i="5"/>
  <c r="R1013" i="5"/>
  <c r="R1005" i="5"/>
  <c r="R1023" i="5"/>
  <c r="R1015" i="5"/>
  <c r="R1007" i="5"/>
  <c r="R1111" i="5"/>
  <c r="R1022" i="5"/>
  <c r="R1014" i="5"/>
  <c r="R1006" i="5"/>
  <c r="R1920" i="5"/>
  <c r="R999" i="5"/>
  <c r="R1433" i="5"/>
  <c r="R1547" i="5"/>
  <c r="R1026" i="5"/>
  <c r="R1034" i="5"/>
  <c r="R1931" i="5"/>
  <c r="R2552" i="5"/>
  <c r="R2606" i="5"/>
  <c r="R1172" i="5"/>
  <c r="R2607" i="5"/>
  <c r="R2608" i="5"/>
  <c r="R1092" i="5"/>
  <c r="R2602" i="5"/>
  <c r="R2604" i="5"/>
  <c r="R2605" i="5"/>
  <c r="R2603" i="5"/>
  <c r="R2599" i="5"/>
  <c r="R1488" i="5"/>
  <c r="R2601" i="5"/>
  <c r="R2593" i="5"/>
  <c r="R2586" i="5"/>
  <c r="R2595" i="5"/>
  <c r="R2600" i="5"/>
  <c r="R1291" i="5"/>
  <c r="R2596" i="5"/>
  <c r="R2597" i="5"/>
  <c r="R1344" i="5"/>
  <c r="R2589" i="5"/>
  <c r="R2592" i="5"/>
  <c r="R1188" i="5"/>
  <c r="R1036" i="5"/>
  <c r="R2591" i="5"/>
  <c r="R2594" i="5"/>
  <c r="R2598" i="5"/>
  <c r="R2579" i="5"/>
  <c r="R2585" i="5"/>
  <c r="R1320" i="5"/>
  <c r="R2578" i="5"/>
  <c r="R2584" i="5"/>
  <c r="R2590" i="5"/>
  <c r="R2544" i="5"/>
  <c r="R2588" i="5"/>
  <c r="R2587" i="5"/>
  <c r="R2574" i="5"/>
  <c r="R1113" i="5"/>
  <c r="R2577" i="5"/>
  <c r="R2583" i="5"/>
  <c r="R2576" i="5"/>
  <c r="R1599" i="5"/>
  <c r="R2582" i="5"/>
  <c r="R2581" i="5"/>
  <c r="R2575" i="5"/>
  <c r="R2580" i="5"/>
  <c r="R1575" i="5"/>
  <c r="R1367" i="5"/>
  <c r="R2573" i="5"/>
  <c r="R2558" i="5"/>
  <c r="R2572" i="5"/>
  <c r="R2559" i="5"/>
  <c r="R1262" i="5"/>
  <c r="R1678" i="5"/>
  <c r="R2565" i="5"/>
  <c r="R1945" i="5"/>
  <c r="R1617" i="5"/>
  <c r="R1521" i="5"/>
  <c r="R2538" i="5"/>
  <c r="R2564" i="5"/>
  <c r="R1272" i="5"/>
  <c r="R1128" i="5"/>
  <c r="R1048" i="5"/>
  <c r="R1032" i="5"/>
  <c r="R2571" i="5"/>
  <c r="R2087" i="5"/>
  <c r="R1927" i="5"/>
  <c r="R2545" i="5"/>
  <c r="R2567" i="5"/>
  <c r="R2569" i="5"/>
  <c r="R2568" i="5"/>
  <c r="R2570" i="5"/>
  <c r="R2562" i="5"/>
  <c r="R2563" i="5"/>
  <c r="R1250" i="5"/>
  <c r="R2566" i="5"/>
  <c r="R2110" i="5"/>
  <c r="R2070" i="5"/>
  <c r="R2537" i="5"/>
  <c r="R1212" i="5"/>
  <c r="R1148" i="5"/>
  <c r="R1052" i="5"/>
  <c r="R2561" i="5"/>
  <c r="R1203" i="5"/>
  <c r="R1075" i="5"/>
  <c r="R2549" i="5"/>
  <c r="R2560" i="5"/>
  <c r="R2557" i="5"/>
  <c r="R1541" i="5"/>
  <c r="R2556" i="5"/>
  <c r="R1912" i="5"/>
  <c r="R2553" i="5"/>
  <c r="R2555" i="5"/>
  <c r="R2554" i="5"/>
  <c r="R1988" i="5"/>
  <c r="R1980" i="5"/>
  <c r="R1956" i="5"/>
  <c r="R1948" i="5"/>
  <c r="R1924" i="5"/>
  <c r="R1916" i="5"/>
  <c r="R1220" i="5"/>
  <c r="R1204" i="5"/>
  <c r="R1196" i="5"/>
  <c r="R1180" i="5"/>
  <c r="R1164" i="5"/>
  <c r="R1156" i="5"/>
  <c r="R1140" i="5"/>
  <c r="R1132" i="5"/>
  <c r="R1124" i="5"/>
  <c r="R1116" i="5"/>
  <c r="R1108" i="5"/>
  <c r="R1100" i="5"/>
  <c r="R1084" i="5"/>
  <c r="R1076" i="5"/>
  <c r="R1068" i="5"/>
  <c r="R1060" i="5"/>
  <c r="R1044" i="5"/>
  <c r="R2533" i="5"/>
  <c r="R2550" i="5"/>
  <c r="R1139" i="5"/>
  <c r="R2547" i="5"/>
  <c r="R2548" i="5"/>
  <c r="R1763" i="5"/>
  <c r="R1667" i="5"/>
  <c r="R1259" i="5"/>
  <c r="R1211" i="5"/>
  <c r="R1163" i="5"/>
  <c r="R1131" i="5"/>
  <c r="R1107" i="5"/>
  <c r="R1083" i="5"/>
  <c r="R1051" i="5"/>
  <c r="R1627" i="5"/>
  <c r="R1595" i="5"/>
  <c r="R1195" i="5"/>
  <c r="R1171" i="5"/>
  <c r="R1115" i="5"/>
  <c r="R1035" i="5"/>
  <c r="R1803" i="5"/>
  <c r="R1179" i="5"/>
  <c r="R1147" i="5"/>
  <c r="R1099" i="5"/>
  <c r="R1067" i="5"/>
  <c r="R1043" i="5"/>
  <c r="R2048" i="5"/>
  <c r="R2024" i="5"/>
  <c r="R1952" i="5"/>
  <c r="R1784" i="5"/>
  <c r="R2525" i="5"/>
  <c r="R2529" i="5"/>
  <c r="R2540" i="5"/>
  <c r="R2113" i="5"/>
  <c r="R2073" i="5"/>
  <c r="R1937" i="5"/>
  <c r="R1905" i="5"/>
  <c r="R1897" i="5"/>
  <c r="R1857" i="5"/>
  <c r="R1833" i="5"/>
  <c r="R2134" i="5"/>
  <c r="R2118" i="5"/>
  <c r="R2038" i="5"/>
  <c r="R2030" i="5"/>
  <c r="R2022" i="5"/>
  <c r="R1990" i="5"/>
  <c r="R1982" i="5"/>
  <c r="R1966" i="5"/>
  <c r="R1958" i="5"/>
  <c r="R1950" i="5"/>
  <c r="R1934" i="5"/>
  <c r="R1926" i="5"/>
  <c r="R1918" i="5"/>
  <c r="R1902" i="5"/>
  <c r="R1894" i="5"/>
  <c r="R1878" i="5"/>
  <c r="R1870" i="5"/>
  <c r="R1862" i="5"/>
  <c r="R1854" i="5"/>
  <c r="R1838" i="5"/>
  <c r="R1790" i="5"/>
  <c r="R1782" i="5"/>
  <c r="R1734" i="5"/>
  <c r="R1686" i="5"/>
  <c r="R1670" i="5"/>
  <c r="R1662" i="5"/>
  <c r="R1646" i="5"/>
  <c r="R1638" i="5"/>
  <c r="R1614" i="5"/>
  <c r="R1606" i="5"/>
  <c r="R1598" i="5"/>
  <c r="R1590" i="5"/>
  <c r="R1574" i="5"/>
  <c r="R1542" i="5"/>
  <c r="R1534" i="5"/>
  <c r="R1510" i="5"/>
  <c r="R1502" i="5"/>
  <c r="R1494" i="5"/>
  <c r="R1462" i="5"/>
  <c r="R1454" i="5"/>
  <c r="R1446" i="5"/>
  <c r="R1438" i="5"/>
  <c r="R1430" i="5"/>
  <c r="R1406" i="5"/>
  <c r="R1358" i="5"/>
  <c r="R1342" i="5"/>
  <c r="R1334" i="5"/>
  <c r="R1326" i="5"/>
  <c r="R1270" i="5"/>
  <c r="R1246" i="5"/>
  <c r="R1230" i="5"/>
  <c r="R1222" i="5"/>
  <c r="R1206" i="5"/>
  <c r="R1190" i="5"/>
  <c r="R1174" i="5"/>
  <c r="R1158" i="5"/>
  <c r="R1142" i="5"/>
  <c r="R1126" i="5"/>
  <c r="R1110" i="5"/>
  <c r="R1094" i="5"/>
  <c r="R1078" i="5"/>
  <c r="R1062" i="5"/>
  <c r="R1046" i="5"/>
  <c r="R1030" i="5"/>
  <c r="R2546" i="5"/>
  <c r="R1701" i="5"/>
  <c r="R1661" i="5"/>
  <c r="R1589" i="5"/>
  <c r="R1525" i="5"/>
  <c r="R1477" i="5"/>
  <c r="R1317" i="5"/>
  <c r="R1285" i="5"/>
  <c r="R1221" i="5"/>
  <c r="R1213" i="5"/>
  <c r="R1205" i="5"/>
  <c r="R1197" i="5"/>
  <c r="R1189" i="5"/>
  <c r="R1181" i="5"/>
  <c r="R1173" i="5"/>
  <c r="R1165" i="5"/>
  <c r="R1157" i="5"/>
  <c r="R1149" i="5"/>
  <c r="R1141" i="5"/>
  <c r="R1133" i="5"/>
  <c r="R1125" i="5"/>
  <c r="R1117" i="5"/>
  <c r="R1109" i="5"/>
  <c r="R1101" i="5"/>
  <c r="R1093" i="5"/>
  <c r="R1085" i="5"/>
  <c r="R1077" i="5"/>
  <c r="R1069" i="5"/>
  <c r="R1061" i="5"/>
  <c r="R1053" i="5"/>
  <c r="R1045" i="5"/>
  <c r="R1037" i="5"/>
  <c r="R1029" i="5"/>
  <c r="R2114" i="5"/>
  <c r="R1994" i="5"/>
  <c r="R1930" i="5"/>
  <c r="R1898" i="5"/>
  <c r="R1866" i="5"/>
  <c r="R1834" i="5"/>
  <c r="R1826" i="5"/>
  <c r="R1802" i="5"/>
  <c r="R1730" i="5"/>
  <c r="R1690" i="5"/>
  <c r="R1666" i="5"/>
  <c r="R1490" i="5"/>
  <c r="R1354" i="5"/>
  <c r="R2542" i="5"/>
  <c r="R2539" i="5"/>
  <c r="R2541" i="5"/>
  <c r="R1893" i="5"/>
  <c r="R1853" i="5"/>
  <c r="R1781" i="5"/>
  <c r="R1733" i="5"/>
  <c r="R1653" i="5"/>
  <c r="R1637" i="5"/>
  <c r="R1605" i="5"/>
  <c r="R1509" i="5"/>
  <c r="R1413" i="5"/>
  <c r="R1397" i="5"/>
  <c r="R1341" i="5"/>
  <c r="R1253" i="5"/>
  <c r="R2005" i="5"/>
  <c r="R1861" i="5"/>
  <c r="R1845" i="5"/>
  <c r="R1789" i="5"/>
  <c r="R1765" i="5"/>
  <c r="R1725" i="5"/>
  <c r="R1669" i="5"/>
  <c r="R1597" i="5"/>
  <c r="R1533" i="5"/>
  <c r="R1445" i="5"/>
  <c r="R1405" i="5"/>
  <c r="R1381" i="5"/>
  <c r="R1269" i="5"/>
  <c r="R1875" i="5"/>
  <c r="R1835" i="5"/>
  <c r="R1771" i="5"/>
  <c r="R1739" i="5"/>
  <c r="R1699" i="5"/>
  <c r="R1603" i="5"/>
  <c r="R1563" i="5"/>
  <c r="R1531" i="5"/>
  <c r="R1523" i="5"/>
  <c r="R2530" i="5"/>
  <c r="R2534" i="5"/>
  <c r="R1658" i="5"/>
  <c r="R1626" i="5"/>
  <c r="R1586" i="5"/>
  <c r="R1522" i="5"/>
  <c r="R1426" i="5"/>
  <c r="R1322" i="5"/>
  <c r="R1290" i="5"/>
  <c r="R2532" i="5"/>
  <c r="R2531" i="5"/>
  <c r="R2535" i="5"/>
  <c r="R2536" i="5"/>
  <c r="R2527" i="5"/>
  <c r="R1475" i="5"/>
  <c r="R2122" i="5"/>
  <c r="R2082" i="5"/>
  <c r="R2050" i="5"/>
  <c r="R2018" i="5"/>
  <c r="R1954" i="5"/>
  <c r="R1890" i="5"/>
  <c r="R1850" i="5"/>
  <c r="R1794" i="5"/>
  <c r="R1754" i="5"/>
  <c r="R1682" i="5"/>
  <c r="R1650" i="5"/>
  <c r="R1554" i="5"/>
  <c r="R1514" i="5"/>
  <c r="R1474" i="5"/>
  <c r="R1442" i="5"/>
  <c r="R1410" i="5"/>
  <c r="R1346" i="5"/>
  <c r="R1282" i="5"/>
  <c r="R1234" i="5"/>
  <c r="R2146" i="5"/>
  <c r="R2098" i="5"/>
  <c r="R2058" i="5"/>
  <c r="R2026" i="5"/>
  <c r="R1986" i="5"/>
  <c r="R1922" i="5"/>
  <c r="R1882" i="5"/>
  <c r="R1770" i="5"/>
  <c r="R1714" i="5"/>
  <c r="R1674" i="5"/>
  <c r="R1634" i="5"/>
  <c r="R1602" i="5"/>
  <c r="R1570" i="5"/>
  <c r="R1538" i="5"/>
  <c r="R1482" i="5"/>
  <c r="R1450" i="5"/>
  <c r="R1418" i="5"/>
  <c r="R1378" i="5"/>
  <c r="R1306" i="5"/>
  <c r="R1266" i="5"/>
  <c r="R1226" i="5"/>
  <c r="R2034" i="5"/>
  <c r="R2010" i="5"/>
  <c r="R1970" i="5"/>
  <c r="R1946" i="5"/>
  <c r="R1906" i="5"/>
  <c r="R1858" i="5"/>
  <c r="R1818" i="5"/>
  <c r="R1786" i="5"/>
  <c r="R1746" i="5"/>
  <c r="R1722" i="5"/>
  <c r="R1698" i="5"/>
  <c r="R1642" i="5"/>
  <c r="R1610" i="5"/>
  <c r="R1562" i="5"/>
  <c r="R1530" i="5"/>
  <c r="R1498" i="5"/>
  <c r="R1458" i="5"/>
  <c r="R1394" i="5"/>
  <c r="R1362" i="5"/>
  <c r="R1330" i="5"/>
  <c r="R1298" i="5"/>
  <c r="R1258" i="5"/>
  <c r="R2106" i="5"/>
  <c r="R2042" i="5"/>
  <c r="R2002" i="5"/>
  <c r="R1978" i="5"/>
  <c r="R1938" i="5"/>
  <c r="R1914" i="5"/>
  <c r="R1874" i="5"/>
  <c r="R1842" i="5"/>
  <c r="R1810" i="5"/>
  <c r="R1778" i="5"/>
  <c r="R1738" i="5"/>
  <c r="R1706" i="5"/>
  <c r="R1618" i="5"/>
  <c r="R1578" i="5"/>
  <c r="R1546" i="5"/>
  <c r="R1506" i="5"/>
  <c r="R1466" i="5"/>
  <c r="R1434" i="5"/>
  <c r="R1402" i="5"/>
  <c r="R1370" i="5"/>
  <c r="R1338" i="5"/>
  <c r="R1274" i="5"/>
  <c r="R1242" i="5"/>
  <c r="R2144" i="5"/>
  <c r="R2136" i="5"/>
  <c r="R2128" i="5"/>
  <c r="R2112" i="5"/>
  <c r="R2104" i="5"/>
  <c r="R2096" i="5"/>
  <c r="R2072" i="5"/>
  <c r="R2000" i="5"/>
  <c r="R1992" i="5"/>
  <c r="R1968" i="5"/>
  <c r="R1936" i="5"/>
  <c r="R1928" i="5"/>
  <c r="R1904" i="5"/>
  <c r="R1880" i="5"/>
  <c r="R1864" i="5"/>
  <c r="R1840" i="5"/>
  <c r="R1996" i="5"/>
  <c r="R1972" i="5"/>
  <c r="R1964" i="5"/>
  <c r="R1940" i="5"/>
  <c r="R1932" i="5"/>
  <c r="R1908" i="5"/>
  <c r="R2528" i="5"/>
  <c r="R2523" i="5"/>
  <c r="R2052" i="5"/>
  <c r="R2526" i="5"/>
  <c r="R1892" i="5"/>
  <c r="R1876" i="5"/>
  <c r="R1844" i="5"/>
  <c r="R1820" i="5"/>
  <c r="R1788" i="5"/>
  <c r="R1756" i="5"/>
  <c r="R1732" i="5"/>
  <c r="R1708" i="5"/>
  <c r="R1692" i="5"/>
  <c r="R1660" i="5"/>
  <c r="R1636" i="5"/>
  <c r="R1612" i="5"/>
  <c r="R1588" i="5"/>
  <c r="R1564" i="5"/>
  <c r="R1540" i="5"/>
  <c r="R1516" i="5"/>
  <c r="R1492" i="5"/>
  <c r="R1468" i="5"/>
  <c r="R1444" i="5"/>
  <c r="R1420" i="5"/>
  <c r="R1388" i="5"/>
  <c r="R1364" i="5"/>
  <c r="R1332" i="5"/>
  <c r="R1308" i="5"/>
  <c r="R1292" i="5"/>
  <c r="R1276" i="5"/>
  <c r="R1260" i="5"/>
  <c r="R1244" i="5"/>
  <c r="R1236" i="5"/>
  <c r="R1884" i="5"/>
  <c r="R1852" i="5"/>
  <c r="R1828" i="5"/>
  <c r="R1804" i="5"/>
  <c r="R1772" i="5"/>
  <c r="R1748" i="5"/>
  <c r="R1716" i="5"/>
  <c r="R1684" i="5"/>
  <c r="R1668" i="5"/>
  <c r="R1644" i="5"/>
  <c r="R1628" i="5"/>
  <c r="R1604" i="5"/>
  <c r="R1580" i="5"/>
  <c r="R1556" i="5"/>
  <c r="R1524" i="5"/>
  <c r="R1500" i="5"/>
  <c r="R1476" i="5"/>
  <c r="R1452" i="5"/>
  <c r="R1428" i="5"/>
  <c r="R1404" i="5"/>
  <c r="R1372" i="5"/>
  <c r="R1340" i="5"/>
  <c r="R1324" i="5"/>
  <c r="R1300" i="5"/>
  <c r="R1284" i="5"/>
  <c r="R1268" i="5"/>
  <c r="R1252" i="5"/>
  <c r="R1860" i="5"/>
  <c r="R1780" i="5"/>
  <c r="R1396" i="5"/>
  <c r="R1356" i="5"/>
  <c r="R2116" i="5"/>
  <c r="R1900" i="5"/>
  <c r="R1868" i="5"/>
  <c r="R1836" i="5"/>
  <c r="R1812" i="5"/>
  <c r="R1796" i="5"/>
  <c r="R1764" i="5"/>
  <c r="R1740" i="5"/>
  <c r="R1724" i="5"/>
  <c r="R1700" i="5"/>
  <c r="R1676" i="5"/>
  <c r="R1652" i="5"/>
  <c r="R1620" i="5"/>
  <c r="R1596" i="5"/>
  <c r="R1572" i="5"/>
  <c r="R1548" i="5"/>
  <c r="R1532" i="5"/>
  <c r="R1508" i="5"/>
  <c r="R1484" i="5"/>
  <c r="R1460" i="5"/>
  <c r="R1436" i="5"/>
  <c r="R1412" i="5"/>
  <c r="R1380" i="5"/>
  <c r="R1348" i="5"/>
  <c r="R1316" i="5"/>
  <c r="R1228" i="5"/>
  <c r="R2524" i="5"/>
  <c r="R2137" i="5"/>
  <c r="R2097" i="5"/>
  <c r="R2089" i="5"/>
  <c r="R2049" i="5"/>
  <c r="R2033" i="5"/>
  <c r="R2148" i="5"/>
  <c r="R2092" i="5"/>
  <c r="R2084" i="5"/>
  <c r="R2036" i="5"/>
  <c r="R2140" i="5"/>
  <c r="R2100" i="5"/>
  <c r="R2044" i="5"/>
  <c r="R2068" i="5"/>
  <c r="R2012" i="5"/>
  <c r="R2132" i="5"/>
  <c r="R2076" i="5"/>
  <c r="R2028" i="5"/>
  <c r="R2108" i="5"/>
  <c r="R2020" i="5"/>
  <c r="R2115" i="5"/>
  <c r="R2051" i="5"/>
  <c r="R2139" i="5"/>
  <c r="R2099" i="5"/>
  <c r="R2067" i="5"/>
  <c r="R2027" i="5"/>
  <c r="R2123" i="5"/>
  <c r="R2083" i="5"/>
  <c r="R2043" i="5"/>
  <c r="R2011" i="5"/>
  <c r="R2147" i="5"/>
  <c r="R2107" i="5"/>
  <c r="R2075" i="5"/>
  <c r="R2035" i="5"/>
  <c r="R2131" i="5"/>
  <c r="R2091" i="5"/>
  <c r="R2059" i="5"/>
  <c r="R2019" i="5"/>
  <c r="R2003" i="5"/>
  <c r="Q2309" i="5"/>
  <c r="Q2325" i="5"/>
  <c r="Q2337" i="5"/>
  <c r="Q2398" i="5"/>
  <c r="Q2329" i="5"/>
  <c r="Q2442" i="5"/>
  <c r="Q2469" i="5"/>
  <c r="Q2412" i="5"/>
  <c r="Q2344" i="5"/>
  <c r="Q2475" i="5"/>
  <c r="Q2427" i="5"/>
  <c r="Q2458" i="5"/>
  <c r="Q2478" i="5"/>
  <c r="Q443" i="5"/>
  <c r="Q2228" i="5"/>
  <c r="Q2159" i="5"/>
  <c r="Q2161" i="5"/>
  <c r="Q442" i="5"/>
  <c r="Q2158" i="5"/>
  <c r="Q386" i="5"/>
  <c r="Q685" i="5"/>
  <c r="Q877" i="5"/>
  <c r="Q2254" i="5"/>
  <c r="Q881" i="5"/>
  <c r="Q878" i="5"/>
  <c r="Q902" i="5"/>
  <c r="Q896" i="5"/>
  <c r="Q874" i="5"/>
  <c r="Q917" i="5"/>
  <c r="Q2151" i="5"/>
  <c r="Q914" i="5"/>
  <c r="Q2196" i="5"/>
  <c r="Q859" i="5"/>
  <c r="Q807" i="5"/>
  <c r="Q387" i="5"/>
  <c r="Q2152" i="5"/>
  <c r="Q2497" i="5"/>
  <c r="Q2385" i="5"/>
  <c r="Q2513" i="5"/>
  <c r="Q2461" i="5"/>
  <c r="Q2366" i="5"/>
  <c r="Q2493" i="5"/>
  <c r="Q851" i="5"/>
  <c r="Q511" i="5"/>
  <c r="Q554" i="5"/>
  <c r="Q458" i="5"/>
  <c r="Q498" i="5"/>
  <c r="Q856" i="5"/>
  <c r="Q2392" i="5"/>
  <c r="Q2500" i="5"/>
  <c r="Q2505" i="5"/>
  <c r="Q539" i="5"/>
  <c r="Q2391" i="5"/>
  <c r="Q395" i="5"/>
  <c r="Q401" i="5"/>
  <c r="Q546" i="5"/>
  <c r="Q2390" i="5"/>
  <c r="Q2173" i="5"/>
  <c r="Q2211" i="5"/>
  <c r="Q916" i="5"/>
  <c r="Q749" i="5"/>
  <c r="Q756" i="5"/>
  <c r="Q901" i="5"/>
  <c r="Q2509" i="5"/>
  <c r="Q2488" i="5"/>
  <c r="Q2394" i="5"/>
  <c r="Q2291" i="5"/>
  <c r="Q2431" i="5"/>
  <c r="Q2441" i="5"/>
  <c r="Q2346" i="5"/>
  <c r="Q2397" i="5"/>
  <c r="Q272" i="5"/>
  <c r="Q271" i="5"/>
  <c r="Q551" i="5"/>
  <c r="Q550" i="5"/>
  <c r="Q220" i="5"/>
  <c r="Q222" i="5"/>
  <c r="Q249" i="5"/>
  <c r="Q251" i="5"/>
  <c r="Q459" i="5"/>
  <c r="Q471" i="5"/>
  <c r="Q728" i="5"/>
  <c r="Q715" i="5"/>
  <c r="Q470" i="5"/>
  <c r="Q454" i="5"/>
  <c r="Q857" i="5"/>
  <c r="Q858" i="5"/>
  <c r="Q195" i="5"/>
  <c r="Q194" i="5"/>
  <c r="Q2459" i="5"/>
  <c r="Q162" i="5"/>
  <c r="Q163" i="5"/>
  <c r="Q2447" i="5"/>
  <c r="Q211" i="5"/>
  <c r="Q210" i="5"/>
  <c r="Q2486" i="5"/>
  <c r="Q2484" i="5"/>
  <c r="Q519" i="5"/>
  <c r="Q585" i="5"/>
  <c r="Q643" i="5"/>
  <c r="Q368" i="5"/>
  <c r="Q356" i="5"/>
  <c r="Q383" i="5"/>
  <c r="Q2465" i="5"/>
  <c r="Q2490" i="5"/>
  <c r="Q373" i="5"/>
  <c r="Q333" i="5"/>
  <c r="Q360" i="5"/>
  <c r="Q642" i="5"/>
  <c r="Q584" i="5"/>
  <c r="Q520" i="5"/>
  <c r="Q378" i="5"/>
  <c r="Q379" i="5"/>
  <c r="Q477" i="5"/>
  <c r="Q476" i="5"/>
  <c r="Q767" i="5"/>
  <c r="Q542" i="5"/>
  <c r="Q528" i="5"/>
  <c r="Q760" i="5"/>
  <c r="Q334" i="5"/>
  <c r="Q335" i="5"/>
  <c r="Q469" i="5"/>
  <c r="Q468" i="5"/>
  <c r="Q864" i="5"/>
  <c r="Q802" i="5"/>
  <c r="Q217" i="5"/>
  <c r="Q214" i="5"/>
  <c r="Q594" i="5"/>
  <c r="Q578" i="5"/>
  <c r="Q776" i="5"/>
  <c r="Q453" i="5"/>
  <c r="Q337" i="5"/>
  <c r="Q411" i="5"/>
  <c r="Q2422" i="5"/>
  <c r="Q2423" i="5"/>
  <c r="Q341" i="5"/>
  <c r="Q2448" i="5"/>
  <c r="Q2416" i="5"/>
  <c r="Q410" i="5"/>
  <c r="Q451" i="5"/>
  <c r="Q753" i="5"/>
  <c r="Q2212" i="5"/>
  <c r="Q2263" i="5"/>
  <c r="Q876" i="5"/>
  <c r="Q886" i="5"/>
  <c r="Q328" i="5"/>
  <c r="Q427" i="5"/>
  <c r="Q2492" i="5"/>
  <c r="Q2429" i="5"/>
  <c r="Q2425" i="5"/>
  <c r="Q2449" i="5"/>
  <c r="Q426" i="5"/>
  <c r="Q327" i="5"/>
  <c r="Q576" i="5"/>
  <c r="Q197" i="5"/>
  <c r="Q203" i="5"/>
  <c r="Q530" i="5"/>
  <c r="Q527" i="5"/>
  <c r="Q189" i="5"/>
  <c r="Q182" i="5"/>
  <c r="Q2267" i="5"/>
  <c r="Q2247" i="5"/>
  <c r="Q213" i="5"/>
  <c r="Q777" i="5"/>
  <c r="Q785" i="5"/>
  <c r="Q823" i="5"/>
  <c r="Q340" i="5"/>
  <c r="Q2214" i="5"/>
  <c r="Q660" i="5"/>
  <c r="Q418" i="5"/>
  <c r="Q631" i="5"/>
  <c r="Q701" i="5"/>
  <c r="Q787" i="5"/>
  <c r="Q2195" i="5"/>
  <c r="Q860" i="5"/>
  <c r="Q866" i="5"/>
  <c r="Q910" i="5"/>
  <c r="Q887" i="5"/>
  <c r="Q761" i="5"/>
  <c r="Q577" i="5"/>
  <c r="Q555" i="5"/>
  <c r="Q505" i="5"/>
  <c r="Q483" i="5"/>
  <c r="Q491" i="5"/>
  <c r="Q460" i="5"/>
  <c r="Q517" i="5"/>
  <c r="Q544" i="5"/>
  <c r="Q506" i="5"/>
  <c r="Q540" i="5"/>
  <c r="Q525" i="5"/>
  <c r="Q415" i="5"/>
  <c r="Q428" i="5"/>
  <c r="Q538" i="5"/>
  <c r="Q529" i="5"/>
  <c r="Q512" i="5"/>
  <c r="Q553" i="5"/>
  <c r="Q516" i="5"/>
  <c r="Q462" i="5"/>
  <c r="Q500" i="5"/>
  <c r="Q484" i="5"/>
  <c r="Q513" i="5"/>
  <c r="Q543" i="5"/>
  <c r="Q567" i="5"/>
  <c r="Q757" i="5"/>
  <c r="Q2359" i="5"/>
  <c r="Q882" i="5"/>
  <c r="Q847" i="5"/>
  <c r="Q2248" i="5"/>
  <c r="Q883" i="5"/>
  <c r="Q831" i="5"/>
  <c r="Q2230" i="5"/>
  <c r="Q729" i="5"/>
  <c r="Q677" i="5"/>
  <c r="Q651" i="5"/>
  <c r="Q416" i="5"/>
  <c r="Q650" i="5"/>
  <c r="Q2175" i="5"/>
  <c r="Q347" i="5"/>
  <c r="Q820" i="5"/>
  <c r="Q805" i="5"/>
  <c r="Q780" i="5"/>
  <c r="Q212" i="5"/>
  <c r="Q2269" i="5"/>
  <c r="Q2299" i="5"/>
  <c r="Q183" i="5"/>
  <c r="Q188" i="5"/>
  <c r="Q2506" i="5"/>
  <c r="Q2445" i="5"/>
  <c r="Q869" i="5"/>
  <c r="Q868" i="5"/>
  <c r="Q2491" i="5"/>
  <c r="Q2511" i="5"/>
  <c r="Q2494" i="5"/>
  <c r="Q2426" i="5"/>
  <c r="Q2304" i="5"/>
  <c r="Q2302" i="5"/>
  <c r="Q2305" i="5"/>
  <c r="Q2347" i="5"/>
  <c r="Q190" i="5"/>
  <c r="Q2318" i="5"/>
  <c r="Q493" i="5"/>
  <c r="Q837" i="5"/>
  <c r="Q2149" i="5"/>
  <c r="Q905" i="5"/>
  <c r="Q653" i="5"/>
  <c r="Q821" i="5"/>
  <c r="Q2236" i="5"/>
  <c r="Q789" i="5"/>
  <c r="Q795" i="5"/>
  <c r="Q560" i="5"/>
  <c r="Q2257" i="5"/>
  <c r="Q840" i="5"/>
  <c r="Q616" i="5"/>
  <c r="Q899" i="5"/>
  <c r="Q2482" i="5"/>
  <c r="Q830" i="5"/>
  <c r="Q492" i="5"/>
  <c r="Q2315" i="5"/>
  <c r="Q191" i="5"/>
  <c r="Q2395" i="5"/>
  <c r="Q634" i="5"/>
  <c r="Q531" i="5"/>
  <c r="Q2288" i="5"/>
  <c r="Q455" i="5"/>
  <c r="Q456" i="5"/>
  <c r="Q2507" i="5"/>
  <c r="Q2428" i="5"/>
  <c r="Q900" i="5"/>
  <c r="Q2246" i="5"/>
  <c r="Q2345" i="5"/>
  <c r="Q2164" i="5"/>
  <c r="Q2283" i="5"/>
  <c r="Q2405" i="5"/>
  <c r="Q2182" i="5"/>
  <c r="Q915" i="5"/>
  <c r="Q758" i="5"/>
  <c r="Q781" i="5"/>
  <c r="Q2201" i="5"/>
  <c r="Q2206" i="5"/>
  <c r="Q449" i="5"/>
  <c r="Q861" i="5"/>
  <c r="Q2496" i="5"/>
  <c r="Q730" i="5"/>
  <c r="Q2180" i="5"/>
  <c r="Q2150" i="5"/>
  <c r="Q748" i="5"/>
  <c r="Q872" i="5"/>
  <c r="Q2468" i="5"/>
  <c r="Q2407" i="5"/>
  <c r="Q447" i="5"/>
  <c r="Q452" i="5"/>
  <c r="Q559" i="5"/>
  <c r="Q843" i="5"/>
  <c r="Q2403" i="5"/>
  <c r="Q2274" i="5"/>
  <c r="Q624" i="5"/>
  <c r="Q762" i="5"/>
  <c r="Q423" i="5"/>
  <c r="Q424" i="5"/>
  <c r="Q763" i="5"/>
  <c r="Q638" i="5"/>
  <c r="Q2287" i="5"/>
  <c r="Q2419" i="5"/>
  <c r="Q788" i="5"/>
  <c r="Q801" i="5"/>
  <c r="Q850" i="5"/>
  <c r="Q865" i="5"/>
  <c r="Q160" i="5"/>
  <c r="Q276" i="5"/>
  <c r="Q171" i="5"/>
  <c r="Q326" i="5"/>
  <c r="Q298" i="5"/>
  <c r="Q196" i="5"/>
  <c r="Q320" i="5"/>
  <c r="Q316" i="5"/>
  <c r="Q202" i="5"/>
  <c r="Q299" i="5"/>
  <c r="Q325" i="5"/>
  <c r="Q170" i="5"/>
  <c r="Q275" i="5"/>
  <c r="Q161" i="5"/>
  <c r="Q2284" i="5"/>
  <c r="Q798" i="5"/>
  <c r="Q482" i="5"/>
  <c r="Q605" i="5"/>
  <c r="Q598" i="5"/>
  <c r="Q2510" i="5"/>
  <c r="Q2192" i="5"/>
  <c r="Q2516" i="5"/>
  <c r="Q2361" i="5"/>
  <c r="Q2453" i="5"/>
  <c r="Q2253" i="5"/>
  <c r="Q892" i="5"/>
  <c r="Q2266" i="5"/>
  <c r="Q2446" i="5"/>
  <c r="Q2474" i="5"/>
  <c r="Q2239" i="5"/>
  <c r="Q907" i="5"/>
  <c r="Q2240" i="5"/>
  <c r="Q2489" i="5"/>
  <c r="Q2430" i="5"/>
  <c r="Q2515" i="5"/>
  <c r="Q2160" i="5"/>
  <c r="Q2223" i="5"/>
  <c r="Q304" i="5"/>
  <c r="Q422" i="5"/>
  <c r="Q421" i="5"/>
  <c r="Q305" i="5"/>
  <c r="Q2224" i="5"/>
  <c r="Q570" i="5"/>
  <c r="Q571" i="5"/>
  <c r="Q2262" i="5"/>
  <c r="Q693" i="5"/>
  <c r="Q702" i="5"/>
  <c r="Q2300" i="5"/>
  <c r="Q2514" i="5"/>
  <c r="Q2508" i="5"/>
  <c r="Q2424" i="5"/>
  <c r="Q815" i="5"/>
  <c r="Q241" i="5"/>
  <c r="Q167" i="5"/>
  <c r="Q662" i="5"/>
  <c r="Q2480" i="5"/>
  <c r="Q2472" i="5"/>
  <c r="Q193" i="5"/>
  <c r="Q159" i="5"/>
  <c r="Q199" i="5"/>
  <c r="Q436" i="5"/>
  <c r="Q603" i="5"/>
  <c r="Q294" i="5"/>
  <c r="Q394" i="5"/>
  <c r="Q629" i="5"/>
  <c r="Q656" i="5"/>
  <c r="Q620" i="5"/>
  <c r="Q622" i="5"/>
  <c r="Q632" i="5"/>
  <c r="Q393" i="5"/>
  <c r="Q607" i="5"/>
  <c r="Q654" i="5"/>
  <c r="Q627" i="5"/>
  <c r="Q293" i="5"/>
  <c r="Q602" i="5"/>
  <c r="Q435" i="5"/>
  <c r="Q198" i="5"/>
  <c r="Q158" i="5"/>
  <c r="Q192" i="5"/>
  <c r="Q166" i="5"/>
  <c r="Q2473" i="5"/>
  <c r="Q2481" i="5"/>
  <c r="Q663" i="5"/>
  <c r="Q238" i="5"/>
  <c r="Q817" i="5"/>
  <c r="Q2235" i="5"/>
  <c r="Q2156" i="5"/>
  <c r="Q833" i="5"/>
  <c r="Q2208" i="5"/>
  <c r="Q2320" i="5"/>
  <c r="Q2200" i="5"/>
  <c r="Q611" i="5"/>
  <c r="Q566" i="5"/>
  <c r="Q366" i="5"/>
  <c r="Q732" i="5"/>
  <c r="Q489" i="5"/>
  <c r="Q2520" i="5"/>
  <c r="Q597" i="5"/>
  <c r="Q684" i="5"/>
  <c r="Q364" i="5"/>
  <c r="Q365" i="5"/>
  <c r="Q694" i="5"/>
  <c r="Q369" i="5"/>
  <c r="Q600" i="5"/>
  <c r="Q494" i="5"/>
  <c r="Q2521" i="5"/>
  <c r="Q740" i="5"/>
  <c r="Q565" i="5"/>
  <c r="Q610" i="5"/>
  <c r="Q2199" i="5"/>
  <c r="Q2321" i="5"/>
  <c r="Q2209" i="5"/>
  <c r="Q714" i="5"/>
  <c r="Q2265" i="5"/>
  <c r="Q738" i="5"/>
  <c r="Q2363" i="5"/>
  <c r="Q2282" i="5"/>
  <c r="Q2281" i="5"/>
  <c r="Q2377" i="5"/>
  <c r="Q746" i="5"/>
  <c r="Q809" i="5"/>
  <c r="Q812" i="5"/>
  <c r="Q2328" i="5"/>
  <c r="Q463" i="5"/>
  <c r="Q903" i="5"/>
  <c r="Q703" i="5"/>
  <c r="Q467" i="5"/>
  <c r="Q712" i="5"/>
  <c r="Q2341" i="5"/>
  <c r="Q822" i="5"/>
  <c r="Q766" i="5"/>
  <c r="Q2273" i="5"/>
  <c r="Q692" i="5"/>
  <c r="Q667" i="5"/>
  <c r="Q2238" i="5"/>
  <c r="Q719" i="5"/>
  <c r="Q344" i="5"/>
  <c r="Q336" i="5"/>
  <c r="Q764" i="5"/>
  <c r="Q779" i="5"/>
  <c r="Q487" i="5"/>
  <c r="Q488" i="5"/>
  <c r="Q893" i="5"/>
  <c r="Q733" i="5"/>
  <c r="Q313" i="5"/>
  <c r="Q502" i="5"/>
  <c r="Q252" i="5"/>
  <c r="Q253" i="5"/>
  <c r="Q503" i="5"/>
  <c r="Q314" i="5"/>
  <c r="Q389" i="5"/>
  <c r="Q361" i="5"/>
  <c r="Q351" i="5"/>
  <c r="Q399" i="5"/>
  <c r="Q912" i="5"/>
  <c r="Q908" i="5"/>
  <c r="Q717" i="5"/>
  <c r="Q2242" i="5"/>
  <c r="Q2232" i="5"/>
  <c r="Q145" i="5"/>
  <c r="Q144" i="5"/>
  <c r="Q346" i="5"/>
  <c r="Q2372" i="5"/>
  <c r="Q552" i="5"/>
  <c r="Q547" i="5"/>
  <c r="Q920" i="5"/>
  <c r="Q345" i="5"/>
  <c r="Q239" i="5"/>
  <c r="Q240" i="5"/>
  <c r="Q2275" i="5"/>
  <c r="Q181" i="5"/>
  <c r="Q180" i="5"/>
  <c r="Q2249" i="5"/>
  <c r="Q429" i="5"/>
  <c r="Q737" i="5"/>
  <c r="Q587" i="5"/>
  <c r="Q2293" i="5"/>
  <c r="Q2294" i="5"/>
  <c r="Q592" i="5"/>
  <c r="Q739" i="5"/>
  <c r="Q434" i="5"/>
  <c r="Q303" i="5"/>
  <c r="Q306" i="5"/>
  <c r="Q769" i="5"/>
  <c r="Q783" i="5"/>
  <c r="Q683" i="5"/>
  <c r="Q700" i="5"/>
  <c r="Q153" i="5"/>
  <c r="Q2219" i="5"/>
  <c r="Q923" i="5"/>
  <c r="Q2190" i="5"/>
  <c r="Q747" i="5"/>
  <c r="Q803" i="5"/>
  <c r="Q185" i="5"/>
  <c r="Q575" i="5"/>
  <c r="Q741" i="5"/>
  <c r="Q811" i="5"/>
  <c r="Q2183" i="5"/>
  <c r="Q736" i="5"/>
  <c r="Q711" i="5"/>
  <c r="Q2176" i="5"/>
  <c r="Q165" i="5"/>
  <c r="Q666" i="5"/>
  <c r="Q744" i="5"/>
  <c r="Q836" i="5"/>
  <c r="Q2255" i="5"/>
  <c r="Q873" i="5"/>
  <c r="Q317" i="5"/>
  <c r="Q187" i="5"/>
  <c r="Q223" i="5"/>
  <c r="Q478" i="5"/>
  <c r="Q845" i="5"/>
  <c r="Q2188" i="5"/>
  <c r="Q838" i="5"/>
  <c r="Q2369" i="5"/>
  <c r="Q2413" i="5"/>
  <c r="Q2279" i="5"/>
  <c r="Q2353" i="5"/>
  <c r="Q2439" i="5"/>
  <c r="Q2308" i="5"/>
  <c r="Q2380" i="5"/>
  <c r="Q709" i="5"/>
  <c r="Q2198" i="5"/>
  <c r="Q419" i="5"/>
  <c r="Q2354" i="5"/>
  <c r="Q832" i="5"/>
  <c r="Q819" i="5"/>
  <c r="Q2177" i="5"/>
  <c r="Q2163" i="5"/>
  <c r="Q2245" i="5"/>
  <c r="Q308" i="5"/>
  <c r="Q2335" i="5"/>
  <c r="Q2418" i="5"/>
  <c r="Q266" i="5"/>
  <c r="Q725" i="5"/>
  <c r="Q708" i="5"/>
  <c r="Q644" i="5"/>
  <c r="Q696" i="5"/>
  <c r="Q2382" i="5"/>
  <c r="Q257" i="5"/>
  <c r="Q256" i="5"/>
  <c r="Q2404" i="5"/>
  <c r="Q704" i="5"/>
  <c r="Q655" i="5"/>
  <c r="Q718" i="5"/>
  <c r="Q743" i="5"/>
  <c r="Q270" i="5"/>
  <c r="Q2432" i="5"/>
  <c r="Q2314" i="5"/>
  <c r="Q309" i="5"/>
  <c r="Q412" i="5"/>
  <c r="Q2226" i="5"/>
  <c r="Q2168" i="5"/>
  <c r="Q2193" i="5"/>
  <c r="Q824" i="5"/>
  <c r="Q842" i="5"/>
  <c r="Q2371" i="5"/>
  <c r="Q2178" i="5"/>
  <c r="Q686" i="5"/>
  <c r="Q2342" i="5"/>
  <c r="Q2357" i="5"/>
  <c r="Q2286" i="5"/>
  <c r="Q2410" i="5"/>
  <c r="Q2399" i="5"/>
  <c r="Q2301" i="5"/>
  <c r="Q2435" i="5"/>
  <c r="Q2402" i="5"/>
  <c r="Q834" i="5"/>
  <c r="Q2155" i="5"/>
  <c r="Q2348" i="5"/>
  <c r="Q221" i="5"/>
  <c r="Q474" i="5"/>
  <c r="Q186" i="5"/>
  <c r="Q311" i="5"/>
  <c r="Q891" i="5"/>
  <c r="Q2225" i="5"/>
  <c r="Q816" i="5"/>
  <c r="Q735" i="5"/>
  <c r="Q661" i="5"/>
  <c r="Q164" i="5"/>
  <c r="Q184" i="5"/>
  <c r="Q2202" i="5"/>
  <c r="Q720" i="5"/>
  <c r="Q750" i="5"/>
  <c r="Q2220" i="5"/>
  <c r="Q793" i="5"/>
  <c r="Q734" i="5"/>
  <c r="Q580" i="5"/>
  <c r="Q775" i="5"/>
  <c r="Q721" i="5"/>
  <c r="Q2213" i="5"/>
  <c r="Q2170" i="5"/>
  <c r="Q2264" i="5"/>
  <c r="Q152" i="5"/>
  <c r="Q659" i="5"/>
  <c r="Q678" i="5"/>
  <c r="Q2181" i="5"/>
  <c r="Q797" i="5"/>
  <c r="Q568" i="5"/>
  <c r="Q2171" i="5"/>
  <c r="Q792" i="5"/>
  <c r="Q682" i="5"/>
  <c r="Q645" i="5"/>
  <c r="Q497" i="5"/>
  <c r="Q499" i="5"/>
  <c r="Q445" i="5"/>
  <c r="Q444" i="5"/>
  <c r="Q672" i="5"/>
  <c r="Q673" i="5"/>
  <c r="Q844" i="5"/>
  <c r="Q846" i="5"/>
  <c r="Q668" i="5"/>
  <c r="Q657" i="5"/>
  <c r="Q630" i="5"/>
  <c r="Q633" i="5"/>
  <c r="Q509" i="5"/>
  <c r="Q510" i="5"/>
  <c r="Q2237" i="5"/>
  <c r="Q2244" i="5"/>
  <c r="Q615" i="5"/>
  <c r="Q614" i="5"/>
  <c r="Q609" i="5"/>
  <c r="Q621" i="5"/>
  <c r="Q591" i="5"/>
  <c r="Q235" i="5"/>
  <c r="Q286" i="5"/>
  <c r="Q288" i="5"/>
  <c r="Q233" i="5"/>
  <c r="Q590" i="5"/>
  <c r="Q348" i="5"/>
  <c r="Q310" i="5"/>
  <c r="Q264" i="5"/>
  <c r="Q352" i="5"/>
  <c r="Q2184" i="5"/>
  <c r="Q406" i="5"/>
  <c r="Q391" i="5"/>
  <c r="Q2215" i="5"/>
  <c r="Q282" i="5"/>
  <c r="Q280" i="5"/>
  <c r="Q626" i="5"/>
  <c r="Q2406" i="5"/>
  <c r="Q2362" i="5"/>
  <c r="Q601" i="5"/>
  <c r="Q357" i="5"/>
  <c r="Q355" i="5"/>
  <c r="Q2383" i="5"/>
  <c r="Q2367" i="5"/>
  <c r="Q2234" i="5"/>
  <c r="Q919" i="5"/>
  <c r="Q806" i="5"/>
  <c r="Q2338" i="5"/>
  <c r="Q612" i="5"/>
  <c r="Q829" i="5"/>
  <c r="Q646" i="5"/>
  <c r="Q367" i="5"/>
  <c r="Q2292" i="5"/>
  <c r="Q380" i="5"/>
  <c r="Q2218" i="5"/>
  <c r="Q2384" i="5"/>
  <c r="Q765" i="5"/>
  <c r="Q2250" i="5"/>
  <c r="Q388" i="5"/>
  <c r="Q752" i="5"/>
  <c r="Q382" i="5"/>
  <c r="Q457" i="5"/>
  <c r="Q532" i="5"/>
  <c r="Q2261" i="5"/>
  <c r="Q2310" i="5"/>
  <c r="Q574" i="5"/>
  <c r="Q475" i="5"/>
  <c r="Q409" i="5"/>
  <c r="Q810" i="5"/>
  <c r="Q425" i="5"/>
  <c r="Q2229" i="5"/>
  <c r="Q796" i="5"/>
  <c r="Q2360" i="5"/>
  <c r="Q2241" i="5"/>
  <c r="Q392" i="5"/>
  <c r="Q2330" i="5"/>
  <c r="Q402" i="5"/>
  <c r="Q710" i="5"/>
  <c r="Q774" i="5"/>
  <c r="Q604" i="5"/>
  <c r="Q2278" i="5"/>
  <c r="Q835" i="5"/>
  <c r="Q897" i="5"/>
  <c r="Q2298" i="5"/>
  <c r="Q2375" i="5"/>
  <c r="Q254" i="5"/>
  <c r="Q277" i="5"/>
  <c r="Q278" i="5"/>
  <c r="Q255" i="5"/>
  <c r="Q623" i="5"/>
  <c r="Q2194" i="5"/>
  <c r="Q381" i="5"/>
  <c r="Q372" i="5"/>
  <c r="Q146" i="5"/>
  <c r="Q2172" i="5"/>
  <c r="Q909" i="5"/>
  <c r="Q147" i="5"/>
  <c r="Q450" i="5"/>
  <c r="Q790" i="5"/>
  <c r="Q863" i="5"/>
  <c r="Q2444" i="5"/>
  <c r="Q2443" i="5"/>
  <c r="Q826" i="5"/>
  <c r="Q759" i="5"/>
  <c r="Q448" i="5"/>
  <c r="Q157" i="5"/>
  <c r="Q156" i="5"/>
  <c r="Q441" i="5"/>
  <c r="Q558" i="5"/>
  <c r="Q695" i="5"/>
  <c r="Q2203" i="5"/>
  <c r="Q827" i="5"/>
  <c r="Q818" i="5"/>
  <c r="Q2231" i="5"/>
  <c r="Q698" i="5"/>
  <c r="Q561" i="5"/>
  <c r="Q446" i="5"/>
  <c r="Q706" i="5"/>
  <c r="Q541" i="5"/>
  <c r="Q2440" i="5"/>
  <c r="Q2455" i="5"/>
  <c r="Q2260" i="5"/>
  <c r="Q514" i="5"/>
  <c r="Q2378" i="5"/>
  <c r="Q2454" i="5"/>
  <c r="Q583" i="5"/>
  <c r="Q2433" i="5"/>
  <c r="Q619" i="5"/>
  <c r="Q658" i="5"/>
  <c r="Q2503" i="5"/>
  <c r="Q2495" i="5"/>
  <c r="Q2471" i="5"/>
  <c r="Q2476" i="5"/>
  <c r="Q2217" i="5"/>
  <c r="Q2210" i="5"/>
  <c r="Q2316" i="5"/>
  <c r="Q2358" i="5"/>
  <c r="Q2415" i="5"/>
  <c r="Q2452" i="5"/>
  <c r="Q2207" i="5"/>
  <c r="Q2421" i="5"/>
  <c r="Q2285" i="5"/>
  <c r="Q608" i="5"/>
  <c r="Q593" i="5"/>
  <c r="Q400" i="5"/>
  <c r="Q396" i="5"/>
  <c r="Q2373" i="5"/>
  <c r="Q2251" i="5"/>
  <c r="Q2174" i="5"/>
  <c r="Q2157" i="5"/>
  <c r="Q906" i="5"/>
  <c r="Q922" i="5"/>
  <c r="Q924" i="5"/>
  <c r="Q2352" i="5"/>
  <c r="Q848" i="5"/>
  <c r="Q2153" i="5"/>
  <c r="Q258" i="5"/>
  <c r="Q259" i="5"/>
  <c r="Q218" i="5"/>
  <c r="Q219" i="5"/>
  <c r="Q359" i="5"/>
  <c r="Q358" i="5"/>
  <c r="Q173" i="5"/>
  <c r="Q168" i="5"/>
  <c r="Q2365" i="5"/>
  <c r="Q2370" i="5"/>
  <c r="Q169" i="5"/>
  <c r="Q172" i="5"/>
  <c r="Q699" i="5"/>
  <c r="Q676" i="5"/>
  <c r="Q2374" i="5"/>
  <c r="Q2409" i="5"/>
  <c r="Q800" i="5"/>
  <c r="Q691" i="5"/>
  <c r="Q707" i="5"/>
  <c r="Q533" i="5"/>
  <c r="Q526" i="5"/>
  <c r="Q2477" i="5"/>
  <c r="Q2479" i="5"/>
  <c r="Q407" i="5"/>
  <c r="Q507" i="5"/>
  <c r="Q2408" i="5"/>
  <c r="Q2400" i="5"/>
  <c r="Q501" i="5"/>
  <c r="Q405" i="5"/>
  <c r="Q2388" i="5"/>
  <c r="Q772" i="5"/>
  <c r="Q679" i="5"/>
  <c r="Q680" i="5"/>
  <c r="Q773" i="5"/>
  <c r="Q2389" i="5"/>
  <c r="Q329" i="5"/>
  <c r="Q332" i="5"/>
  <c r="Q273" i="5"/>
  <c r="Q267" i="5"/>
  <c r="Q268" i="5"/>
  <c r="Q274" i="5"/>
  <c r="Q227" i="5"/>
  <c r="Q464" i="5"/>
  <c r="Q466" i="5"/>
  <c r="Q228" i="5"/>
  <c r="Q322" i="5"/>
  <c r="Q321" i="5"/>
  <c r="Q617" i="5"/>
  <c r="Q437" i="5"/>
  <c r="Q440" i="5"/>
  <c r="Q618" i="5"/>
  <c r="Q234" i="5"/>
  <c r="Q224" i="5"/>
  <c r="Q490" i="5"/>
  <c r="Q2290" i="5"/>
  <c r="Q613" i="5"/>
  <c r="Q562" i="5"/>
  <c r="Q2295" i="5"/>
  <c r="Q486" i="5"/>
  <c r="Q206" i="5"/>
  <c r="Q207" i="5"/>
  <c r="Q465" i="5"/>
  <c r="Q237" i="5"/>
  <c r="Q433" i="5"/>
  <c r="Q432" i="5"/>
  <c r="Q236" i="5"/>
  <c r="Q461" i="5"/>
  <c r="Q879" i="5"/>
  <c r="Q697" i="5"/>
  <c r="Q2340" i="5"/>
  <c r="Q625" i="5"/>
  <c r="Q635" i="5"/>
  <c r="Q2339" i="5"/>
  <c r="Q670" i="5"/>
  <c r="Q875" i="5"/>
  <c r="Q586" i="5"/>
  <c r="Q589" i="5"/>
  <c r="Q2364" i="5"/>
  <c r="Q2311" i="5"/>
  <c r="Q884" i="5"/>
  <c r="Q2396" i="5"/>
  <c r="Q2466" i="5"/>
  <c r="Q799" i="5"/>
  <c r="Q794" i="5"/>
  <c r="Q2417" i="5"/>
  <c r="Q2351" i="5"/>
  <c r="Q885" i="5"/>
  <c r="Q2327" i="5"/>
  <c r="Q2393" i="5"/>
  <c r="Q397" i="5"/>
  <c r="Q179" i="5"/>
  <c r="Q342" i="5"/>
  <c r="Q343" i="5"/>
  <c r="Q178" i="5"/>
  <c r="Q398" i="5"/>
  <c r="Q247" i="5"/>
  <c r="Q248" i="5"/>
  <c r="Q2154" i="5"/>
  <c r="Q913" i="5"/>
  <c r="Q518" i="5"/>
  <c r="Q522" i="5"/>
  <c r="Q521" i="5"/>
  <c r="Q515" i="5"/>
  <c r="Q262" i="5"/>
  <c r="Q295" i="5"/>
  <c r="Q263" i="5"/>
  <c r="Q269" i="5"/>
  <c r="Q2518" i="5"/>
  <c r="Q265" i="5"/>
  <c r="Q2517" i="5"/>
  <c r="Q323" i="5"/>
  <c r="Q324" i="5"/>
  <c r="Q312" i="5"/>
  <c r="Q894" i="5"/>
  <c r="Q2319" i="5"/>
  <c r="Q534" i="5"/>
  <c r="Q2185" i="5"/>
  <c r="Q2197" i="5"/>
  <c r="Q2186" i="5"/>
  <c r="Q535" i="5"/>
  <c r="Q2191" i="5"/>
  <c r="Q786" i="5"/>
  <c r="Q296" i="5"/>
  <c r="Q862" i="5"/>
  <c r="Q205" i="5"/>
  <c r="Q204" i="5"/>
  <c r="Q867" i="5"/>
  <c r="Q508" i="5"/>
  <c r="Q504" i="5"/>
  <c r="Q404" i="5"/>
  <c r="Q300" i="5"/>
  <c r="Q302" i="5"/>
  <c r="Q403" i="5"/>
  <c r="Q731" i="5"/>
  <c r="Q724" i="5"/>
  <c r="Q384" i="5"/>
  <c r="Q385" i="5"/>
  <c r="Q2387" i="5"/>
  <c r="Q2386" i="5"/>
  <c r="Q480" i="5"/>
  <c r="Q353" i="5"/>
  <c r="Q229" i="5"/>
  <c r="Q150" i="5"/>
  <c r="Q151" i="5"/>
  <c r="Q232" i="5"/>
  <c r="Q354" i="5"/>
  <c r="Q479" i="5"/>
  <c r="Q377" i="5"/>
  <c r="Q376" i="5"/>
  <c r="Q716" i="5"/>
  <c r="Q723" i="5"/>
  <c r="Q2376" i="5"/>
  <c r="Q2356" i="5"/>
  <c r="Q2270" i="5"/>
  <c r="Q2252" i="5"/>
  <c r="Q430" i="5"/>
  <c r="Q431" i="5"/>
  <c r="Q2268" i="5"/>
  <c r="Q2501" i="5"/>
  <c r="Q2451" i="5"/>
  <c r="Q2457" i="5"/>
  <c r="Q2462" i="5"/>
  <c r="Q722" i="5"/>
  <c r="Q226" i="5"/>
  <c r="Q225" i="5"/>
  <c r="Q705" i="5"/>
  <c r="Q2460" i="5"/>
  <c r="Q2456" i="5"/>
  <c r="Q2450" i="5"/>
  <c r="Q2502" i="5"/>
  <c r="Q2221" i="5"/>
  <c r="Q2379" i="5"/>
  <c r="Q2381" i="5"/>
  <c r="Q339" i="5"/>
  <c r="Q349" i="5"/>
  <c r="Q350" i="5"/>
  <c r="Q338" i="5"/>
  <c r="Q2271" i="5"/>
  <c r="Q2280" i="5"/>
  <c r="Q413" i="5"/>
  <c r="Q414" i="5"/>
  <c r="Q814" i="5"/>
  <c r="Q596" i="5"/>
  <c r="Q284" i="5"/>
  <c r="Q231" i="5"/>
  <c r="Q230" i="5"/>
  <c r="Q283" i="5"/>
  <c r="Q782" i="5"/>
  <c r="Q784" i="5"/>
  <c r="Q674" i="5"/>
  <c r="Q675" i="5"/>
  <c r="Q2333" i="5"/>
  <c r="Q2334" i="5"/>
  <c r="Q2343" i="5"/>
  <c r="Q2355" i="5"/>
  <c r="Q582" i="5"/>
  <c r="Q581" i="5"/>
  <c r="Q647" i="5"/>
  <c r="Q648" i="5"/>
  <c r="Q770" i="5"/>
  <c r="Q2401" i="5"/>
  <c r="Q841" i="5"/>
  <c r="Q2272" i="5"/>
  <c r="Q2519" i="5"/>
  <c r="Q808" i="5"/>
  <c r="Q768" i="5"/>
  <c r="Q754" i="5"/>
  <c r="Q606" i="5"/>
  <c r="Q573" i="5"/>
  <c r="Q545" i="5"/>
  <c r="Q791" i="5"/>
  <c r="Q690" i="5"/>
  <c r="Q563" i="5"/>
  <c r="Q564" i="5"/>
  <c r="Q771" i="5"/>
  <c r="Q751" i="5"/>
  <c r="Q2420" i="5"/>
  <c r="Q890" i="5"/>
  <c r="Q871" i="5"/>
  <c r="Q2324" i="5"/>
  <c r="Q2296" i="5"/>
  <c r="Q2349" i="5"/>
  <c r="Q2434" i="5"/>
  <c r="Q2483" i="5"/>
  <c r="Q2350" i="5"/>
  <c r="Q2306" i="5"/>
  <c r="Q201" i="5"/>
  <c r="Q243" i="5"/>
  <c r="Q537" i="5"/>
  <c r="Q439" i="5"/>
  <c r="Q330" i="5"/>
  <c r="Q2368" i="5"/>
  <c r="Q2487" i="5"/>
  <c r="Q331" i="5"/>
  <c r="Q438" i="5"/>
  <c r="Q536" i="5"/>
  <c r="Q242" i="5"/>
  <c r="Q200" i="5"/>
  <c r="Q496" i="5"/>
  <c r="Q688" i="5"/>
  <c r="Q176" i="5"/>
  <c r="Q177" i="5"/>
  <c r="Q689" i="5"/>
  <c r="Q495" i="5"/>
  <c r="Q649" i="5"/>
  <c r="Q174" i="5"/>
  <c r="Q175" i="5"/>
  <c r="Q652" i="5"/>
  <c r="Q636" i="5"/>
  <c r="Q417" i="5"/>
  <c r="Q481" i="5"/>
  <c r="Q918" i="5"/>
  <c r="Q839" i="5"/>
  <c r="Q813" i="5"/>
  <c r="Q804" i="5"/>
  <c r="Q853" i="5"/>
  <c r="Q2204" i="5"/>
  <c r="Q2162" i="5"/>
  <c r="Q895" i="5"/>
  <c r="Q828" i="5"/>
  <c r="Q778" i="5"/>
  <c r="Q825" i="5"/>
  <c r="Q849" i="5"/>
  <c r="Q921" i="5"/>
  <c r="Q485" i="5"/>
  <c r="Q420" i="5"/>
  <c r="Q637" i="5"/>
  <c r="Q154" i="5"/>
  <c r="Q216" i="5"/>
  <c r="Q215" i="5"/>
  <c r="Q155" i="5"/>
  <c r="Q473" i="5"/>
  <c r="Q250" i="5"/>
  <c r="Q245" i="5"/>
  <c r="Q244" i="5"/>
  <c r="Q246" i="5"/>
  <c r="Q472" i="5"/>
  <c r="Q2470" i="5"/>
  <c r="Q911" i="5"/>
  <c r="Q2317" i="5"/>
  <c r="Q2322" i="5"/>
  <c r="Q2179" i="5"/>
  <c r="Q852" i="5"/>
  <c r="Q579" i="5"/>
  <c r="Q726" i="5"/>
  <c r="Q665" i="5"/>
  <c r="Q854" i="5"/>
  <c r="Q2411" i="5"/>
  <c r="Q2414" i="5"/>
  <c r="Q880" i="5"/>
  <c r="Q671" i="5"/>
  <c r="Q727" i="5"/>
  <c r="Q588" i="5"/>
  <c r="Q855" i="5"/>
  <c r="Q2222" i="5"/>
  <c r="Q2336" i="5"/>
  <c r="Q904" i="5"/>
  <c r="Q2504" i="5"/>
  <c r="Q2256" i="5"/>
  <c r="Q2243" i="5"/>
  <c r="Q681" i="5"/>
  <c r="Q687" i="5"/>
  <c r="Q2437" i="5"/>
  <c r="Q2438" i="5"/>
  <c r="Q371" i="5"/>
  <c r="Q639" i="5"/>
  <c r="Q640" i="5"/>
  <c r="Q370" i="5"/>
  <c r="Q2167" i="5"/>
  <c r="Q2166" i="5"/>
  <c r="Q572" i="5"/>
  <c r="Q888" i="5"/>
  <c r="Q889" i="5"/>
  <c r="Q569" i="5"/>
  <c r="Q548" i="5"/>
  <c r="Q549" i="5"/>
  <c r="Q287" i="5"/>
  <c r="Q285" i="5"/>
  <c r="Q289" i="5"/>
  <c r="Q290" i="5"/>
  <c r="Q318" i="5"/>
  <c r="Q2303" i="5"/>
  <c r="Q2436" i="5"/>
  <c r="Q279" i="5"/>
  <c r="Q281" i="5"/>
  <c r="Q2485" i="5"/>
  <c r="Q2323" i="5"/>
  <c r="Q315" i="5"/>
  <c r="Q362" i="5"/>
  <c r="Q319" i="5"/>
  <c r="Q408" i="5"/>
  <c r="Q742" i="5"/>
  <c r="Q713" i="5"/>
  <c r="Q390" i="5"/>
  <c r="Q307" i="5"/>
  <c r="Q363" i="5"/>
  <c r="Q2258" i="5"/>
  <c r="Q2259" i="5"/>
  <c r="Q291" i="5"/>
  <c r="Q292" i="5"/>
  <c r="Q2216" i="5"/>
  <c r="Q2165" i="5"/>
  <c r="Q2227" i="5"/>
  <c r="Q2205" i="5"/>
  <c r="Q2169" i="5"/>
  <c r="Q2233" i="5"/>
  <c r="Q628" i="5"/>
  <c r="Q595" i="5"/>
  <c r="Q599" i="5"/>
  <c r="Q641" i="5"/>
  <c r="Q2187" i="5"/>
  <c r="Q2276" i="5"/>
  <c r="Q2277" i="5"/>
  <c r="Q2189" i="5"/>
  <c r="Q2467" i="5"/>
  <c r="Q2512" i="5"/>
  <c r="Q898" i="5"/>
  <c r="Q870" i="5"/>
  <c r="Q2331" i="5"/>
  <c r="Q2312" i="5"/>
  <c r="Q669" i="5"/>
  <c r="Q2326" i="5"/>
  <c r="Q664" i="5"/>
  <c r="Q2289" i="5"/>
  <c r="Q745" i="5"/>
  <c r="Q523" i="5"/>
  <c r="Q524" i="5"/>
  <c r="Q755" i="5"/>
  <c r="Q374" i="5"/>
  <c r="Q375" i="5"/>
  <c r="Q2499" i="5"/>
  <c r="Q556" i="5"/>
  <c r="Q260" i="5"/>
  <c r="Q261" i="5"/>
  <c r="Q557" i="5"/>
  <c r="Q2498" i="5"/>
  <c r="Q2463" i="5"/>
  <c r="Q2464" i="5"/>
  <c r="Q297" i="5"/>
  <c r="Q301" i="5"/>
  <c r="Q209" i="5"/>
  <c r="Q148" i="5"/>
  <c r="Q149" i="5"/>
  <c r="Q208" i="5"/>
  <c r="P2309" i="5"/>
  <c r="P2325" i="5"/>
  <c r="P2337" i="5"/>
  <c r="P2398" i="5"/>
  <c r="P2329" i="5"/>
  <c r="P2442" i="5"/>
  <c r="P2469" i="5"/>
  <c r="P2412" i="5"/>
  <c r="P2344" i="5"/>
  <c r="P2475" i="5"/>
  <c r="P2427" i="5"/>
  <c r="P2458" i="5"/>
  <c r="P2478" i="5"/>
  <c r="P443" i="5"/>
  <c r="P2228" i="5"/>
  <c r="P2159" i="5"/>
  <c r="P2161" i="5"/>
  <c r="P442" i="5"/>
  <c r="P2158" i="5"/>
  <c r="P386" i="5"/>
  <c r="P685" i="5"/>
  <c r="P877" i="5"/>
  <c r="P2254" i="5"/>
  <c r="P881" i="5"/>
  <c r="P878" i="5"/>
  <c r="P902" i="5"/>
  <c r="P896" i="5"/>
  <c r="P874" i="5"/>
  <c r="P917" i="5"/>
  <c r="P2151" i="5"/>
  <c r="P914" i="5"/>
  <c r="P2196" i="5"/>
  <c r="P859" i="5"/>
  <c r="P807" i="5"/>
  <c r="P387" i="5"/>
  <c r="P2152" i="5"/>
  <c r="P2497" i="5"/>
  <c r="P2385" i="5"/>
  <c r="P2513" i="5"/>
  <c r="P2461" i="5"/>
  <c r="P2366" i="5"/>
  <c r="P2493" i="5"/>
  <c r="P851" i="5"/>
  <c r="P511" i="5"/>
  <c r="P554" i="5"/>
  <c r="P458" i="5"/>
  <c r="P498" i="5"/>
  <c r="P856" i="5"/>
  <c r="P2392" i="5"/>
  <c r="P2500" i="5"/>
  <c r="P2505" i="5"/>
  <c r="P539" i="5"/>
  <c r="P2391" i="5"/>
  <c r="P395" i="5"/>
  <c r="P401" i="5"/>
  <c r="P546" i="5"/>
  <c r="P2390" i="5"/>
  <c r="P2173" i="5"/>
  <c r="P2211" i="5"/>
  <c r="P916" i="5"/>
  <c r="P749" i="5"/>
  <c r="P756" i="5"/>
  <c r="P901" i="5"/>
  <c r="P2509" i="5"/>
  <c r="P2488" i="5"/>
  <c r="P2394" i="5"/>
  <c r="P2291" i="5"/>
  <c r="P2431" i="5"/>
  <c r="P2441" i="5"/>
  <c r="P2346" i="5"/>
  <c r="P2397" i="5"/>
  <c r="P272" i="5"/>
  <c r="P271" i="5"/>
  <c r="P551" i="5"/>
  <c r="P550" i="5"/>
  <c r="P220" i="5"/>
  <c r="P222" i="5"/>
  <c r="P249" i="5"/>
  <c r="P251" i="5"/>
  <c r="P459" i="5"/>
  <c r="P471" i="5"/>
  <c r="P728" i="5"/>
  <c r="P715" i="5"/>
  <c r="P470" i="5"/>
  <c r="P454" i="5"/>
  <c r="P857" i="5"/>
  <c r="P858" i="5"/>
  <c r="P195" i="5"/>
  <c r="P194" i="5"/>
  <c r="P2459" i="5"/>
  <c r="P162" i="5"/>
  <c r="P163" i="5"/>
  <c r="P2447" i="5"/>
  <c r="P211" i="5"/>
  <c r="P210" i="5"/>
  <c r="P2486" i="5"/>
  <c r="P2484" i="5"/>
  <c r="P519" i="5"/>
  <c r="P585" i="5"/>
  <c r="P643" i="5"/>
  <c r="P368" i="5"/>
  <c r="P356" i="5"/>
  <c r="P383" i="5"/>
  <c r="P2465" i="5"/>
  <c r="P2490" i="5"/>
  <c r="P373" i="5"/>
  <c r="P333" i="5"/>
  <c r="P360" i="5"/>
  <c r="P642" i="5"/>
  <c r="P584" i="5"/>
  <c r="P520" i="5"/>
  <c r="P378" i="5"/>
  <c r="P379" i="5"/>
  <c r="P477" i="5"/>
  <c r="P476" i="5"/>
  <c r="P767" i="5"/>
  <c r="P542" i="5"/>
  <c r="P528" i="5"/>
  <c r="P760" i="5"/>
  <c r="P334" i="5"/>
  <c r="P335" i="5"/>
  <c r="P469" i="5"/>
  <c r="P468" i="5"/>
  <c r="P864" i="5"/>
  <c r="P802" i="5"/>
  <c r="P217" i="5"/>
  <c r="P214" i="5"/>
  <c r="P594" i="5"/>
  <c r="P578" i="5"/>
  <c r="P776" i="5"/>
  <c r="P453" i="5"/>
  <c r="P337" i="5"/>
  <c r="P411" i="5"/>
  <c r="P2422" i="5"/>
  <c r="P2423" i="5"/>
  <c r="P341" i="5"/>
  <c r="P2448" i="5"/>
  <c r="P2416" i="5"/>
  <c r="P410" i="5"/>
  <c r="P451" i="5"/>
  <c r="P753" i="5"/>
  <c r="P2212" i="5"/>
  <c r="P2263" i="5"/>
  <c r="P876" i="5"/>
  <c r="P886" i="5"/>
  <c r="P328" i="5"/>
  <c r="P427" i="5"/>
  <c r="P2492" i="5"/>
  <c r="P2429" i="5"/>
  <c r="P2425" i="5"/>
  <c r="P2449" i="5"/>
  <c r="P426" i="5"/>
  <c r="P327" i="5"/>
  <c r="P576" i="5"/>
  <c r="P197" i="5"/>
  <c r="P203" i="5"/>
  <c r="P530" i="5"/>
  <c r="P527" i="5"/>
  <c r="P189" i="5"/>
  <c r="P182" i="5"/>
  <c r="P2267" i="5"/>
  <c r="P2247" i="5"/>
  <c r="P213" i="5"/>
  <c r="P777" i="5"/>
  <c r="P785" i="5"/>
  <c r="P823" i="5"/>
  <c r="P340" i="5"/>
  <c r="P2214" i="5"/>
  <c r="P660" i="5"/>
  <c r="P418" i="5"/>
  <c r="P631" i="5"/>
  <c r="P701" i="5"/>
  <c r="P787" i="5"/>
  <c r="P2195" i="5"/>
  <c r="P860" i="5"/>
  <c r="P866" i="5"/>
  <c r="P910" i="5"/>
  <c r="P887" i="5"/>
  <c r="P761" i="5"/>
  <c r="P577" i="5"/>
  <c r="P555" i="5"/>
  <c r="P505" i="5"/>
  <c r="P483" i="5"/>
  <c r="P491" i="5"/>
  <c r="P460" i="5"/>
  <c r="P517" i="5"/>
  <c r="P544" i="5"/>
  <c r="P506" i="5"/>
  <c r="P540" i="5"/>
  <c r="P525" i="5"/>
  <c r="P415" i="5"/>
  <c r="P428" i="5"/>
  <c r="P538" i="5"/>
  <c r="P529" i="5"/>
  <c r="P512" i="5"/>
  <c r="P553" i="5"/>
  <c r="P516" i="5"/>
  <c r="P462" i="5"/>
  <c r="P500" i="5"/>
  <c r="P484" i="5"/>
  <c r="P513" i="5"/>
  <c r="P543" i="5"/>
  <c r="P567" i="5"/>
  <c r="P757" i="5"/>
  <c r="P2359" i="5"/>
  <c r="P882" i="5"/>
  <c r="P847" i="5"/>
  <c r="P2248" i="5"/>
  <c r="P883" i="5"/>
  <c r="P831" i="5"/>
  <c r="P2230" i="5"/>
  <c r="P729" i="5"/>
  <c r="P677" i="5"/>
  <c r="P651" i="5"/>
  <c r="P416" i="5"/>
  <c r="P650" i="5"/>
  <c r="P2175" i="5"/>
  <c r="P347" i="5"/>
  <c r="P820" i="5"/>
  <c r="P805" i="5"/>
  <c r="P780" i="5"/>
  <c r="P212" i="5"/>
  <c r="P2269" i="5"/>
  <c r="P2299" i="5"/>
  <c r="P183" i="5"/>
  <c r="P188" i="5"/>
  <c r="P2506" i="5"/>
  <c r="P2445" i="5"/>
  <c r="P869" i="5"/>
  <c r="P868" i="5"/>
  <c r="P2491" i="5"/>
  <c r="P2511" i="5"/>
  <c r="P2494" i="5"/>
  <c r="P2426" i="5"/>
  <c r="P2304" i="5"/>
  <c r="P2302" i="5"/>
  <c r="P2305" i="5"/>
  <c r="P2347" i="5"/>
  <c r="P190" i="5"/>
  <c r="P2318" i="5"/>
  <c r="P493" i="5"/>
  <c r="P837" i="5"/>
  <c r="P2149" i="5"/>
  <c r="P905" i="5"/>
  <c r="P653" i="5"/>
  <c r="P821" i="5"/>
  <c r="P2236" i="5"/>
  <c r="P789" i="5"/>
  <c r="P795" i="5"/>
  <c r="P560" i="5"/>
  <c r="P2257" i="5"/>
  <c r="P840" i="5"/>
  <c r="P616" i="5"/>
  <c r="P899" i="5"/>
  <c r="P2482" i="5"/>
  <c r="P830" i="5"/>
  <c r="P492" i="5"/>
  <c r="P2315" i="5"/>
  <c r="P191" i="5"/>
  <c r="P2395" i="5"/>
  <c r="P634" i="5"/>
  <c r="P531" i="5"/>
  <c r="P2288" i="5"/>
  <c r="P455" i="5"/>
  <c r="P456" i="5"/>
  <c r="P2507" i="5"/>
  <c r="P2428" i="5"/>
  <c r="P900" i="5"/>
  <c r="P2246" i="5"/>
  <c r="P2345" i="5"/>
  <c r="P2164" i="5"/>
  <c r="P2283" i="5"/>
  <c r="P2405" i="5"/>
  <c r="P2182" i="5"/>
  <c r="P915" i="5"/>
  <c r="P758" i="5"/>
  <c r="P781" i="5"/>
  <c r="P2201" i="5"/>
  <c r="P2206" i="5"/>
  <c r="P449" i="5"/>
  <c r="P861" i="5"/>
  <c r="P2496" i="5"/>
  <c r="P730" i="5"/>
  <c r="P2180" i="5"/>
  <c r="P2150" i="5"/>
  <c r="P748" i="5"/>
  <c r="P872" i="5"/>
  <c r="P2468" i="5"/>
  <c r="P2407" i="5"/>
  <c r="P447" i="5"/>
  <c r="P452" i="5"/>
  <c r="P559" i="5"/>
  <c r="P843" i="5"/>
  <c r="P2403" i="5"/>
  <c r="P2274" i="5"/>
  <c r="P624" i="5"/>
  <c r="P762" i="5"/>
  <c r="P423" i="5"/>
  <c r="P424" i="5"/>
  <c r="P763" i="5"/>
  <c r="P638" i="5"/>
  <c r="P2287" i="5"/>
  <c r="P2419" i="5"/>
  <c r="P788" i="5"/>
  <c r="P801" i="5"/>
  <c r="P850" i="5"/>
  <c r="P865" i="5"/>
  <c r="P160" i="5"/>
  <c r="P276" i="5"/>
  <c r="P171" i="5"/>
  <c r="P326" i="5"/>
  <c r="P298" i="5"/>
  <c r="P196" i="5"/>
  <c r="P320" i="5"/>
  <c r="P316" i="5"/>
  <c r="P202" i="5"/>
  <c r="P299" i="5"/>
  <c r="P325" i="5"/>
  <c r="P170" i="5"/>
  <c r="P275" i="5"/>
  <c r="P161" i="5"/>
  <c r="P2284" i="5"/>
  <c r="P798" i="5"/>
  <c r="P482" i="5"/>
  <c r="P605" i="5"/>
  <c r="P598" i="5"/>
  <c r="P2510" i="5"/>
  <c r="P2192" i="5"/>
  <c r="P2516" i="5"/>
  <c r="P2361" i="5"/>
  <c r="P2453" i="5"/>
  <c r="P2253" i="5"/>
  <c r="P892" i="5"/>
  <c r="P2266" i="5"/>
  <c r="P2446" i="5"/>
  <c r="P2474" i="5"/>
  <c r="P2239" i="5"/>
  <c r="P907" i="5"/>
  <c r="P2240" i="5"/>
  <c r="P2489" i="5"/>
  <c r="P2430" i="5"/>
  <c r="P2515" i="5"/>
  <c r="P2160" i="5"/>
  <c r="P2223" i="5"/>
  <c r="P304" i="5"/>
  <c r="P422" i="5"/>
  <c r="P421" i="5"/>
  <c r="P305" i="5"/>
  <c r="P2224" i="5"/>
  <c r="P570" i="5"/>
  <c r="P571" i="5"/>
  <c r="P2262" i="5"/>
  <c r="P693" i="5"/>
  <c r="P702" i="5"/>
  <c r="P2300" i="5"/>
  <c r="P2514" i="5"/>
  <c r="P2508" i="5"/>
  <c r="P2424" i="5"/>
  <c r="P815" i="5"/>
  <c r="P241" i="5"/>
  <c r="P167" i="5"/>
  <c r="P662" i="5"/>
  <c r="P2480" i="5"/>
  <c r="P2472" i="5"/>
  <c r="P193" i="5"/>
  <c r="P159" i="5"/>
  <c r="P199" i="5"/>
  <c r="P436" i="5"/>
  <c r="P603" i="5"/>
  <c r="P294" i="5"/>
  <c r="P394" i="5"/>
  <c r="P629" i="5"/>
  <c r="P656" i="5"/>
  <c r="P620" i="5"/>
  <c r="P622" i="5"/>
  <c r="P632" i="5"/>
  <c r="P393" i="5"/>
  <c r="P607" i="5"/>
  <c r="P654" i="5"/>
  <c r="P627" i="5"/>
  <c r="P293" i="5"/>
  <c r="P602" i="5"/>
  <c r="P435" i="5"/>
  <c r="P198" i="5"/>
  <c r="P158" i="5"/>
  <c r="P192" i="5"/>
  <c r="P166" i="5"/>
  <c r="P2473" i="5"/>
  <c r="P2481" i="5"/>
  <c r="P663" i="5"/>
  <c r="P238" i="5"/>
  <c r="P817" i="5"/>
  <c r="P2235" i="5"/>
  <c r="P2156" i="5"/>
  <c r="P833" i="5"/>
  <c r="P2208" i="5"/>
  <c r="P2320" i="5"/>
  <c r="P2200" i="5"/>
  <c r="P611" i="5"/>
  <c r="P566" i="5"/>
  <c r="P366" i="5"/>
  <c r="P732" i="5"/>
  <c r="P489" i="5"/>
  <c r="P2520" i="5"/>
  <c r="P597" i="5"/>
  <c r="P684" i="5"/>
  <c r="P364" i="5"/>
  <c r="P365" i="5"/>
  <c r="P694" i="5"/>
  <c r="P369" i="5"/>
  <c r="P600" i="5"/>
  <c r="P494" i="5"/>
  <c r="P2521" i="5"/>
  <c r="P740" i="5"/>
  <c r="P565" i="5"/>
  <c r="P610" i="5"/>
  <c r="P2199" i="5"/>
  <c r="P2321" i="5"/>
  <c r="P2209" i="5"/>
  <c r="P714" i="5"/>
  <c r="P2265" i="5"/>
  <c r="P738" i="5"/>
  <c r="P2363" i="5"/>
  <c r="P2282" i="5"/>
  <c r="P2281" i="5"/>
  <c r="P2377" i="5"/>
  <c r="P746" i="5"/>
  <c r="P809" i="5"/>
  <c r="P812" i="5"/>
  <c r="P2328" i="5"/>
  <c r="P463" i="5"/>
  <c r="P903" i="5"/>
  <c r="P703" i="5"/>
  <c r="P467" i="5"/>
  <c r="P712" i="5"/>
  <c r="P2341" i="5"/>
  <c r="P822" i="5"/>
  <c r="P766" i="5"/>
  <c r="P2273" i="5"/>
  <c r="P692" i="5"/>
  <c r="P667" i="5"/>
  <c r="P2238" i="5"/>
  <c r="P719" i="5"/>
  <c r="P344" i="5"/>
  <c r="P336" i="5"/>
  <c r="P764" i="5"/>
  <c r="P779" i="5"/>
  <c r="P487" i="5"/>
  <c r="P488" i="5"/>
  <c r="P893" i="5"/>
  <c r="P733" i="5"/>
  <c r="P313" i="5"/>
  <c r="P502" i="5"/>
  <c r="P252" i="5"/>
  <c r="P253" i="5"/>
  <c r="P503" i="5"/>
  <c r="P314" i="5"/>
  <c r="P389" i="5"/>
  <c r="P361" i="5"/>
  <c r="P351" i="5"/>
  <c r="P399" i="5"/>
  <c r="P912" i="5"/>
  <c r="P908" i="5"/>
  <c r="P717" i="5"/>
  <c r="P2242" i="5"/>
  <c r="P2232" i="5"/>
  <c r="P145" i="5"/>
  <c r="P144" i="5"/>
  <c r="P346" i="5"/>
  <c r="P2372" i="5"/>
  <c r="P552" i="5"/>
  <c r="P547" i="5"/>
  <c r="P920" i="5"/>
  <c r="P345" i="5"/>
  <c r="P239" i="5"/>
  <c r="P240" i="5"/>
  <c r="P2275" i="5"/>
  <c r="P181" i="5"/>
  <c r="P180" i="5"/>
  <c r="P2249" i="5"/>
  <c r="P429" i="5"/>
  <c r="P737" i="5"/>
  <c r="P587" i="5"/>
  <c r="P2293" i="5"/>
  <c r="P2294" i="5"/>
  <c r="P592" i="5"/>
  <c r="P739" i="5"/>
  <c r="P434" i="5"/>
  <c r="P303" i="5"/>
  <c r="P306" i="5"/>
  <c r="P769" i="5"/>
  <c r="P783" i="5"/>
  <c r="P683" i="5"/>
  <c r="P700" i="5"/>
  <c r="P153" i="5"/>
  <c r="P2219" i="5"/>
  <c r="P923" i="5"/>
  <c r="P2190" i="5"/>
  <c r="P747" i="5"/>
  <c r="P803" i="5"/>
  <c r="P185" i="5"/>
  <c r="P575" i="5"/>
  <c r="P741" i="5"/>
  <c r="P811" i="5"/>
  <c r="P2183" i="5"/>
  <c r="P736" i="5"/>
  <c r="P711" i="5"/>
  <c r="P2176" i="5"/>
  <c r="P165" i="5"/>
  <c r="P666" i="5"/>
  <c r="P744" i="5"/>
  <c r="P836" i="5"/>
  <c r="P2255" i="5"/>
  <c r="P873" i="5"/>
  <c r="P317" i="5"/>
  <c r="P187" i="5"/>
  <c r="P223" i="5"/>
  <c r="P478" i="5"/>
  <c r="P845" i="5"/>
  <c r="P2188" i="5"/>
  <c r="P838" i="5"/>
  <c r="P2369" i="5"/>
  <c r="P2413" i="5"/>
  <c r="P2279" i="5"/>
  <c r="P2353" i="5"/>
  <c r="P2439" i="5"/>
  <c r="P2308" i="5"/>
  <c r="P2380" i="5"/>
  <c r="P709" i="5"/>
  <c r="P2198" i="5"/>
  <c r="P419" i="5"/>
  <c r="P2354" i="5"/>
  <c r="P832" i="5"/>
  <c r="P819" i="5"/>
  <c r="P2177" i="5"/>
  <c r="P2163" i="5"/>
  <c r="P2245" i="5"/>
  <c r="P308" i="5"/>
  <c r="P2335" i="5"/>
  <c r="P2418" i="5"/>
  <c r="P266" i="5"/>
  <c r="P725" i="5"/>
  <c r="P708" i="5"/>
  <c r="P644" i="5"/>
  <c r="P696" i="5"/>
  <c r="P2382" i="5"/>
  <c r="P257" i="5"/>
  <c r="P256" i="5"/>
  <c r="P2404" i="5"/>
  <c r="P704" i="5"/>
  <c r="P655" i="5"/>
  <c r="P718" i="5"/>
  <c r="P743" i="5"/>
  <c r="P270" i="5"/>
  <c r="P2432" i="5"/>
  <c r="P2314" i="5"/>
  <c r="P309" i="5"/>
  <c r="P412" i="5"/>
  <c r="P2226" i="5"/>
  <c r="P2168" i="5"/>
  <c r="P2193" i="5"/>
  <c r="P824" i="5"/>
  <c r="P842" i="5"/>
  <c r="P2371" i="5"/>
  <c r="P2178" i="5"/>
  <c r="P686" i="5"/>
  <c r="P2342" i="5"/>
  <c r="P2357" i="5"/>
  <c r="P2286" i="5"/>
  <c r="P2410" i="5"/>
  <c r="P2399" i="5"/>
  <c r="P2301" i="5"/>
  <c r="P2435" i="5"/>
  <c r="P2402" i="5"/>
  <c r="P834" i="5"/>
  <c r="P2155" i="5"/>
  <c r="P2348" i="5"/>
  <c r="P221" i="5"/>
  <c r="P474" i="5"/>
  <c r="P186" i="5"/>
  <c r="P311" i="5"/>
  <c r="P891" i="5"/>
  <c r="P2225" i="5"/>
  <c r="P816" i="5"/>
  <c r="P735" i="5"/>
  <c r="P661" i="5"/>
  <c r="P164" i="5"/>
  <c r="P184" i="5"/>
  <c r="P2202" i="5"/>
  <c r="P720" i="5"/>
  <c r="P750" i="5"/>
  <c r="P2220" i="5"/>
  <c r="P793" i="5"/>
  <c r="P734" i="5"/>
  <c r="P580" i="5"/>
  <c r="P775" i="5"/>
  <c r="P721" i="5"/>
  <c r="P2213" i="5"/>
  <c r="P2170" i="5"/>
  <c r="P2264" i="5"/>
  <c r="P152" i="5"/>
  <c r="P659" i="5"/>
  <c r="P678" i="5"/>
  <c r="P2181" i="5"/>
  <c r="P797" i="5"/>
  <c r="P568" i="5"/>
  <c r="P2171" i="5"/>
  <c r="P792" i="5"/>
  <c r="P682" i="5"/>
  <c r="P645" i="5"/>
  <c r="P497" i="5"/>
  <c r="P499" i="5"/>
  <c r="P445" i="5"/>
  <c r="P444" i="5"/>
  <c r="P672" i="5"/>
  <c r="P673" i="5"/>
  <c r="P844" i="5"/>
  <c r="P846" i="5"/>
  <c r="P668" i="5"/>
  <c r="P657" i="5"/>
  <c r="P630" i="5"/>
  <c r="P633" i="5"/>
  <c r="P509" i="5"/>
  <c r="P510" i="5"/>
  <c r="P2237" i="5"/>
  <c r="P2244" i="5"/>
  <c r="P615" i="5"/>
  <c r="P614" i="5"/>
  <c r="P609" i="5"/>
  <c r="P621" i="5"/>
  <c r="P591" i="5"/>
  <c r="P235" i="5"/>
  <c r="P286" i="5"/>
  <c r="P288" i="5"/>
  <c r="P233" i="5"/>
  <c r="P590" i="5"/>
  <c r="P348" i="5"/>
  <c r="P310" i="5"/>
  <c r="P264" i="5"/>
  <c r="P352" i="5"/>
  <c r="P2184" i="5"/>
  <c r="P406" i="5"/>
  <c r="P391" i="5"/>
  <c r="P2215" i="5"/>
  <c r="P282" i="5"/>
  <c r="P280" i="5"/>
  <c r="P626" i="5"/>
  <c r="P2406" i="5"/>
  <c r="P2362" i="5"/>
  <c r="P601" i="5"/>
  <c r="P357" i="5"/>
  <c r="P355" i="5"/>
  <c r="P2383" i="5"/>
  <c r="P2367" i="5"/>
  <c r="P2234" i="5"/>
  <c r="P919" i="5"/>
  <c r="P806" i="5"/>
  <c r="P2338" i="5"/>
  <c r="P612" i="5"/>
  <c r="P829" i="5"/>
  <c r="P646" i="5"/>
  <c r="P367" i="5"/>
  <c r="P2292" i="5"/>
  <c r="P380" i="5"/>
  <c r="P2218" i="5"/>
  <c r="P2384" i="5"/>
  <c r="P765" i="5"/>
  <c r="P2250" i="5"/>
  <c r="P388" i="5"/>
  <c r="P752" i="5"/>
  <c r="P382" i="5"/>
  <c r="P457" i="5"/>
  <c r="P532" i="5"/>
  <c r="P2261" i="5"/>
  <c r="P2310" i="5"/>
  <c r="P574" i="5"/>
  <c r="P475" i="5"/>
  <c r="P409" i="5"/>
  <c r="P810" i="5"/>
  <c r="P425" i="5"/>
  <c r="P2229" i="5"/>
  <c r="P796" i="5"/>
  <c r="P2360" i="5"/>
  <c r="P2241" i="5"/>
  <c r="P392" i="5"/>
  <c r="P2330" i="5"/>
  <c r="P402" i="5"/>
  <c r="P710" i="5"/>
  <c r="P774" i="5"/>
  <c r="P604" i="5"/>
  <c r="P2278" i="5"/>
  <c r="P835" i="5"/>
  <c r="P897" i="5"/>
  <c r="P2298" i="5"/>
  <c r="P2375" i="5"/>
  <c r="P254" i="5"/>
  <c r="P277" i="5"/>
  <c r="P278" i="5"/>
  <c r="P255" i="5"/>
  <c r="P623" i="5"/>
  <c r="P2194" i="5"/>
  <c r="P381" i="5"/>
  <c r="P372" i="5"/>
  <c r="P146" i="5"/>
  <c r="P2172" i="5"/>
  <c r="P909" i="5"/>
  <c r="P147" i="5"/>
  <c r="P450" i="5"/>
  <c r="P790" i="5"/>
  <c r="P863" i="5"/>
  <c r="P2444" i="5"/>
  <c r="P2443" i="5"/>
  <c r="P826" i="5"/>
  <c r="P759" i="5"/>
  <c r="P448" i="5"/>
  <c r="P157" i="5"/>
  <c r="P156" i="5"/>
  <c r="P441" i="5"/>
  <c r="P558" i="5"/>
  <c r="P695" i="5"/>
  <c r="P2203" i="5"/>
  <c r="P827" i="5"/>
  <c r="P818" i="5"/>
  <c r="P2231" i="5"/>
  <c r="P698" i="5"/>
  <c r="P561" i="5"/>
  <c r="P446" i="5"/>
  <c r="P706" i="5"/>
  <c r="P541" i="5"/>
  <c r="P2440" i="5"/>
  <c r="P2455" i="5"/>
  <c r="P2260" i="5"/>
  <c r="P514" i="5"/>
  <c r="P2378" i="5"/>
  <c r="P2454" i="5"/>
  <c r="P583" i="5"/>
  <c r="P2433" i="5"/>
  <c r="P619" i="5"/>
  <c r="P658" i="5"/>
  <c r="P2503" i="5"/>
  <c r="P2495" i="5"/>
  <c r="P2471" i="5"/>
  <c r="P2476" i="5"/>
  <c r="P2217" i="5"/>
  <c r="P2210" i="5"/>
  <c r="P2316" i="5"/>
  <c r="P2358" i="5"/>
  <c r="P2415" i="5"/>
  <c r="P2452" i="5"/>
  <c r="P2207" i="5"/>
  <c r="P2421" i="5"/>
  <c r="P2285" i="5"/>
  <c r="P608" i="5"/>
  <c r="P593" i="5"/>
  <c r="P400" i="5"/>
  <c r="P396" i="5"/>
  <c r="P2373" i="5"/>
  <c r="P2251" i="5"/>
  <c r="P2174" i="5"/>
  <c r="P2157" i="5"/>
  <c r="P906" i="5"/>
  <c r="P922" i="5"/>
  <c r="P924" i="5"/>
  <c r="P2352" i="5"/>
  <c r="P848" i="5"/>
  <c r="P2153" i="5"/>
  <c r="P258" i="5"/>
  <c r="P259" i="5"/>
  <c r="P218" i="5"/>
  <c r="P219" i="5"/>
  <c r="P359" i="5"/>
  <c r="P358" i="5"/>
  <c r="P173" i="5"/>
  <c r="P168" i="5"/>
  <c r="P2365" i="5"/>
  <c r="P2370" i="5"/>
  <c r="P169" i="5"/>
  <c r="P172" i="5"/>
  <c r="P699" i="5"/>
  <c r="P676" i="5"/>
  <c r="P2374" i="5"/>
  <c r="P2409" i="5"/>
  <c r="P800" i="5"/>
  <c r="P691" i="5"/>
  <c r="P707" i="5"/>
  <c r="P533" i="5"/>
  <c r="P526" i="5"/>
  <c r="P2477" i="5"/>
  <c r="P2479" i="5"/>
  <c r="P407" i="5"/>
  <c r="P507" i="5"/>
  <c r="P2408" i="5"/>
  <c r="P2400" i="5"/>
  <c r="P501" i="5"/>
  <c r="P405" i="5"/>
  <c r="P2388" i="5"/>
  <c r="P772" i="5"/>
  <c r="P679" i="5"/>
  <c r="P680" i="5"/>
  <c r="P773" i="5"/>
  <c r="P2389" i="5"/>
  <c r="P329" i="5"/>
  <c r="P332" i="5"/>
  <c r="P273" i="5"/>
  <c r="P267" i="5"/>
  <c r="P268" i="5"/>
  <c r="P274" i="5"/>
  <c r="P227" i="5"/>
  <c r="P464" i="5"/>
  <c r="P466" i="5"/>
  <c r="P228" i="5"/>
  <c r="P322" i="5"/>
  <c r="P321" i="5"/>
  <c r="P617" i="5"/>
  <c r="P437" i="5"/>
  <c r="P440" i="5"/>
  <c r="P618" i="5"/>
  <c r="P234" i="5"/>
  <c r="P224" i="5"/>
  <c r="P490" i="5"/>
  <c r="P2290" i="5"/>
  <c r="P613" i="5"/>
  <c r="P562" i="5"/>
  <c r="P2295" i="5"/>
  <c r="P486" i="5"/>
  <c r="P206" i="5"/>
  <c r="P207" i="5"/>
  <c r="P465" i="5"/>
  <c r="P237" i="5"/>
  <c r="P433" i="5"/>
  <c r="P432" i="5"/>
  <c r="P236" i="5"/>
  <c r="P461" i="5"/>
  <c r="P879" i="5"/>
  <c r="P697" i="5"/>
  <c r="P2340" i="5"/>
  <c r="P625" i="5"/>
  <c r="P635" i="5"/>
  <c r="P2339" i="5"/>
  <c r="P670" i="5"/>
  <c r="P875" i="5"/>
  <c r="P586" i="5"/>
  <c r="P589" i="5"/>
  <c r="P2364" i="5"/>
  <c r="P2311" i="5"/>
  <c r="P884" i="5"/>
  <c r="P2396" i="5"/>
  <c r="P2466" i="5"/>
  <c r="P799" i="5"/>
  <c r="P794" i="5"/>
  <c r="P2417" i="5"/>
  <c r="P2351" i="5"/>
  <c r="P885" i="5"/>
  <c r="P2327" i="5"/>
  <c r="P2393" i="5"/>
  <c r="P397" i="5"/>
  <c r="P179" i="5"/>
  <c r="P342" i="5"/>
  <c r="P343" i="5"/>
  <c r="P178" i="5"/>
  <c r="P398" i="5"/>
  <c r="P247" i="5"/>
  <c r="P248" i="5"/>
  <c r="P2154" i="5"/>
  <c r="P913" i="5"/>
  <c r="P518" i="5"/>
  <c r="P522" i="5"/>
  <c r="P521" i="5"/>
  <c r="P515" i="5"/>
  <c r="P262" i="5"/>
  <c r="P295" i="5"/>
  <c r="P263" i="5"/>
  <c r="P269" i="5"/>
  <c r="P2518" i="5"/>
  <c r="P265" i="5"/>
  <c r="P2517" i="5"/>
  <c r="P323" i="5"/>
  <c r="P324" i="5"/>
  <c r="P312" i="5"/>
  <c r="P894" i="5"/>
  <c r="P2319" i="5"/>
  <c r="P534" i="5"/>
  <c r="P2185" i="5"/>
  <c r="P2197" i="5"/>
  <c r="P2186" i="5"/>
  <c r="P535" i="5"/>
  <c r="P2191" i="5"/>
  <c r="P786" i="5"/>
  <c r="P296" i="5"/>
  <c r="P862" i="5"/>
  <c r="P205" i="5"/>
  <c r="P204" i="5"/>
  <c r="P867" i="5"/>
  <c r="P508" i="5"/>
  <c r="P504" i="5"/>
  <c r="P404" i="5"/>
  <c r="P300" i="5"/>
  <c r="P302" i="5"/>
  <c r="P403" i="5"/>
  <c r="P731" i="5"/>
  <c r="P724" i="5"/>
  <c r="P384" i="5"/>
  <c r="P385" i="5"/>
  <c r="P2387" i="5"/>
  <c r="P2386" i="5"/>
  <c r="P480" i="5"/>
  <c r="P353" i="5"/>
  <c r="P229" i="5"/>
  <c r="P150" i="5"/>
  <c r="P151" i="5"/>
  <c r="P232" i="5"/>
  <c r="P354" i="5"/>
  <c r="P479" i="5"/>
  <c r="P377" i="5"/>
  <c r="P376" i="5"/>
  <c r="P716" i="5"/>
  <c r="P723" i="5"/>
  <c r="P2376" i="5"/>
  <c r="P2356" i="5"/>
  <c r="P2270" i="5"/>
  <c r="P2252" i="5"/>
  <c r="P430" i="5"/>
  <c r="P431" i="5"/>
  <c r="P2268" i="5"/>
  <c r="P2501" i="5"/>
  <c r="P2451" i="5"/>
  <c r="P2457" i="5"/>
  <c r="P2462" i="5"/>
  <c r="P722" i="5"/>
  <c r="P226" i="5"/>
  <c r="P225" i="5"/>
  <c r="P705" i="5"/>
  <c r="P2460" i="5"/>
  <c r="P2456" i="5"/>
  <c r="P2450" i="5"/>
  <c r="P2502" i="5"/>
  <c r="P2221" i="5"/>
  <c r="P2379" i="5"/>
  <c r="P2381" i="5"/>
  <c r="P339" i="5"/>
  <c r="P349" i="5"/>
  <c r="P350" i="5"/>
  <c r="P338" i="5"/>
  <c r="P2271" i="5"/>
  <c r="P2280" i="5"/>
  <c r="P413" i="5"/>
  <c r="P414" i="5"/>
  <c r="P814" i="5"/>
  <c r="P596" i="5"/>
  <c r="P284" i="5"/>
  <c r="P231" i="5"/>
  <c r="P230" i="5"/>
  <c r="P283" i="5"/>
  <c r="P782" i="5"/>
  <c r="P784" i="5"/>
  <c r="P674" i="5"/>
  <c r="P675" i="5"/>
  <c r="P2333" i="5"/>
  <c r="P2334" i="5"/>
  <c r="P2343" i="5"/>
  <c r="P2355" i="5"/>
  <c r="P582" i="5"/>
  <c r="P581" i="5"/>
  <c r="P647" i="5"/>
  <c r="P648" i="5"/>
  <c r="P770" i="5"/>
  <c r="P2401" i="5"/>
  <c r="P841" i="5"/>
  <c r="P2272" i="5"/>
  <c r="P2519" i="5"/>
  <c r="P808" i="5"/>
  <c r="P768" i="5"/>
  <c r="P754" i="5"/>
  <c r="P606" i="5"/>
  <c r="P573" i="5"/>
  <c r="P545" i="5"/>
  <c r="P791" i="5"/>
  <c r="P690" i="5"/>
  <c r="P563" i="5"/>
  <c r="P564" i="5"/>
  <c r="P771" i="5"/>
  <c r="P751" i="5"/>
  <c r="P2420" i="5"/>
  <c r="P890" i="5"/>
  <c r="P871" i="5"/>
  <c r="P2324" i="5"/>
  <c r="P2296" i="5"/>
  <c r="P2349" i="5"/>
  <c r="P2434" i="5"/>
  <c r="P2483" i="5"/>
  <c r="P2350" i="5"/>
  <c r="P2306" i="5"/>
  <c r="P201" i="5"/>
  <c r="P243" i="5"/>
  <c r="P537" i="5"/>
  <c r="P439" i="5"/>
  <c r="P330" i="5"/>
  <c r="P2368" i="5"/>
  <c r="P2487" i="5"/>
  <c r="P331" i="5"/>
  <c r="P438" i="5"/>
  <c r="P536" i="5"/>
  <c r="P242" i="5"/>
  <c r="P200" i="5"/>
  <c r="P496" i="5"/>
  <c r="P688" i="5"/>
  <c r="P176" i="5"/>
  <c r="P177" i="5"/>
  <c r="P689" i="5"/>
  <c r="P495" i="5"/>
  <c r="P649" i="5"/>
  <c r="P174" i="5"/>
  <c r="P175" i="5"/>
  <c r="P652" i="5"/>
  <c r="P636" i="5"/>
  <c r="P417" i="5"/>
  <c r="P481" i="5"/>
  <c r="P918" i="5"/>
  <c r="P839" i="5"/>
  <c r="P813" i="5"/>
  <c r="P804" i="5"/>
  <c r="P853" i="5"/>
  <c r="P2204" i="5"/>
  <c r="P2162" i="5"/>
  <c r="P895" i="5"/>
  <c r="P828" i="5"/>
  <c r="P778" i="5"/>
  <c r="P825" i="5"/>
  <c r="P849" i="5"/>
  <c r="P921" i="5"/>
  <c r="P485" i="5"/>
  <c r="P420" i="5"/>
  <c r="P637" i="5"/>
  <c r="P154" i="5"/>
  <c r="P216" i="5"/>
  <c r="P215" i="5"/>
  <c r="P155" i="5"/>
  <c r="P473" i="5"/>
  <c r="P250" i="5"/>
  <c r="P245" i="5"/>
  <c r="P244" i="5"/>
  <c r="P246" i="5"/>
  <c r="P472" i="5"/>
  <c r="P2470" i="5"/>
  <c r="P911" i="5"/>
  <c r="P2317" i="5"/>
  <c r="P2322" i="5"/>
  <c r="P2179" i="5"/>
  <c r="P852" i="5"/>
  <c r="P579" i="5"/>
  <c r="P726" i="5"/>
  <c r="P665" i="5"/>
  <c r="P854" i="5"/>
  <c r="P2411" i="5"/>
  <c r="P2414" i="5"/>
  <c r="P880" i="5"/>
  <c r="P671" i="5"/>
  <c r="P727" i="5"/>
  <c r="P588" i="5"/>
  <c r="P855" i="5"/>
  <c r="P2222" i="5"/>
  <c r="P2336" i="5"/>
  <c r="P904" i="5"/>
  <c r="P2504" i="5"/>
  <c r="P2256" i="5"/>
  <c r="P2243" i="5"/>
  <c r="P681" i="5"/>
  <c r="P687" i="5"/>
  <c r="P2437" i="5"/>
  <c r="P2438" i="5"/>
  <c r="P371" i="5"/>
  <c r="P639" i="5"/>
  <c r="P640" i="5"/>
  <c r="P370" i="5"/>
  <c r="P2167" i="5"/>
  <c r="P2166" i="5"/>
  <c r="P572" i="5"/>
  <c r="P888" i="5"/>
  <c r="P889" i="5"/>
  <c r="P569" i="5"/>
  <c r="P548" i="5"/>
  <c r="P549" i="5"/>
  <c r="P287" i="5"/>
  <c r="P285" i="5"/>
  <c r="P289" i="5"/>
  <c r="P290" i="5"/>
  <c r="P318" i="5"/>
  <c r="P2303" i="5"/>
  <c r="P2436" i="5"/>
  <c r="P279" i="5"/>
  <c r="P281" i="5"/>
  <c r="P2485" i="5"/>
  <c r="P2323" i="5"/>
  <c r="P315" i="5"/>
  <c r="P362" i="5"/>
  <c r="P319" i="5"/>
  <c r="P408" i="5"/>
  <c r="P742" i="5"/>
  <c r="P713" i="5"/>
  <c r="P390" i="5"/>
  <c r="P307" i="5"/>
  <c r="P363" i="5"/>
  <c r="P2258" i="5"/>
  <c r="P2259" i="5"/>
  <c r="P291" i="5"/>
  <c r="P292" i="5"/>
  <c r="P2216" i="5"/>
  <c r="P2165" i="5"/>
  <c r="P2227" i="5"/>
  <c r="P2205" i="5"/>
  <c r="P2169" i="5"/>
  <c r="P2233" i="5"/>
  <c r="P628" i="5"/>
  <c r="P595" i="5"/>
  <c r="P599" i="5"/>
  <c r="P641" i="5"/>
  <c r="P2187" i="5"/>
  <c r="P2276" i="5"/>
  <c r="P2277" i="5"/>
  <c r="P2189" i="5"/>
  <c r="P2467" i="5"/>
  <c r="P2512" i="5"/>
  <c r="P898" i="5"/>
  <c r="P870" i="5"/>
  <c r="P2331" i="5"/>
  <c r="P2312" i="5"/>
  <c r="P669" i="5"/>
  <c r="P2326" i="5"/>
  <c r="P664" i="5"/>
  <c r="P2289" i="5"/>
  <c r="P745" i="5"/>
  <c r="P523" i="5"/>
  <c r="P524" i="5"/>
  <c r="P755" i="5"/>
  <c r="P374" i="5"/>
  <c r="P375" i="5"/>
  <c r="P2499" i="5"/>
  <c r="P556" i="5"/>
  <c r="P260" i="5"/>
  <c r="P261" i="5"/>
  <c r="P557" i="5"/>
  <c r="P2498" i="5"/>
  <c r="P2463" i="5"/>
  <c r="P2464" i="5"/>
  <c r="P297" i="5"/>
  <c r="P301" i="5"/>
  <c r="P209" i="5"/>
  <c r="P148" i="5"/>
  <c r="P149" i="5"/>
  <c r="P208" i="5"/>
  <c r="B8" i="6"/>
  <c r="B4" i="6"/>
  <c r="B7" i="6"/>
  <c r="O2309" i="5"/>
  <c r="O2325" i="5"/>
  <c r="O2337" i="5"/>
  <c r="O2398" i="5"/>
  <c r="O2329" i="5"/>
  <c r="O2442" i="5"/>
  <c r="O2469" i="5"/>
  <c r="O2412" i="5"/>
  <c r="O2344" i="5"/>
  <c r="O2475" i="5"/>
  <c r="O2427" i="5"/>
  <c r="O2458" i="5"/>
  <c r="O2478" i="5"/>
  <c r="O443" i="5"/>
  <c r="O2228" i="5"/>
  <c r="O2159" i="5"/>
  <c r="O2161" i="5"/>
  <c r="O442" i="5"/>
  <c r="O2158" i="5"/>
  <c r="O386" i="5"/>
  <c r="O685" i="5"/>
  <c r="O877" i="5"/>
  <c r="O2254" i="5"/>
  <c r="O881" i="5"/>
  <c r="O878" i="5"/>
  <c r="O902" i="5"/>
  <c r="O896" i="5"/>
  <c r="O874" i="5"/>
  <c r="O917" i="5"/>
  <c r="O2151" i="5"/>
  <c r="O914" i="5"/>
  <c r="O2196" i="5"/>
  <c r="O859" i="5"/>
  <c r="O807" i="5"/>
  <c r="O387" i="5"/>
  <c r="O2152" i="5"/>
  <c r="O2497" i="5"/>
  <c r="O2385" i="5"/>
  <c r="O2513" i="5"/>
  <c r="O2461" i="5"/>
  <c r="O2366" i="5"/>
  <c r="O2493" i="5"/>
  <c r="O851" i="5"/>
  <c r="O511" i="5"/>
  <c r="O554" i="5"/>
  <c r="O458" i="5"/>
  <c r="O498" i="5"/>
  <c r="O856" i="5"/>
  <c r="O2392" i="5"/>
  <c r="O2500" i="5"/>
  <c r="O2505" i="5"/>
  <c r="O539" i="5"/>
  <c r="O2391" i="5"/>
  <c r="O395" i="5"/>
  <c r="O401" i="5"/>
  <c r="O546" i="5"/>
  <c r="O2390" i="5"/>
  <c r="O2173" i="5"/>
  <c r="O2211" i="5"/>
  <c r="O916" i="5"/>
  <c r="O749" i="5"/>
  <c r="O756" i="5"/>
  <c r="O901" i="5"/>
  <c r="O2509" i="5"/>
  <c r="O2488" i="5"/>
  <c r="O2394" i="5"/>
  <c r="O2291" i="5"/>
  <c r="O2431" i="5"/>
  <c r="O2441" i="5"/>
  <c r="O2346" i="5"/>
  <c r="O2397" i="5"/>
  <c r="O272" i="5"/>
  <c r="O271" i="5"/>
  <c r="O551" i="5"/>
  <c r="O550" i="5"/>
  <c r="O220" i="5"/>
  <c r="O222" i="5"/>
  <c r="O249" i="5"/>
  <c r="O251" i="5"/>
  <c r="O459" i="5"/>
  <c r="O471" i="5"/>
  <c r="O728" i="5"/>
  <c r="O715" i="5"/>
  <c r="O470" i="5"/>
  <c r="O454" i="5"/>
  <c r="O857" i="5"/>
  <c r="O858" i="5"/>
  <c r="O195" i="5"/>
  <c r="O194" i="5"/>
  <c r="O2459" i="5"/>
  <c r="O162" i="5"/>
  <c r="O163" i="5"/>
  <c r="O2447" i="5"/>
  <c r="O211" i="5"/>
  <c r="O210" i="5"/>
  <c r="O2486" i="5"/>
  <c r="O2484" i="5"/>
  <c r="O519" i="5"/>
  <c r="O585" i="5"/>
  <c r="O643" i="5"/>
  <c r="O368" i="5"/>
  <c r="O356" i="5"/>
  <c r="O383" i="5"/>
  <c r="O2465" i="5"/>
  <c r="O2490" i="5"/>
  <c r="O373" i="5"/>
  <c r="O333" i="5"/>
  <c r="O360" i="5"/>
  <c r="O642" i="5"/>
  <c r="O584" i="5"/>
  <c r="O520" i="5"/>
  <c r="O378" i="5"/>
  <c r="O379" i="5"/>
  <c r="O477" i="5"/>
  <c r="O476" i="5"/>
  <c r="O767" i="5"/>
  <c r="O542" i="5"/>
  <c r="O528" i="5"/>
  <c r="O760" i="5"/>
  <c r="O334" i="5"/>
  <c r="O335" i="5"/>
  <c r="O469" i="5"/>
  <c r="O468" i="5"/>
  <c r="O864" i="5"/>
  <c r="O802" i="5"/>
  <c r="O217" i="5"/>
  <c r="O214" i="5"/>
  <c r="O594" i="5"/>
  <c r="O578" i="5"/>
  <c r="O776" i="5"/>
  <c r="O453" i="5"/>
  <c r="O337" i="5"/>
  <c r="O411" i="5"/>
  <c r="O2422" i="5"/>
  <c r="O2423" i="5"/>
  <c r="O341" i="5"/>
  <c r="O2448" i="5"/>
  <c r="O2416" i="5"/>
  <c r="O410" i="5"/>
  <c r="O451" i="5"/>
  <c r="O753" i="5"/>
  <c r="O2212" i="5"/>
  <c r="O2263" i="5"/>
  <c r="O876" i="5"/>
  <c r="O886" i="5"/>
  <c r="O328" i="5"/>
  <c r="O427" i="5"/>
  <c r="O2492" i="5"/>
  <c r="O2429" i="5"/>
  <c r="O2425" i="5"/>
  <c r="O2449" i="5"/>
  <c r="O426" i="5"/>
  <c r="O327" i="5"/>
  <c r="O576" i="5"/>
  <c r="O197" i="5"/>
  <c r="O203" i="5"/>
  <c r="O530" i="5"/>
  <c r="O527" i="5"/>
  <c r="O189" i="5"/>
  <c r="O182" i="5"/>
  <c r="O2267" i="5"/>
  <c r="O2247" i="5"/>
  <c r="O213" i="5"/>
  <c r="O777" i="5"/>
  <c r="O785" i="5"/>
  <c r="O823" i="5"/>
  <c r="O340" i="5"/>
  <c r="O2214" i="5"/>
  <c r="O660" i="5"/>
  <c r="O418" i="5"/>
  <c r="O631" i="5"/>
  <c r="O701" i="5"/>
  <c r="O787" i="5"/>
  <c r="O2195" i="5"/>
  <c r="O860" i="5"/>
  <c r="O866" i="5"/>
  <c r="O910" i="5"/>
  <c r="O887" i="5"/>
  <c r="O761" i="5"/>
  <c r="O577" i="5"/>
  <c r="O555" i="5"/>
  <c r="O505" i="5"/>
  <c r="O483" i="5"/>
  <c r="O491" i="5"/>
  <c r="O460" i="5"/>
  <c r="O517" i="5"/>
  <c r="O544" i="5"/>
  <c r="O506" i="5"/>
  <c r="O540" i="5"/>
  <c r="O525" i="5"/>
  <c r="O415" i="5"/>
  <c r="O428" i="5"/>
  <c r="O538" i="5"/>
  <c r="O529" i="5"/>
  <c r="O512" i="5"/>
  <c r="O553" i="5"/>
  <c r="O516" i="5"/>
  <c r="O462" i="5"/>
  <c r="O500" i="5"/>
  <c r="O484" i="5"/>
  <c r="O513" i="5"/>
  <c r="O543" i="5"/>
  <c r="O567" i="5"/>
  <c r="O757" i="5"/>
  <c r="O2359" i="5"/>
  <c r="O882" i="5"/>
  <c r="O847" i="5"/>
  <c r="O2248" i="5"/>
  <c r="O883" i="5"/>
  <c r="O831" i="5"/>
  <c r="O2230" i="5"/>
  <c r="O729" i="5"/>
  <c r="O677" i="5"/>
  <c r="O651" i="5"/>
  <c r="O416" i="5"/>
  <c r="O650" i="5"/>
  <c r="O2175" i="5"/>
  <c r="O347" i="5"/>
  <c r="O820" i="5"/>
  <c r="O805" i="5"/>
  <c r="O780" i="5"/>
  <c r="O212" i="5"/>
  <c r="O2269" i="5"/>
  <c r="O2299" i="5"/>
  <c r="O183" i="5"/>
  <c r="O188" i="5"/>
  <c r="O2506" i="5"/>
  <c r="O2445" i="5"/>
  <c r="O869" i="5"/>
  <c r="O868" i="5"/>
  <c r="O2491" i="5"/>
  <c r="O2511" i="5"/>
  <c r="O2494" i="5"/>
  <c r="O2426" i="5"/>
  <c r="O2304" i="5"/>
  <c r="O2302" i="5"/>
  <c r="O2305" i="5"/>
  <c r="O2347" i="5"/>
  <c r="O190" i="5"/>
  <c r="O2318" i="5"/>
  <c r="O493" i="5"/>
  <c r="O837" i="5"/>
  <c r="O2149" i="5"/>
  <c r="O905" i="5"/>
  <c r="O653" i="5"/>
  <c r="O821" i="5"/>
  <c r="O2236" i="5"/>
  <c r="O789" i="5"/>
  <c r="O795" i="5"/>
  <c r="O560" i="5"/>
  <c r="O2257" i="5"/>
  <c r="O840" i="5"/>
  <c r="O616" i="5"/>
  <c r="O899" i="5"/>
  <c r="O2482" i="5"/>
  <c r="O830" i="5"/>
  <c r="O492" i="5"/>
  <c r="O2315" i="5"/>
  <c r="O191" i="5"/>
  <c r="O2395" i="5"/>
  <c r="O634" i="5"/>
  <c r="O531" i="5"/>
  <c r="O2288" i="5"/>
  <c r="O455" i="5"/>
  <c r="O456" i="5"/>
  <c r="O2507" i="5"/>
  <c r="O2428" i="5"/>
  <c r="O900" i="5"/>
  <c r="O2246" i="5"/>
  <c r="O2345" i="5"/>
  <c r="O2164" i="5"/>
  <c r="O2283" i="5"/>
  <c r="O2405" i="5"/>
  <c r="O2182" i="5"/>
  <c r="O915" i="5"/>
  <c r="O758" i="5"/>
  <c r="O781" i="5"/>
  <c r="O2201" i="5"/>
  <c r="O2206" i="5"/>
  <c r="O449" i="5"/>
  <c r="O861" i="5"/>
  <c r="O2496" i="5"/>
  <c r="O730" i="5"/>
  <c r="O2180" i="5"/>
  <c r="O2150" i="5"/>
  <c r="O748" i="5"/>
  <c r="O872" i="5"/>
  <c r="O2468" i="5"/>
  <c r="O2407" i="5"/>
  <c r="O447" i="5"/>
  <c r="O452" i="5"/>
  <c r="O559" i="5"/>
  <c r="O843" i="5"/>
  <c r="O2403" i="5"/>
  <c r="O2274" i="5"/>
  <c r="O624" i="5"/>
  <c r="O762" i="5"/>
  <c r="O423" i="5"/>
  <c r="O424" i="5"/>
  <c r="O763" i="5"/>
  <c r="O638" i="5"/>
  <c r="O2287" i="5"/>
  <c r="O2419" i="5"/>
  <c r="O788" i="5"/>
  <c r="O801" i="5"/>
  <c r="O850" i="5"/>
  <c r="O865" i="5"/>
  <c r="O160" i="5"/>
  <c r="O276" i="5"/>
  <c r="O171" i="5"/>
  <c r="O326" i="5"/>
  <c r="O298" i="5"/>
  <c r="O196" i="5"/>
  <c r="O320" i="5"/>
  <c r="O316" i="5"/>
  <c r="O202" i="5"/>
  <c r="O299" i="5"/>
  <c r="O325" i="5"/>
  <c r="O170" i="5"/>
  <c r="O275" i="5"/>
  <c r="O161" i="5"/>
  <c r="O2284" i="5"/>
  <c r="O798" i="5"/>
  <c r="O482" i="5"/>
  <c r="O605" i="5"/>
  <c r="O598" i="5"/>
  <c r="O2510" i="5"/>
  <c r="O2192" i="5"/>
  <c r="O2516" i="5"/>
  <c r="O2361" i="5"/>
  <c r="O2453" i="5"/>
  <c r="O2253" i="5"/>
  <c r="O892" i="5"/>
  <c r="O2266" i="5"/>
  <c r="O2446" i="5"/>
  <c r="O2474" i="5"/>
  <c r="O2239" i="5"/>
  <c r="O907" i="5"/>
  <c r="O2240" i="5"/>
  <c r="O2489" i="5"/>
  <c r="O2430" i="5"/>
  <c r="O2515" i="5"/>
  <c r="O2160" i="5"/>
  <c r="O2223" i="5"/>
  <c r="O304" i="5"/>
  <c r="O422" i="5"/>
  <c r="O421" i="5"/>
  <c r="O305" i="5"/>
  <c r="O2224" i="5"/>
  <c r="O570" i="5"/>
  <c r="O571" i="5"/>
  <c r="O2262" i="5"/>
  <c r="O693" i="5"/>
  <c r="O702" i="5"/>
  <c r="O2300" i="5"/>
  <c r="O2514" i="5"/>
  <c r="O2508" i="5"/>
  <c r="O2424" i="5"/>
  <c r="O815" i="5"/>
  <c r="O241" i="5"/>
  <c r="O167" i="5"/>
  <c r="O662" i="5"/>
  <c r="O2480" i="5"/>
  <c r="O2472" i="5"/>
  <c r="O193" i="5"/>
  <c r="O159" i="5"/>
  <c r="O199" i="5"/>
  <c r="O436" i="5"/>
  <c r="O603" i="5"/>
  <c r="O294" i="5"/>
  <c r="O394" i="5"/>
  <c r="O629" i="5"/>
  <c r="O656" i="5"/>
  <c r="O620" i="5"/>
  <c r="O622" i="5"/>
  <c r="O632" i="5"/>
  <c r="O393" i="5"/>
  <c r="O607" i="5"/>
  <c r="O654" i="5"/>
  <c r="O627" i="5"/>
  <c r="O293" i="5"/>
  <c r="O602" i="5"/>
  <c r="O435" i="5"/>
  <c r="O198" i="5"/>
  <c r="O158" i="5"/>
  <c r="O192" i="5"/>
  <c r="O166" i="5"/>
  <c r="O2473" i="5"/>
  <c r="O2481" i="5"/>
  <c r="O663" i="5"/>
  <c r="O238" i="5"/>
  <c r="O817" i="5"/>
  <c r="O2235" i="5"/>
  <c r="O2156" i="5"/>
  <c r="O833" i="5"/>
  <c r="O2208" i="5"/>
  <c r="O2320" i="5"/>
  <c r="O2200" i="5"/>
  <c r="O611" i="5"/>
  <c r="O566" i="5"/>
  <c r="O366" i="5"/>
  <c r="O732" i="5"/>
  <c r="O489" i="5"/>
  <c r="O2520" i="5"/>
  <c r="O597" i="5"/>
  <c r="O684" i="5"/>
  <c r="O364" i="5"/>
  <c r="O365" i="5"/>
  <c r="O694" i="5"/>
  <c r="O369" i="5"/>
  <c r="O600" i="5"/>
  <c r="O494" i="5"/>
  <c r="O2521" i="5"/>
  <c r="O740" i="5"/>
  <c r="O565" i="5"/>
  <c r="O610" i="5"/>
  <c r="O2199" i="5"/>
  <c r="O2321" i="5"/>
  <c r="O2209" i="5"/>
  <c r="O714" i="5"/>
  <c r="O2265" i="5"/>
  <c r="O738" i="5"/>
  <c r="O2363" i="5"/>
  <c r="O2282" i="5"/>
  <c r="O2281" i="5"/>
  <c r="O2377" i="5"/>
  <c r="O746" i="5"/>
  <c r="O809" i="5"/>
  <c r="O812" i="5"/>
  <c r="O2328" i="5"/>
  <c r="O463" i="5"/>
  <c r="O903" i="5"/>
  <c r="O703" i="5"/>
  <c r="O467" i="5"/>
  <c r="O712" i="5"/>
  <c r="O2341" i="5"/>
  <c r="O822" i="5"/>
  <c r="O766" i="5"/>
  <c r="O2273" i="5"/>
  <c r="O692" i="5"/>
  <c r="O667" i="5"/>
  <c r="O2238" i="5"/>
  <c r="O719" i="5"/>
  <c r="O344" i="5"/>
  <c r="O336" i="5"/>
  <c r="O764" i="5"/>
  <c r="O779" i="5"/>
  <c r="O487" i="5"/>
  <c r="O488" i="5"/>
  <c r="O893" i="5"/>
  <c r="O733" i="5"/>
  <c r="O313" i="5"/>
  <c r="O502" i="5"/>
  <c r="O252" i="5"/>
  <c r="O253" i="5"/>
  <c r="O503" i="5"/>
  <c r="O314" i="5"/>
  <c r="O389" i="5"/>
  <c r="O361" i="5"/>
  <c r="O351" i="5"/>
  <c r="O399" i="5"/>
  <c r="O912" i="5"/>
  <c r="O908" i="5"/>
  <c r="O717" i="5"/>
  <c r="O2242" i="5"/>
  <c r="O2232" i="5"/>
  <c r="O145" i="5"/>
  <c r="O144" i="5"/>
  <c r="O346" i="5"/>
  <c r="O2372" i="5"/>
  <c r="O552" i="5"/>
  <c r="O547" i="5"/>
  <c r="O920" i="5"/>
  <c r="O345" i="5"/>
  <c r="O239" i="5"/>
  <c r="O240" i="5"/>
  <c r="O2275" i="5"/>
  <c r="O181" i="5"/>
  <c r="O180" i="5"/>
  <c r="O2249" i="5"/>
  <c r="O429" i="5"/>
  <c r="O737" i="5"/>
  <c r="O587" i="5"/>
  <c r="O2293" i="5"/>
  <c r="O2294" i="5"/>
  <c r="O592" i="5"/>
  <c r="O739" i="5"/>
  <c r="O434" i="5"/>
  <c r="O303" i="5"/>
  <c r="O306" i="5"/>
  <c r="O769" i="5"/>
  <c r="O783" i="5"/>
  <c r="O683" i="5"/>
  <c r="O700" i="5"/>
  <c r="O153" i="5"/>
  <c r="O2219" i="5"/>
  <c r="O923" i="5"/>
  <c r="O2190" i="5"/>
  <c r="O747" i="5"/>
  <c r="O803" i="5"/>
  <c r="O185" i="5"/>
  <c r="O575" i="5"/>
  <c r="O741" i="5"/>
  <c r="O811" i="5"/>
  <c r="O2183" i="5"/>
  <c r="O736" i="5"/>
  <c r="O711" i="5"/>
  <c r="O2176" i="5"/>
  <c r="O165" i="5"/>
  <c r="O666" i="5"/>
  <c r="O744" i="5"/>
  <c r="O836" i="5"/>
  <c r="O2255" i="5"/>
  <c r="O873" i="5"/>
  <c r="O317" i="5"/>
  <c r="O187" i="5"/>
  <c r="O223" i="5"/>
  <c r="O478" i="5"/>
  <c r="O845" i="5"/>
  <c r="O2188" i="5"/>
  <c r="O838" i="5"/>
  <c r="O2369" i="5"/>
  <c r="O2413" i="5"/>
  <c r="O2279" i="5"/>
  <c r="O2353" i="5"/>
  <c r="O2439" i="5"/>
  <c r="O2308" i="5"/>
  <c r="O2380" i="5"/>
  <c r="O709" i="5"/>
  <c r="O2198" i="5"/>
  <c r="O419" i="5"/>
  <c r="O2354" i="5"/>
  <c r="O832" i="5"/>
  <c r="O819" i="5"/>
  <c r="O2177" i="5"/>
  <c r="O2163" i="5"/>
  <c r="O2245" i="5"/>
  <c r="O308" i="5"/>
  <c r="O2335" i="5"/>
  <c r="O2418" i="5"/>
  <c r="O266" i="5"/>
  <c r="O725" i="5"/>
  <c r="O708" i="5"/>
  <c r="O644" i="5"/>
  <c r="O696" i="5"/>
  <c r="O2382" i="5"/>
  <c r="O257" i="5"/>
  <c r="O256" i="5"/>
  <c r="O2404" i="5"/>
  <c r="O704" i="5"/>
  <c r="O655" i="5"/>
  <c r="O718" i="5"/>
  <c r="O743" i="5"/>
  <c r="O270" i="5"/>
  <c r="O2432" i="5"/>
  <c r="O2314" i="5"/>
  <c r="O309" i="5"/>
  <c r="O412" i="5"/>
  <c r="O2226" i="5"/>
  <c r="O2168" i="5"/>
  <c r="O2193" i="5"/>
  <c r="O824" i="5"/>
  <c r="O842" i="5"/>
  <c r="O2371" i="5"/>
  <c r="O2178" i="5"/>
  <c r="O686" i="5"/>
  <c r="O2342" i="5"/>
  <c r="O2357" i="5"/>
  <c r="O2286" i="5"/>
  <c r="O2410" i="5"/>
  <c r="O2399" i="5"/>
  <c r="O2301" i="5"/>
  <c r="O2435" i="5"/>
  <c r="O2402" i="5"/>
  <c r="O834" i="5"/>
  <c r="O2155" i="5"/>
  <c r="O2348" i="5"/>
  <c r="O221" i="5"/>
  <c r="O474" i="5"/>
  <c r="O186" i="5"/>
  <c r="O311" i="5"/>
  <c r="O891" i="5"/>
  <c r="O2225" i="5"/>
  <c r="O816" i="5"/>
  <c r="O735" i="5"/>
  <c r="O661" i="5"/>
  <c r="O164" i="5"/>
  <c r="O184" i="5"/>
  <c r="O2202" i="5"/>
  <c r="O720" i="5"/>
  <c r="O750" i="5"/>
  <c r="O2220" i="5"/>
  <c r="O793" i="5"/>
  <c r="O734" i="5"/>
  <c r="O580" i="5"/>
  <c r="O775" i="5"/>
  <c r="O721" i="5"/>
  <c r="O2213" i="5"/>
  <c r="O2170" i="5"/>
  <c r="O2264" i="5"/>
  <c r="O152" i="5"/>
  <c r="O659" i="5"/>
  <c r="O678" i="5"/>
  <c r="O2181" i="5"/>
  <c r="O797" i="5"/>
  <c r="O568" i="5"/>
  <c r="O2171" i="5"/>
  <c r="O792" i="5"/>
  <c r="O682" i="5"/>
  <c r="O645" i="5"/>
  <c r="O497" i="5"/>
  <c r="O499" i="5"/>
  <c r="O445" i="5"/>
  <c r="O444" i="5"/>
  <c r="O672" i="5"/>
  <c r="O673" i="5"/>
  <c r="O844" i="5"/>
  <c r="O846" i="5"/>
  <c r="O668" i="5"/>
  <c r="O657" i="5"/>
  <c r="O630" i="5"/>
  <c r="O633" i="5"/>
  <c r="O509" i="5"/>
  <c r="O510" i="5"/>
  <c r="O2237" i="5"/>
  <c r="O2244" i="5"/>
  <c r="O615" i="5"/>
  <c r="O614" i="5"/>
  <c r="O609" i="5"/>
  <c r="O621" i="5"/>
  <c r="O591" i="5"/>
  <c r="O235" i="5"/>
  <c r="O286" i="5"/>
  <c r="O288" i="5"/>
  <c r="O233" i="5"/>
  <c r="O590" i="5"/>
  <c r="O348" i="5"/>
  <c r="O310" i="5"/>
  <c r="O264" i="5"/>
  <c r="O352" i="5"/>
  <c r="O2184" i="5"/>
  <c r="O406" i="5"/>
  <c r="O391" i="5"/>
  <c r="O2215" i="5"/>
  <c r="O282" i="5"/>
  <c r="O280" i="5"/>
  <c r="O626" i="5"/>
  <c r="O2406" i="5"/>
  <c r="O2362" i="5"/>
  <c r="O601" i="5"/>
  <c r="O357" i="5"/>
  <c r="O355" i="5"/>
  <c r="O2383" i="5"/>
  <c r="O2367" i="5"/>
  <c r="O2234" i="5"/>
  <c r="O919" i="5"/>
  <c r="O806" i="5"/>
  <c r="O2338" i="5"/>
  <c r="O612" i="5"/>
  <c r="O829" i="5"/>
  <c r="O646" i="5"/>
  <c r="O367" i="5"/>
  <c r="O2292" i="5"/>
  <c r="O380" i="5"/>
  <c r="O2218" i="5"/>
  <c r="O2384" i="5"/>
  <c r="O765" i="5"/>
  <c r="O2250" i="5"/>
  <c r="O388" i="5"/>
  <c r="O752" i="5"/>
  <c r="O382" i="5"/>
  <c r="O457" i="5"/>
  <c r="O532" i="5"/>
  <c r="O2261" i="5"/>
  <c r="O2310" i="5"/>
  <c r="O574" i="5"/>
  <c r="O475" i="5"/>
  <c r="O409" i="5"/>
  <c r="O810" i="5"/>
  <c r="O425" i="5"/>
  <c r="O2229" i="5"/>
  <c r="O796" i="5"/>
  <c r="O2360" i="5"/>
  <c r="O2241" i="5"/>
  <c r="O392" i="5"/>
  <c r="O2330" i="5"/>
  <c r="O402" i="5"/>
  <c r="O710" i="5"/>
  <c r="O774" i="5"/>
  <c r="O604" i="5"/>
  <c r="O2278" i="5"/>
  <c r="O835" i="5"/>
  <c r="O897" i="5"/>
  <c r="O2298" i="5"/>
  <c r="O2375" i="5"/>
  <c r="O254" i="5"/>
  <c r="O277" i="5"/>
  <c r="O278" i="5"/>
  <c r="O255" i="5"/>
  <c r="O623" i="5"/>
  <c r="O2194" i="5"/>
  <c r="O381" i="5"/>
  <c r="O372" i="5"/>
  <c r="O146" i="5"/>
  <c r="O2172" i="5"/>
  <c r="O909" i="5"/>
  <c r="O147" i="5"/>
  <c r="O450" i="5"/>
  <c r="O790" i="5"/>
  <c r="O863" i="5"/>
  <c r="O2444" i="5"/>
  <c r="O2443" i="5"/>
  <c r="O826" i="5"/>
  <c r="O759" i="5"/>
  <c r="O448" i="5"/>
  <c r="O157" i="5"/>
  <c r="O156" i="5"/>
  <c r="O441" i="5"/>
  <c r="O558" i="5"/>
  <c r="O695" i="5"/>
  <c r="O2203" i="5"/>
  <c r="O827" i="5"/>
  <c r="O818" i="5"/>
  <c r="O2231" i="5"/>
  <c r="O698" i="5"/>
  <c r="O561" i="5"/>
  <c r="O446" i="5"/>
  <c r="O706" i="5"/>
  <c r="O541" i="5"/>
  <c r="O2440" i="5"/>
  <c r="O2455" i="5"/>
  <c r="O2260" i="5"/>
  <c r="O514" i="5"/>
  <c r="O2378" i="5"/>
  <c r="O2454" i="5"/>
  <c r="O583" i="5"/>
  <c r="O2433" i="5"/>
  <c r="O619" i="5"/>
  <c r="O658" i="5"/>
  <c r="O2503" i="5"/>
  <c r="O2495" i="5"/>
  <c r="O2471" i="5"/>
  <c r="O2476" i="5"/>
  <c r="O2217" i="5"/>
  <c r="O2210" i="5"/>
  <c r="O2316" i="5"/>
  <c r="O2358" i="5"/>
  <c r="O2415" i="5"/>
  <c r="O2452" i="5"/>
  <c r="O2207" i="5"/>
  <c r="O2421" i="5"/>
  <c r="O2285" i="5"/>
  <c r="O608" i="5"/>
  <c r="O593" i="5"/>
  <c r="O400" i="5"/>
  <c r="O396" i="5"/>
  <c r="O2373" i="5"/>
  <c r="O2251" i="5"/>
  <c r="O2174" i="5"/>
  <c r="O2157" i="5"/>
  <c r="O906" i="5"/>
  <c r="O922" i="5"/>
  <c r="O924" i="5"/>
  <c r="O2352" i="5"/>
  <c r="O848" i="5"/>
  <c r="O2153" i="5"/>
  <c r="O258" i="5"/>
  <c r="O259" i="5"/>
  <c r="O218" i="5"/>
  <c r="O219" i="5"/>
  <c r="O359" i="5"/>
  <c r="O358" i="5"/>
  <c r="O173" i="5"/>
  <c r="O168" i="5"/>
  <c r="O2365" i="5"/>
  <c r="O2370" i="5"/>
  <c r="O169" i="5"/>
  <c r="O172" i="5"/>
  <c r="O699" i="5"/>
  <c r="O676" i="5"/>
  <c r="O2374" i="5"/>
  <c r="O2409" i="5"/>
  <c r="O800" i="5"/>
  <c r="O691" i="5"/>
  <c r="O707" i="5"/>
  <c r="O533" i="5"/>
  <c r="O526" i="5"/>
  <c r="O2477" i="5"/>
  <c r="O2479" i="5"/>
  <c r="O407" i="5"/>
  <c r="O507" i="5"/>
  <c r="O2408" i="5"/>
  <c r="O2400" i="5"/>
  <c r="O501" i="5"/>
  <c r="O405" i="5"/>
  <c r="O2388" i="5"/>
  <c r="O772" i="5"/>
  <c r="O679" i="5"/>
  <c r="O680" i="5"/>
  <c r="O773" i="5"/>
  <c r="O2389" i="5"/>
  <c r="O329" i="5"/>
  <c r="O332" i="5"/>
  <c r="O273" i="5"/>
  <c r="O267" i="5"/>
  <c r="O268" i="5"/>
  <c r="O274" i="5"/>
  <c r="O227" i="5"/>
  <c r="O464" i="5"/>
  <c r="O466" i="5"/>
  <c r="O228" i="5"/>
  <c r="O322" i="5"/>
  <c r="O321" i="5"/>
  <c r="O617" i="5"/>
  <c r="O437" i="5"/>
  <c r="O440" i="5"/>
  <c r="O618" i="5"/>
  <c r="O234" i="5"/>
  <c r="O224" i="5"/>
  <c r="O490" i="5"/>
  <c r="O2290" i="5"/>
  <c r="O613" i="5"/>
  <c r="O562" i="5"/>
  <c r="O2295" i="5"/>
  <c r="O486" i="5"/>
  <c r="O206" i="5"/>
  <c r="O207" i="5"/>
  <c r="O465" i="5"/>
  <c r="O237" i="5"/>
  <c r="O433" i="5"/>
  <c r="O432" i="5"/>
  <c r="O236" i="5"/>
  <c r="O461" i="5"/>
  <c r="O879" i="5"/>
  <c r="O697" i="5"/>
  <c r="O2340" i="5"/>
  <c r="O625" i="5"/>
  <c r="O635" i="5"/>
  <c r="O2339" i="5"/>
  <c r="O670" i="5"/>
  <c r="O875" i="5"/>
  <c r="O586" i="5"/>
  <c r="O589" i="5"/>
  <c r="O2364" i="5"/>
  <c r="O2311" i="5"/>
  <c r="O884" i="5"/>
  <c r="O2396" i="5"/>
  <c r="O2466" i="5"/>
  <c r="O799" i="5"/>
  <c r="O794" i="5"/>
  <c r="O2417" i="5"/>
  <c r="O2351" i="5"/>
  <c r="O885" i="5"/>
  <c r="O2327" i="5"/>
  <c r="O2393" i="5"/>
  <c r="O397" i="5"/>
  <c r="O179" i="5"/>
  <c r="O342" i="5"/>
  <c r="O343" i="5"/>
  <c r="O178" i="5"/>
  <c r="O398" i="5"/>
  <c r="O247" i="5"/>
  <c r="O248" i="5"/>
  <c r="O2154" i="5"/>
  <c r="O913" i="5"/>
  <c r="O518" i="5"/>
  <c r="O522" i="5"/>
  <c r="O521" i="5"/>
  <c r="O515" i="5"/>
  <c r="O262" i="5"/>
  <c r="O295" i="5"/>
  <c r="O263" i="5"/>
  <c r="O269" i="5"/>
  <c r="O2518" i="5"/>
  <c r="O265" i="5"/>
  <c r="O2517" i="5"/>
  <c r="O323" i="5"/>
  <c r="O324" i="5"/>
  <c r="O312" i="5"/>
  <c r="O894" i="5"/>
  <c r="O2319" i="5"/>
  <c r="O534" i="5"/>
  <c r="O2185" i="5"/>
  <c r="O2197" i="5"/>
  <c r="O2186" i="5"/>
  <c r="O535" i="5"/>
  <c r="O2191" i="5"/>
  <c r="O786" i="5"/>
  <c r="O296" i="5"/>
  <c r="O862" i="5"/>
  <c r="O205" i="5"/>
  <c r="O204" i="5"/>
  <c r="O867" i="5"/>
  <c r="O508" i="5"/>
  <c r="O504" i="5"/>
  <c r="O404" i="5"/>
  <c r="O300" i="5"/>
  <c r="O302" i="5"/>
  <c r="O403" i="5"/>
  <c r="O731" i="5"/>
  <c r="O724" i="5"/>
  <c r="O384" i="5"/>
  <c r="O385" i="5"/>
  <c r="O2387" i="5"/>
  <c r="O2386" i="5"/>
  <c r="O480" i="5"/>
  <c r="O353" i="5"/>
  <c r="O229" i="5"/>
  <c r="O150" i="5"/>
  <c r="O151" i="5"/>
  <c r="O232" i="5"/>
  <c r="O354" i="5"/>
  <c r="O479" i="5"/>
  <c r="O377" i="5"/>
  <c r="O376" i="5"/>
  <c r="O716" i="5"/>
  <c r="O723" i="5"/>
  <c r="O2376" i="5"/>
  <c r="O2356" i="5"/>
  <c r="O2270" i="5"/>
  <c r="O2252" i="5"/>
  <c r="O430" i="5"/>
  <c r="O431" i="5"/>
  <c r="O2268" i="5"/>
  <c r="O2501" i="5"/>
  <c r="O2451" i="5"/>
  <c r="O2457" i="5"/>
  <c r="O2462" i="5"/>
  <c r="O722" i="5"/>
  <c r="O226" i="5"/>
  <c r="O225" i="5"/>
  <c r="O705" i="5"/>
  <c r="O2460" i="5"/>
  <c r="O2456" i="5"/>
  <c r="O2450" i="5"/>
  <c r="O2502" i="5"/>
  <c r="O2221" i="5"/>
  <c r="O2379" i="5"/>
  <c r="O2381" i="5"/>
  <c r="O339" i="5"/>
  <c r="O349" i="5"/>
  <c r="O350" i="5"/>
  <c r="O338" i="5"/>
  <c r="O2271" i="5"/>
  <c r="O2280" i="5"/>
  <c r="O413" i="5"/>
  <c r="O414" i="5"/>
  <c r="O814" i="5"/>
  <c r="O596" i="5"/>
  <c r="O284" i="5"/>
  <c r="O231" i="5"/>
  <c r="O230" i="5"/>
  <c r="O283" i="5"/>
  <c r="O782" i="5"/>
  <c r="O784" i="5"/>
  <c r="O674" i="5"/>
  <c r="O675" i="5"/>
  <c r="O2333" i="5"/>
  <c r="O2334" i="5"/>
  <c r="O2343" i="5"/>
  <c r="O2355" i="5"/>
  <c r="O582" i="5"/>
  <c r="O581" i="5"/>
  <c r="O647" i="5"/>
  <c r="O648" i="5"/>
  <c r="O770" i="5"/>
  <c r="O2401" i="5"/>
  <c r="O841" i="5"/>
  <c r="O2272" i="5"/>
  <c r="O2519" i="5"/>
  <c r="O808" i="5"/>
  <c r="O768" i="5"/>
  <c r="O754" i="5"/>
  <c r="O606" i="5"/>
  <c r="O573" i="5"/>
  <c r="O545" i="5"/>
  <c r="O791" i="5"/>
  <c r="O690" i="5"/>
  <c r="O563" i="5"/>
  <c r="O564" i="5"/>
  <c r="O771" i="5"/>
  <c r="O751" i="5"/>
  <c r="O2420" i="5"/>
  <c r="O890" i="5"/>
  <c r="O871" i="5"/>
  <c r="O2324" i="5"/>
  <c r="O2296" i="5"/>
  <c r="O2349" i="5"/>
  <c r="O2434" i="5"/>
  <c r="O2483" i="5"/>
  <c r="O2350" i="5"/>
  <c r="O2306" i="5"/>
  <c r="O201" i="5"/>
  <c r="O243" i="5"/>
  <c r="O537" i="5"/>
  <c r="O439" i="5"/>
  <c r="O330" i="5"/>
  <c r="O2368" i="5"/>
  <c r="O2487" i="5"/>
  <c r="O331" i="5"/>
  <c r="O438" i="5"/>
  <c r="O536" i="5"/>
  <c r="O242" i="5"/>
  <c r="O200" i="5"/>
  <c r="O496" i="5"/>
  <c r="O688" i="5"/>
  <c r="O176" i="5"/>
  <c r="O177" i="5"/>
  <c r="O689" i="5"/>
  <c r="O495" i="5"/>
  <c r="O649" i="5"/>
  <c r="O174" i="5"/>
  <c r="O175" i="5"/>
  <c r="O652" i="5"/>
  <c r="O636" i="5"/>
  <c r="O417" i="5"/>
  <c r="O481" i="5"/>
  <c r="O918" i="5"/>
  <c r="O839" i="5"/>
  <c r="O813" i="5"/>
  <c r="O804" i="5"/>
  <c r="O853" i="5"/>
  <c r="O2204" i="5"/>
  <c r="O2162" i="5"/>
  <c r="O895" i="5"/>
  <c r="O828" i="5"/>
  <c r="O778" i="5"/>
  <c r="O825" i="5"/>
  <c r="O849" i="5"/>
  <c r="O921" i="5"/>
  <c r="O485" i="5"/>
  <c r="O420" i="5"/>
  <c r="O637" i="5"/>
  <c r="O154" i="5"/>
  <c r="O216" i="5"/>
  <c r="O215" i="5"/>
  <c r="O155" i="5"/>
  <c r="O473" i="5"/>
  <c r="O250" i="5"/>
  <c r="O245" i="5"/>
  <c r="O244" i="5"/>
  <c r="O246" i="5"/>
  <c r="O472" i="5"/>
  <c r="O2470" i="5"/>
  <c r="O911" i="5"/>
  <c r="O2317" i="5"/>
  <c r="O2322" i="5"/>
  <c r="O2179" i="5"/>
  <c r="O852" i="5"/>
  <c r="O579" i="5"/>
  <c r="O726" i="5"/>
  <c r="O665" i="5"/>
  <c r="O854" i="5"/>
  <c r="O2411" i="5"/>
  <c r="O2414" i="5"/>
  <c r="O880" i="5"/>
  <c r="O671" i="5"/>
  <c r="O727" i="5"/>
  <c r="O588" i="5"/>
  <c r="O855" i="5"/>
  <c r="O2222" i="5"/>
  <c r="O2336" i="5"/>
  <c r="O904" i="5"/>
  <c r="O2504" i="5"/>
  <c r="O2256" i="5"/>
  <c r="O2243" i="5"/>
  <c r="O681" i="5"/>
  <c r="O687" i="5"/>
  <c r="O2437" i="5"/>
  <c r="O2438" i="5"/>
  <c r="O371" i="5"/>
  <c r="O639" i="5"/>
  <c r="O640" i="5"/>
  <c r="O370" i="5"/>
  <c r="O2167" i="5"/>
  <c r="O2166" i="5"/>
  <c r="O572" i="5"/>
  <c r="O888" i="5"/>
  <c r="O889" i="5"/>
  <c r="O569" i="5"/>
  <c r="O548" i="5"/>
  <c r="O549" i="5"/>
  <c r="O287" i="5"/>
  <c r="O285" i="5"/>
  <c r="O289" i="5"/>
  <c r="O290" i="5"/>
  <c r="O318" i="5"/>
  <c r="O2303" i="5"/>
  <c r="O2436" i="5"/>
  <c r="O279" i="5"/>
  <c r="O281" i="5"/>
  <c r="O2485" i="5"/>
  <c r="O2323" i="5"/>
  <c r="O315" i="5"/>
  <c r="O362" i="5"/>
  <c r="O319" i="5"/>
  <c r="O408" i="5"/>
  <c r="O742" i="5"/>
  <c r="O713" i="5"/>
  <c r="O390" i="5"/>
  <c r="O307" i="5"/>
  <c r="O363" i="5"/>
  <c r="O2258" i="5"/>
  <c r="O2259" i="5"/>
  <c r="O291" i="5"/>
  <c r="O292" i="5"/>
  <c r="O2216" i="5"/>
  <c r="O2165" i="5"/>
  <c r="O2227" i="5"/>
  <c r="O2205" i="5"/>
  <c r="O2169" i="5"/>
  <c r="O2233" i="5"/>
  <c r="O628" i="5"/>
  <c r="O595" i="5"/>
  <c r="O599" i="5"/>
  <c r="O641" i="5"/>
  <c r="O2187" i="5"/>
  <c r="O2276" i="5"/>
  <c r="O2277" i="5"/>
  <c r="O2189" i="5"/>
  <c r="O2467" i="5"/>
  <c r="O2512" i="5"/>
  <c r="O898" i="5"/>
  <c r="O870" i="5"/>
  <c r="O2331" i="5"/>
  <c r="O2312" i="5"/>
  <c r="O669" i="5"/>
  <c r="O2326" i="5"/>
  <c r="O664" i="5"/>
  <c r="O2289" i="5"/>
  <c r="O745" i="5"/>
  <c r="O523" i="5"/>
  <c r="O524" i="5"/>
  <c r="O755" i="5"/>
  <c r="O374" i="5"/>
  <c r="O375" i="5"/>
  <c r="O2499" i="5"/>
  <c r="O556" i="5"/>
  <c r="O260" i="5"/>
  <c r="O261" i="5"/>
  <c r="O557" i="5"/>
  <c r="O2498" i="5"/>
  <c r="O2463" i="5"/>
  <c r="O2464" i="5"/>
  <c r="O297" i="5"/>
  <c r="O301" i="5"/>
  <c r="O209" i="5"/>
  <c r="O148" i="5"/>
  <c r="O149" i="5"/>
  <c r="O208" i="5"/>
  <c r="R2362" i="5" l="1"/>
  <c r="R2184" i="5"/>
  <c r="R286" i="5"/>
  <c r="R2237" i="5"/>
  <c r="R2436" i="5"/>
  <c r="R895" i="5"/>
  <c r="R481" i="5"/>
  <c r="R438" i="5"/>
  <c r="R201" i="5"/>
  <c r="R871" i="5"/>
  <c r="R791" i="5"/>
  <c r="R2272" i="5"/>
  <c r="R2355" i="5"/>
  <c r="R283" i="5"/>
  <c r="R2280" i="5"/>
  <c r="R2221" i="5"/>
  <c r="R722" i="5"/>
  <c r="R2252" i="5"/>
  <c r="R479" i="5"/>
  <c r="R2386" i="5"/>
  <c r="R300" i="5"/>
  <c r="R296" i="5"/>
  <c r="R2319" i="5"/>
  <c r="R269" i="5"/>
  <c r="R913" i="5"/>
  <c r="R179" i="5"/>
  <c r="R799" i="5"/>
  <c r="R875" i="5"/>
  <c r="R461" i="5"/>
  <c r="R486" i="5"/>
  <c r="R618" i="5"/>
  <c r="R464" i="5"/>
  <c r="R2389" i="5"/>
  <c r="R2400" i="5"/>
  <c r="R707" i="5"/>
  <c r="R169" i="5"/>
  <c r="R218" i="5"/>
  <c r="R906" i="5"/>
  <c r="R608" i="5"/>
  <c r="R2210" i="5"/>
  <c r="R2433" i="5"/>
  <c r="R541" i="5"/>
  <c r="R2203" i="5"/>
  <c r="R826" i="5"/>
  <c r="R2172" i="5"/>
  <c r="R277" i="5"/>
  <c r="R774" i="5"/>
  <c r="R2229" i="5"/>
  <c r="R532" i="5"/>
  <c r="R2218" i="5"/>
  <c r="R806" i="5"/>
  <c r="R244" i="5"/>
  <c r="R664" i="5"/>
  <c r="R852" i="5"/>
  <c r="R291" i="5"/>
  <c r="R671" i="5"/>
  <c r="R689" i="5"/>
  <c r="R2499" i="5"/>
  <c r="R408" i="5"/>
  <c r="R2256" i="5"/>
  <c r="R637" i="5"/>
  <c r="R628" i="5"/>
  <c r="R640" i="5"/>
  <c r="R297" i="5"/>
  <c r="R2467" i="5"/>
  <c r="R548" i="5"/>
  <c r="R209" i="5"/>
  <c r="R260" i="5"/>
  <c r="R745" i="5"/>
  <c r="R898" i="5"/>
  <c r="R599" i="5"/>
  <c r="R2216" i="5"/>
  <c r="R713" i="5"/>
  <c r="R281" i="5"/>
  <c r="R287" i="5"/>
  <c r="R2167" i="5"/>
  <c r="R681" i="5"/>
  <c r="R588" i="5"/>
  <c r="R726" i="5"/>
  <c r="R472" i="5"/>
  <c r="R216" i="5"/>
  <c r="R778" i="5"/>
  <c r="R839" i="5"/>
  <c r="R649" i="5"/>
  <c r="R242" i="5"/>
  <c r="R537" i="5"/>
  <c r="R2296" i="5"/>
  <c r="R563" i="5"/>
  <c r="R808" i="5"/>
  <c r="R581" i="5"/>
  <c r="R784" i="5"/>
  <c r="R414" i="5"/>
  <c r="R2381" i="5"/>
  <c r="R357" i="5"/>
  <c r="R391" i="5"/>
  <c r="R233" i="5"/>
  <c r="R615" i="5"/>
  <c r="R668" i="5"/>
  <c r="R497" i="5"/>
  <c r="R678" i="5"/>
  <c r="R580" i="5"/>
  <c r="R164" i="5"/>
  <c r="R474" i="5"/>
  <c r="R2399" i="5"/>
  <c r="R842" i="5"/>
  <c r="R2432" i="5"/>
  <c r="R257" i="5"/>
  <c r="R2335" i="5"/>
  <c r="R419" i="5"/>
  <c r="R2413" i="5"/>
  <c r="R317" i="5"/>
  <c r="R711" i="5"/>
  <c r="R747" i="5"/>
  <c r="R769" i="5"/>
  <c r="R587" i="5"/>
  <c r="R239" i="5"/>
  <c r="R145" i="5"/>
  <c r="R361" i="5"/>
  <c r="R733" i="5"/>
  <c r="R719" i="5"/>
  <c r="R712" i="5"/>
  <c r="R746" i="5"/>
  <c r="R2209" i="5"/>
  <c r="R600" i="5"/>
  <c r="R489" i="5"/>
  <c r="R833" i="5"/>
  <c r="R166" i="5"/>
  <c r="R654" i="5"/>
  <c r="R394" i="5"/>
  <c r="R2480" i="5"/>
  <c r="R2300" i="5"/>
  <c r="R421" i="5"/>
  <c r="R2240" i="5"/>
  <c r="R2453" i="5"/>
  <c r="R798" i="5"/>
  <c r="R316" i="5"/>
  <c r="R865" i="5"/>
  <c r="R424" i="5"/>
  <c r="R452" i="5"/>
  <c r="R730" i="5"/>
  <c r="R915" i="5"/>
  <c r="R2428" i="5"/>
  <c r="R191" i="5"/>
  <c r="R2257" i="5"/>
  <c r="R2149" i="5"/>
  <c r="R2304" i="5"/>
  <c r="R2506" i="5"/>
  <c r="R820" i="5"/>
  <c r="R2230" i="5"/>
  <c r="R567" i="5"/>
  <c r="R512" i="5"/>
  <c r="R544" i="5"/>
  <c r="R761" i="5"/>
  <c r="R631" i="5"/>
  <c r="R213" i="5"/>
  <c r="R197" i="5"/>
  <c r="R427" i="5"/>
  <c r="R410" i="5"/>
  <c r="R453" i="5"/>
  <c r="R468" i="5"/>
  <c r="R476" i="5"/>
  <c r="R333" i="5"/>
  <c r="R585" i="5"/>
  <c r="R162" i="5"/>
  <c r="R715" i="5"/>
  <c r="R550" i="5"/>
  <c r="R2291" i="5"/>
  <c r="R2211" i="5"/>
  <c r="R2505" i="5"/>
  <c r="R851" i="5"/>
  <c r="R387" i="5"/>
  <c r="R896" i="5"/>
  <c r="R2158" i="5"/>
  <c r="R2427" i="5"/>
  <c r="R2337" i="5"/>
  <c r="R208" i="5"/>
  <c r="R2498" i="5"/>
  <c r="R755" i="5"/>
  <c r="R2312" i="5"/>
  <c r="R2276" i="5"/>
  <c r="R2205" i="5"/>
  <c r="R363" i="5"/>
  <c r="R315" i="5"/>
  <c r="R290" i="5"/>
  <c r="R888" i="5"/>
  <c r="R2438" i="5"/>
  <c r="R2336" i="5"/>
  <c r="R2411" i="5"/>
  <c r="R2317" i="5"/>
  <c r="R473" i="5"/>
  <c r="R921" i="5"/>
  <c r="R853" i="5"/>
  <c r="R652" i="5"/>
  <c r="R688" i="5"/>
  <c r="R2368" i="5"/>
  <c r="R2483" i="5"/>
  <c r="R751" i="5"/>
  <c r="R606" i="5"/>
  <c r="R770" i="5"/>
  <c r="R2333" i="5"/>
  <c r="R284" i="5"/>
  <c r="R350" i="5"/>
  <c r="R2456" i="5"/>
  <c r="R2451" i="5"/>
  <c r="R2376" i="5"/>
  <c r="R151" i="5"/>
  <c r="R384" i="5"/>
  <c r="R508" i="5"/>
  <c r="R535" i="5"/>
  <c r="R324" i="5"/>
  <c r="R262" i="5"/>
  <c r="R247" i="5"/>
  <c r="R155" i="5"/>
  <c r="R804" i="5"/>
  <c r="R175" i="5"/>
  <c r="R496" i="5"/>
  <c r="R330" i="5"/>
  <c r="R2434" i="5"/>
  <c r="R771" i="5"/>
  <c r="R754" i="5"/>
  <c r="R648" i="5"/>
  <c r="R675" i="5"/>
  <c r="R596" i="5"/>
  <c r="R349" i="5"/>
  <c r="R2460" i="5"/>
  <c r="R2501" i="5"/>
  <c r="R723" i="5"/>
  <c r="R150" i="5"/>
  <c r="R724" i="5"/>
  <c r="R867" i="5"/>
  <c r="R2186" i="5"/>
  <c r="R323" i="5"/>
  <c r="R515" i="5"/>
  <c r="R398" i="5"/>
  <c r="R885" i="5"/>
  <c r="R2311" i="5"/>
  <c r="R625" i="5"/>
  <c r="R237" i="5"/>
  <c r="R2290" i="5"/>
  <c r="R321" i="5"/>
  <c r="R267" i="5"/>
  <c r="R772" i="5"/>
  <c r="R2479" i="5"/>
  <c r="R2374" i="5"/>
  <c r="R173" i="5"/>
  <c r="R848" i="5"/>
  <c r="R2373" i="5"/>
  <c r="R2452" i="5"/>
  <c r="R2495" i="5"/>
  <c r="R514" i="5"/>
  <c r="R698" i="5"/>
  <c r="R156" i="5"/>
  <c r="R790" i="5"/>
  <c r="R2194" i="5"/>
  <c r="R897" i="5"/>
  <c r="R392" i="5"/>
  <c r="R849" i="5"/>
  <c r="R475" i="5"/>
  <c r="R388" i="5"/>
  <c r="R646" i="5"/>
  <c r="R2383" i="5"/>
  <c r="R282" i="5"/>
  <c r="R348" i="5"/>
  <c r="R609" i="5"/>
  <c r="R630" i="5"/>
  <c r="R445" i="5"/>
  <c r="R797" i="5"/>
  <c r="R721" i="5"/>
  <c r="R2202" i="5"/>
  <c r="R311" i="5"/>
  <c r="R2435" i="5"/>
  <c r="R2178" i="5"/>
  <c r="R309" i="5"/>
  <c r="R2404" i="5"/>
  <c r="R266" i="5"/>
  <c r="R832" i="5"/>
  <c r="R2353" i="5"/>
  <c r="R223" i="5"/>
  <c r="R165" i="5"/>
  <c r="R185" i="5"/>
  <c r="R683" i="5"/>
  <c r="R2294" i="5"/>
  <c r="R2275" i="5"/>
  <c r="R346" i="5"/>
  <c r="R399" i="5"/>
  <c r="R502" i="5"/>
  <c r="R336" i="5"/>
  <c r="R822" i="5"/>
  <c r="R812" i="5"/>
  <c r="R2265" i="5"/>
  <c r="R2521" i="5"/>
  <c r="R597" i="5"/>
  <c r="R2320" i="5"/>
  <c r="R2481" i="5"/>
  <c r="R293" i="5"/>
  <c r="R656" i="5"/>
  <c r="R193" i="5"/>
  <c r="R2508" i="5"/>
  <c r="R2224" i="5"/>
  <c r="R2430" i="5"/>
  <c r="R892" i="5"/>
  <c r="R605" i="5"/>
  <c r="R299" i="5"/>
  <c r="R276" i="5"/>
  <c r="R638" i="5"/>
  <c r="R843" i="5"/>
  <c r="R2150" i="5"/>
  <c r="R781" i="5"/>
  <c r="R2246" i="5"/>
  <c r="R634" i="5"/>
  <c r="R616" i="5"/>
  <c r="R653" i="5"/>
  <c r="R2305" i="5"/>
  <c r="R869" i="5"/>
  <c r="R780" i="5"/>
  <c r="R677" i="5"/>
  <c r="R2359" i="5"/>
  <c r="R516" i="5"/>
  <c r="R540" i="5"/>
  <c r="R555" i="5"/>
  <c r="R787" i="5"/>
  <c r="R785" i="5"/>
  <c r="R530" i="5"/>
  <c r="R2429" i="5"/>
  <c r="R753" i="5"/>
  <c r="R411" i="5"/>
  <c r="R802" i="5"/>
  <c r="R542" i="5"/>
  <c r="R642" i="5"/>
  <c r="R368" i="5"/>
  <c r="R2447" i="5"/>
  <c r="R454" i="5"/>
  <c r="R222" i="5"/>
  <c r="R2441" i="5"/>
  <c r="R749" i="5"/>
  <c r="R2391" i="5"/>
  <c r="R554" i="5"/>
  <c r="R2497" i="5"/>
  <c r="R917" i="5"/>
  <c r="R685" i="5"/>
  <c r="R2478" i="5"/>
  <c r="R2329" i="5"/>
  <c r="R225" i="5"/>
  <c r="R431" i="5"/>
  <c r="R376" i="5"/>
  <c r="R353" i="5"/>
  <c r="R403" i="5"/>
  <c r="R205" i="5"/>
  <c r="R2185" i="5"/>
  <c r="R265" i="5"/>
  <c r="R522" i="5"/>
  <c r="R343" i="5"/>
  <c r="R2417" i="5"/>
  <c r="R589" i="5"/>
  <c r="R697" i="5"/>
  <c r="R207" i="5"/>
  <c r="R224" i="5"/>
  <c r="R228" i="5"/>
  <c r="R332" i="5"/>
  <c r="R405" i="5"/>
  <c r="R526" i="5"/>
  <c r="R699" i="5"/>
  <c r="R359" i="5"/>
  <c r="R924" i="5"/>
  <c r="R400" i="5"/>
  <c r="R2358" i="5"/>
  <c r="R658" i="5"/>
  <c r="R2455" i="5"/>
  <c r="R818" i="5"/>
  <c r="R448" i="5"/>
  <c r="R147" i="5"/>
  <c r="R255" i="5"/>
  <c r="R2278" i="5"/>
  <c r="R2360" i="5"/>
  <c r="R2310" i="5"/>
  <c r="R765" i="5"/>
  <c r="R612" i="5"/>
  <c r="C6" i="6"/>
  <c r="R149" i="5"/>
  <c r="R557" i="5"/>
  <c r="R2331" i="5"/>
  <c r="R2227" i="5"/>
  <c r="R307" i="5"/>
  <c r="R289" i="5"/>
  <c r="R2437" i="5"/>
  <c r="R854" i="5"/>
  <c r="R911" i="5"/>
  <c r="R524" i="5"/>
  <c r="R2187" i="5"/>
  <c r="R2323" i="5"/>
  <c r="R572" i="5"/>
  <c r="R2222" i="5"/>
  <c r="R148" i="5"/>
  <c r="R261" i="5"/>
  <c r="R523" i="5"/>
  <c r="R870" i="5"/>
  <c r="R641" i="5"/>
  <c r="R2165" i="5"/>
  <c r="R390" i="5"/>
  <c r="R2485" i="5"/>
  <c r="R285" i="5"/>
  <c r="R2166" i="5"/>
  <c r="R687" i="5"/>
  <c r="R855" i="5"/>
  <c r="R665" i="5"/>
  <c r="R2470" i="5"/>
  <c r="R215" i="5"/>
  <c r="R825" i="5"/>
  <c r="R813" i="5"/>
  <c r="R174" i="5"/>
  <c r="R200" i="5"/>
  <c r="R439" i="5"/>
  <c r="R2349" i="5"/>
  <c r="R564" i="5"/>
  <c r="R768" i="5"/>
  <c r="R647" i="5"/>
  <c r="R674" i="5"/>
  <c r="R814" i="5"/>
  <c r="R339" i="5"/>
  <c r="R705" i="5"/>
  <c r="R2268" i="5"/>
  <c r="R716" i="5"/>
  <c r="R229" i="5"/>
  <c r="R731" i="5"/>
  <c r="R204" i="5"/>
  <c r="R2197" i="5"/>
  <c r="R2517" i="5"/>
  <c r="R521" i="5"/>
  <c r="R178" i="5"/>
  <c r="R2351" i="5"/>
  <c r="R2364" i="5"/>
  <c r="R2340" i="5"/>
  <c r="R465" i="5"/>
  <c r="R490" i="5"/>
  <c r="R322" i="5"/>
  <c r="R273" i="5"/>
  <c r="R2388" i="5"/>
  <c r="R2477" i="5"/>
  <c r="R676" i="5"/>
  <c r="R358" i="5"/>
  <c r="R2352" i="5"/>
  <c r="R396" i="5"/>
  <c r="R2415" i="5"/>
  <c r="R2503" i="5"/>
  <c r="R2260" i="5"/>
  <c r="R2231" i="5"/>
  <c r="R157" i="5"/>
  <c r="R450" i="5"/>
  <c r="R623" i="5"/>
  <c r="R835" i="5"/>
  <c r="R2241" i="5"/>
  <c r="R574" i="5"/>
  <c r="R2250" i="5"/>
  <c r="R829" i="5"/>
  <c r="R355" i="5"/>
  <c r="R2215" i="5"/>
  <c r="R590" i="5"/>
  <c r="R614" i="5"/>
  <c r="R657" i="5"/>
  <c r="R499" i="5"/>
  <c r="R2181" i="5"/>
  <c r="R775" i="5"/>
  <c r="R184" i="5"/>
  <c r="R186" i="5"/>
  <c r="R2301" i="5"/>
  <c r="R2371" i="5"/>
  <c r="R2314" i="5"/>
  <c r="R256" i="5"/>
  <c r="R2418" i="5"/>
  <c r="R2354" i="5"/>
  <c r="R2279" i="5"/>
  <c r="R187" i="5"/>
  <c r="R2176" i="5"/>
  <c r="R803" i="5"/>
  <c r="R783" i="5"/>
  <c r="R2293" i="5"/>
  <c r="R240" i="5"/>
  <c r="R144" i="5"/>
  <c r="R351" i="5"/>
  <c r="R313" i="5"/>
  <c r="R344" i="5"/>
  <c r="R2341" i="5"/>
  <c r="R809" i="5"/>
  <c r="R714" i="5"/>
  <c r="R494" i="5"/>
  <c r="R2520" i="5"/>
  <c r="R2208" i="5"/>
  <c r="R2473" i="5"/>
  <c r="R627" i="5"/>
  <c r="R629" i="5"/>
  <c r="R2472" i="5"/>
  <c r="R2514" i="5"/>
  <c r="R305" i="5"/>
  <c r="R2489" i="5"/>
  <c r="R2253" i="5"/>
  <c r="R482" i="5"/>
  <c r="R202" i="5"/>
  <c r="R160" i="5"/>
  <c r="R763" i="5"/>
  <c r="R559" i="5"/>
  <c r="R2180" i="5"/>
  <c r="R758" i="5"/>
  <c r="R900" i="5"/>
  <c r="R2395" i="5"/>
  <c r="R840" i="5"/>
  <c r="R905" i="5"/>
  <c r="R2302" i="5"/>
  <c r="R2445" i="5"/>
  <c r="R805" i="5"/>
  <c r="R729" i="5"/>
  <c r="R757" i="5"/>
  <c r="R553" i="5"/>
  <c r="R506" i="5"/>
  <c r="R577" i="5"/>
  <c r="R701" i="5"/>
  <c r="R777" i="5"/>
  <c r="R203" i="5"/>
  <c r="R2492" i="5"/>
  <c r="R451" i="5"/>
  <c r="R337" i="5"/>
  <c r="R864" i="5"/>
  <c r="R767" i="5"/>
  <c r="R360" i="5"/>
  <c r="R643" i="5"/>
  <c r="R163" i="5"/>
  <c r="R470" i="5"/>
  <c r="R220" i="5"/>
  <c r="R2431" i="5"/>
  <c r="R916" i="5"/>
  <c r="R539" i="5"/>
  <c r="R511" i="5"/>
  <c r="R2152" i="5"/>
  <c r="R874" i="5"/>
  <c r="R386" i="5"/>
  <c r="R2458" i="5"/>
  <c r="R2398" i="5"/>
  <c r="R670" i="5"/>
  <c r="R236" i="5"/>
  <c r="R2295" i="5"/>
  <c r="R440" i="5"/>
  <c r="R227" i="5"/>
  <c r="R773" i="5"/>
  <c r="R2408" i="5"/>
  <c r="R691" i="5"/>
  <c r="R2370" i="5"/>
  <c r="R259" i="5"/>
  <c r="R2157" i="5"/>
  <c r="R2285" i="5"/>
  <c r="R2217" i="5"/>
  <c r="R583" i="5"/>
  <c r="R706" i="5"/>
  <c r="R695" i="5"/>
  <c r="R2443" i="5"/>
  <c r="R146" i="5"/>
  <c r="R254" i="5"/>
  <c r="R710" i="5"/>
  <c r="R425" i="5"/>
  <c r="R457" i="5"/>
  <c r="R380" i="5"/>
  <c r="R919" i="5"/>
  <c r="R2406" i="5"/>
  <c r="R2159" i="5"/>
  <c r="R2412" i="5"/>
  <c r="R2464" i="5"/>
  <c r="R375" i="5"/>
  <c r="R2326" i="5"/>
  <c r="R2189" i="5"/>
  <c r="R2233" i="5"/>
  <c r="R2259" i="5"/>
  <c r="R319" i="5"/>
  <c r="R2303" i="5"/>
  <c r="R569" i="5"/>
  <c r="R639" i="5"/>
  <c r="R2504" i="5"/>
  <c r="R880" i="5"/>
  <c r="R2179" i="5"/>
  <c r="R245" i="5"/>
  <c r="R420" i="5"/>
  <c r="R2162" i="5"/>
  <c r="R417" i="5"/>
  <c r="R177" i="5"/>
  <c r="R331" i="5"/>
  <c r="R2306" i="5"/>
  <c r="R890" i="5"/>
  <c r="R545" i="5"/>
  <c r="R841" i="5"/>
  <c r="R2343" i="5"/>
  <c r="R230" i="5"/>
  <c r="R2271" i="5"/>
  <c r="R2502" i="5"/>
  <c r="R2462" i="5"/>
  <c r="R2270" i="5"/>
  <c r="R354" i="5"/>
  <c r="R2387" i="5"/>
  <c r="R2463" i="5"/>
  <c r="R374" i="5"/>
  <c r="R669" i="5"/>
  <c r="R2277" i="5"/>
  <c r="R2169" i="5"/>
  <c r="R2258" i="5"/>
  <c r="R362" i="5"/>
  <c r="R404" i="5"/>
  <c r="R786" i="5"/>
  <c r="R894" i="5"/>
  <c r="R263" i="5"/>
  <c r="R2154" i="5"/>
  <c r="R397" i="5"/>
  <c r="R2466" i="5"/>
  <c r="R352" i="5"/>
  <c r="R235" i="5"/>
  <c r="R510" i="5"/>
  <c r="R673" i="5"/>
  <c r="R792" i="5"/>
  <c r="R2264" i="5"/>
  <c r="R2220" i="5"/>
  <c r="R816" i="5"/>
  <c r="R2155" i="5"/>
  <c r="R2357" i="5"/>
  <c r="R2168" i="5"/>
  <c r="R718" i="5"/>
  <c r="R644" i="5"/>
  <c r="R2163" i="5"/>
  <c r="R2380" i="5"/>
  <c r="R2188" i="5"/>
  <c r="R836" i="5"/>
  <c r="R811" i="5"/>
  <c r="R2219" i="5"/>
  <c r="R434" i="5"/>
  <c r="R2249" i="5"/>
  <c r="R547" i="5"/>
  <c r="R717" i="5"/>
  <c r="R503" i="5"/>
  <c r="R487" i="5"/>
  <c r="R692" i="5"/>
  <c r="R903" i="5"/>
  <c r="R2282" i="5"/>
  <c r="R610" i="5"/>
  <c r="R365" i="5"/>
  <c r="R566" i="5"/>
  <c r="R817" i="5"/>
  <c r="R198" i="5"/>
  <c r="R632" i="5"/>
  <c r="R436" i="5"/>
  <c r="R241" i="5"/>
  <c r="R2262" i="5"/>
  <c r="R2223" i="5"/>
  <c r="R2474" i="5"/>
  <c r="R2192" i="5"/>
  <c r="R275" i="5"/>
  <c r="R298" i="5"/>
  <c r="R788" i="5"/>
  <c r="R624" i="5"/>
  <c r="R2468" i="5"/>
  <c r="R449" i="5"/>
  <c r="R2283" i="5"/>
  <c r="R455" i="5"/>
  <c r="R830" i="5"/>
  <c r="R789" i="5"/>
  <c r="R2318" i="5"/>
  <c r="R2511" i="5"/>
  <c r="R2299" i="5"/>
  <c r="R650" i="5"/>
  <c r="R2248" i="5"/>
  <c r="R484" i="5"/>
  <c r="R428" i="5"/>
  <c r="R491" i="5"/>
  <c r="R866" i="5"/>
  <c r="R2214" i="5"/>
  <c r="R182" i="5"/>
  <c r="R426" i="5"/>
  <c r="R876" i="5"/>
  <c r="R341" i="5"/>
  <c r="R594" i="5"/>
  <c r="R334" i="5"/>
  <c r="R378" i="5"/>
  <c r="R2465" i="5"/>
  <c r="R2486" i="5"/>
  <c r="R195" i="5"/>
  <c r="R459" i="5"/>
  <c r="R272" i="5"/>
  <c r="R2509" i="5"/>
  <c r="R546" i="5"/>
  <c r="R856" i="5"/>
  <c r="R2461" i="5"/>
  <c r="R2196" i="5"/>
  <c r="R881" i="5"/>
  <c r="R318" i="5"/>
  <c r="R889" i="5"/>
  <c r="R371" i="5"/>
  <c r="R904" i="5"/>
  <c r="R2414" i="5"/>
  <c r="R2322" i="5"/>
  <c r="R250" i="5"/>
  <c r="R485" i="5"/>
  <c r="R2204" i="5"/>
  <c r="R636" i="5"/>
  <c r="R176" i="5"/>
  <c r="R2487" i="5"/>
  <c r="R2350" i="5"/>
  <c r="R2420" i="5"/>
  <c r="R573" i="5"/>
  <c r="R2401" i="5"/>
  <c r="R2334" i="5"/>
  <c r="R231" i="5"/>
  <c r="R338" i="5"/>
  <c r="R2450" i="5"/>
  <c r="R2457" i="5"/>
  <c r="R2356" i="5"/>
  <c r="R232" i="5"/>
  <c r="R385" i="5"/>
  <c r="R504" i="5"/>
  <c r="R2191" i="5"/>
  <c r="R312" i="5"/>
  <c r="R295" i="5"/>
  <c r="R248" i="5"/>
  <c r="R2393" i="5"/>
  <c r="R2396" i="5"/>
  <c r="R2339" i="5"/>
  <c r="R432" i="5"/>
  <c r="R562" i="5"/>
  <c r="R437" i="5"/>
  <c r="R274" i="5"/>
  <c r="R680" i="5"/>
  <c r="R507" i="5"/>
  <c r="R800" i="5"/>
  <c r="R2365" i="5"/>
  <c r="R258" i="5"/>
  <c r="R2174" i="5"/>
  <c r="R2421" i="5"/>
  <c r="R2476" i="5"/>
  <c r="R2454" i="5"/>
  <c r="R446" i="5"/>
  <c r="R558" i="5"/>
  <c r="R2444" i="5"/>
  <c r="R810" i="5"/>
  <c r="R2292" i="5"/>
  <c r="R626" i="5"/>
  <c r="R591" i="5"/>
  <c r="R2170" i="5"/>
  <c r="R2225" i="5"/>
  <c r="R2342" i="5"/>
  <c r="R655" i="5"/>
  <c r="R744" i="5"/>
  <c r="R739" i="5"/>
  <c r="R779" i="5"/>
  <c r="R435" i="5"/>
  <c r="R815" i="5"/>
  <c r="R170" i="5"/>
  <c r="R2274" i="5"/>
  <c r="R2491" i="5"/>
  <c r="R415" i="5"/>
  <c r="R214" i="5"/>
  <c r="R383" i="5"/>
  <c r="R844" i="5"/>
  <c r="R682" i="5"/>
  <c r="R152" i="5"/>
  <c r="R793" i="5"/>
  <c r="R735" i="5"/>
  <c r="R2348" i="5"/>
  <c r="R2286" i="5"/>
  <c r="R2193" i="5"/>
  <c r="R743" i="5"/>
  <c r="R696" i="5"/>
  <c r="R2245" i="5"/>
  <c r="R709" i="5"/>
  <c r="R838" i="5"/>
  <c r="R2255" i="5"/>
  <c r="R2183" i="5"/>
  <c r="R923" i="5"/>
  <c r="R303" i="5"/>
  <c r="R429" i="5"/>
  <c r="R920" i="5"/>
  <c r="R2242" i="5"/>
  <c r="R314" i="5"/>
  <c r="R488" i="5"/>
  <c r="R667" i="5"/>
  <c r="R703" i="5"/>
  <c r="R2281" i="5"/>
  <c r="R2199" i="5"/>
  <c r="R694" i="5"/>
  <c r="R366" i="5"/>
  <c r="R2235" i="5"/>
  <c r="R158" i="5"/>
  <c r="R393" i="5"/>
  <c r="R603" i="5"/>
  <c r="R167" i="5"/>
  <c r="R693" i="5"/>
  <c r="R304" i="5"/>
  <c r="R2239" i="5"/>
  <c r="R2516" i="5"/>
  <c r="R161" i="5"/>
  <c r="R196" i="5"/>
  <c r="R801" i="5"/>
  <c r="R762" i="5"/>
  <c r="R2407" i="5"/>
  <c r="R861" i="5"/>
  <c r="R2405" i="5"/>
  <c r="R456" i="5"/>
  <c r="R492" i="5"/>
  <c r="R795" i="5"/>
  <c r="R493" i="5"/>
  <c r="R2494" i="5"/>
  <c r="R183" i="5"/>
  <c r="R2175" i="5"/>
  <c r="R883" i="5"/>
  <c r="R513" i="5"/>
  <c r="R538" i="5"/>
  <c r="R460" i="5"/>
  <c r="R910" i="5"/>
  <c r="R660" i="5"/>
  <c r="R2267" i="5"/>
  <c r="R327" i="5"/>
  <c r="R886" i="5"/>
  <c r="R2448" i="5"/>
  <c r="R578" i="5"/>
  <c r="R335" i="5"/>
  <c r="R379" i="5"/>
  <c r="R2490" i="5"/>
  <c r="R2484" i="5"/>
  <c r="R194" i="5"/>
  <c r="R471" i="5"/>
  <c r="R271" i="5"/>
  <c r="R2488" i="5"/>
  <c r="R2390" i="5"/>
  <c r="R2392" i="5"/>
  <c r="R2366" i="5"/>
  <c r="R859" i="5"/>
  <c r="R878" i="5"/>
  <c r="R2161" i="5"/>
  <c r="R2344" i="5"/>
  <c r="R2309" i="5"/>
  <c r="R672" i="5"/>
  <c r="R2363" i="5"/>
  <c r="R2482" i="5"/>
  <c r="R340" i="5"/>
  <c r="R901" i="5"/>
  <c r="R2513" i="5"/>
  <c r="R2327" i="5"/>
  <c r="R884" i="5"/>
  <c r="R635" i="5"/>
  <c r="R433" i="5"/>
  <c r="R613" i="5"/>
  <c r="R617" i="5"/>
  <c r="R268" i="5"/>
  <c r="R679" i="5"/>
  <c r="R407" i="5"/>
  <c r="R2409" i="5"/>
  <c r="R168" i="5"/>
  <c r="R2153" i="5"/>
  <c r="R2251" i="5"/>
  <c r="R2207" i="5"/>
  <c r="R2471" i="5"/>
  <c r="R2378" i="5"/>
  <c r="R561" i="5"/>
  <c r="R441" i="5"/>
  <c r="R863" i="5"/>
  <c r="R381" i="5"/>
  <c r="R2298" i="5"/>
  <c r="R301" i="5"/>
  <c r="R556" i="5"/>
  <c r="R2289" i="5"/>
  <c r="R2512" i="5"/>
  <c r="R595" i="5"/>
  <c r="R292" i="5"/>
  <c r="R742" i="5"/>
  <c r="R279" i="5"/>
  <c r="R549" i="5"/>
  <c r="R370" i="5"/>
  <c r="R2243" i="5"/>
  <c r="R727" i="5"/>
  <c r="R579" i="5"/>
  <c r="R246" i="5"/>
  <c r="R154" i="5"/>
  <c r="R828" i="5"/>
  <c r="R918" i="5"/>
  <c r="R495" i="5"/>
  <c r="R536" i="5"/>
  <c r="R243" i="5"/>
  <c r="R2324" i="5"/>
  <c r="R690" i="5"/>
  <c r="R2519" i="5"/>
  <c r="R582" i="5"/>
  <c r="R782" i="5"/>
  <c r="R413" i="5"/>
  <c r="R2379" i="5"/>
  <c r="R226" i="5"/>
  <c r="R430" i="5"/>
  <c r="R377" i="5"/>
  <c r="R480" i="5"/>
  <c r="R302" i="5"/>
  <c r="R862" i="5"/>
  <c r="R534" i="5"/>
  <c r="R2518" i="5"/>
  <c r="R518" i="5"/>
  <c r="R342" i="5"/>
  <c r="R794" i="5"/>
  <c r="R586" i="5"/>
  <c r="R879" i="5"/>
  <c r="R206" i="5"/>
  <c r="R234" i="5"/>
  <c r="R466" i="5"/>
  <c r="R329" i="5"/>
  <c r="R501" i="5"/>
  <c r="R533" i="5"/>
  <c r="R172" i="5"/>
  <c r="R219" i="5"/>
  <c r="R922" i="5"/>
  <c r="R593" i="5"/>
  <c r="R2316" i="5"/>
  <c r="R619" i="5"/>
  <c r="R2440" i="5"/>
  <c r="R827" i="5"/>
  <c r="R759" i="5"/>
  <c r="R909" i="5"/>
  <c r="R278" i="5"/>
  <c r="R604" i="5"/>
  <c r="R796" i="5"/>
  <c r="R2261" i="5"/>
  <c r="R2384" i="5"/>
  <c r="R2338" i="5"/>
  <c r="R601" i="5"/>
  <c r="R406" i="5"/>
  <c r="R288" i="5"/>
  <c r="R2244" i="5"/>
  <c r="R846" i="5"/>
  <c r="R645" i="5"/>
  <c r="R659" i="5"/>
  <c r="R734" i="5"/>
  <c r="R661" i="5"/>
  <c r="R221" i="5"/>
  <c r="R2410" i="5"/>
  <c r="R824" i="5"/>
  <c r="R270" i="5"/>
  <c r="R2382" i="5"/>
  <c r="R308" i="5"/>
  <c r="R2198" i="5"/>
  <c r="R2369" i="5"/>
  <c r="R873" i="5"/>
  <c r="R736" i="5"/>
  <c r="R2190" i="5"/>
  <c r="R306" i="5"/>
  <c r="R737" i="5"/>
  <c r="R345" i="5"/>
  <c r="R2232" i="5"/>
  <c r="R389" i="5"/>
  <c r="R893" i="5"/>
  <c r="R2238" i="5"/>
  <c r="R467" i="5"/>
  <c r="R2377" i="5"/>
  <c r="R2321" i="5"/>
  <c r="R369" i="5"/>
  <c r="R732" i="5"/>
  <c r="R2156" i="5"/>
  <c r="R192" i="5"/>
  <c r="R607" i="5"/>
  <c r="R294" i="5"/>
  <c r="R662" i="5"/>
  <c r="R702" i="5"/>
  <c r="R422" i="5"/>
  <c r="R907" i="5"/>
  <c r="R2361" i="5"/>
  <c r="R2284" i="5"/>
  <c r="R320" i="5"/>
  <c r="R850" i="5"/>
  <c r="R423" i="5"/>
  <c r="R447" i="5"/>
  <c r="R2496" i="5"/>
  <c r="R2182" i="5"/>
  <c r="R2507" i="5"/>
  <c r="R2315" i="5"/>
  <c r="R560" i="5"/>
  <c r="R837" i="5"/>
  <c r="R2426" i="5"/>
  <c r="R188" i="5"/>
  <c r="R347" i="5"/>
  <c r="R831" i="5"/>
  <c r="R543" i="5"/>
  <c r="R529" i="5"/>
  <c r="R517" i="5"/>
  <c r="R887" i="5"/>
  <c r="R418" i="5"/>
  <c r="R2247" i="5"/>
  <c r="R576" i="5"/>
  <c r="R328" i="5"/>
  <c r="R2416" i="5"/>
  <c r="R776" i="5"/>
  <c r="R469" i="5"/>
  <c r="R477" i="5"/>
  <c r="R373" i="5"/>
  <c r="R519" i="5"/>
  <c r="R2459" i="5"/>
  <c r="R728" i="5"/>
  <c r="R372" i="5"/>
  <c r="R2375" i="5"/>
  <c r="R402" i="5"/>
  <c r="R382" i="5"/>
  <c r="R2234" i="5"/>
  <c r="R264" i="5"/>
  <c r="R509" i="5"/>
  <c r="R2171" i="5"/>
  <c r="R750" i="5"/>
  <c r="R834" i="5"/>
  <c r="R2226" i="5"/>
  <c r="R708" i="5"/>
  <c r="R2177" i="5"/>
  <c r="R2308" i="5"/>
  <c r="R845" i="5"/>
  <c r="R741" i="5"/>
  <c r="R153" i="5"/>
  <c r="R180" i="5"/>
  <c r="R552" i="5"/>
  <c r="R908" i="5"/>
  <c r="R253" i="5"/>
  <c r="R2273" i="5"/>
  <c r="R463" i="5"/>
  <c r="R565" i="5"/>
  <c r="R364" i="5"/>
  <c r="R611" i="5"/>
  <c r="R238" i="5"/>
  <c r="R622" i="5"/>
  <c r="R199" i="5"/>
  <c r="R571" i="5"/>
  <c r="R2160" i="5"/>
  <c r="R2446" i="5"/>
  <c r="R2510" i="5"/>
  <c r="R326" i="5"/>
  <c r="R2419" i="5"/>
  <c r="R872" i="5"/>
  <c r="R2206" i="5"/>
  <c r="R2164" i="5"/>
  <c r="R2288" i="5"/>
  <c r="R2236" i="5"/>
  <c r="R190" i="5"/>
  <c r="R2269" i="5"/>
  <c r="R416" i="5"/>
  <c r="R847" i="5"/>
  <c r="R500" i="5"/>
  <c r="R483" i="5"/>
  <c r="R860" i="5"/>
  <c r="R189" i="5"/>
  <c r="R2449" i="5"/>
  <c r="R2263" i="5"/>
  <c r="R2423" i="5"/>
  <c r="R760" i="5"/>
  <c r="R520" i="5"/>
  <c r="R210" i="5"/>
  <c r="R858" i="5"/>
  <c r="R251" i="5"/>
  <c r="R2397" i="5"/>
  <c r="R401" i="5"/>
  <c r="R498" i="5"/>
  <c r="R914" i="5"/>
  <c r="R2254" i="5"/>
  <c r="R2228" i="5"/>
  <c r="R2469" i="5"/>
  <c r="R2330" i="5"/>
  <c r="R409" i="5"/>
  <c r="R752" i="5"/>
  <c r="R367" i="5"/>
  <c r="R2367" i="5"/>
  <c r="R280" i="5"/>
  <c r="R310" i="5"/>
  <c r="R621" i="5"/>
  <c r="R633" i="5"/>
  <c r="R444" i="5"/>
  <c r="R568" i="5"/>
  <c r="R2213" i="5"/>
  <c r="R720" i="5"/>
  <c r="R891" i="5"/>
  <c r="R2402" i="5"/>
  <c r="R686" i="5"/>
  <c r="R412" i="5"/>
  <c r="R704" i="5"/>
  <c r="R725" i="5"/>
  <c r="R819" i="5"/>
  <c r="R2439" i="5"/>
  <c r="R478" i="5"/>
  <c r="R666" i="5"/>
  <c r="R575" i="5"/>
  <c r="R700" i="5"/>
  <c r="R592" i="5"/>
  <c r="R181" i="5"/>
  <c r="R2372" i="5"/>
  <c r="R912" i="5"/>
  <c r="R252" i="5"/>
  <c r="R764" i="5"/>
  <c r="R766" i="5"/>
  <c r="R2328" i="5"/>
  <c r="R738" i="5"/>
  <c r="R740" i="5"/>
  <c r="R684" i="5"/>
  <c r="R2200" i="5"/>
  <c r="R663" i="5"/>
  <c r="R602" i="5"/>
  <c r="R620" i="5"/>
  <c r="R159" i="5"/>
  <c r="R2424" i="5"/>
  <c r="R570" i="5"/>
  <c r="R2515" i="5"/>
  <c r="R2266" i="5"/>
  <c r="R598" i="5"/>
  <c r="R325" i="5"/>
  <c r="R171" i="5"/>
  <c r="R2287" i="5"/>
  <c r="R2403" i="5"/>
  <c r="R748" i="5"/>
  <c r="R2201" i="5"/>
  <c r="R2345" i="5"/>
  <c r="R531" i="5"/>
  <c r="R899" i="5"/>
  <c r="R821" i="5"/>
  <c r="R2347" i="5"/>
  <c r="R868" i="5"/>
  <c r="R212" i="5"/>
  <c r="R651" i="5"/>
  <c r="R882" i="5"/>
  <c r="R462" i="5"/>
  <c r="R525" i="5"/>
  <c r="R505" i="5"/>
  <c r="R2195" i="5"/>
  <c r="R823" i="5"/>
  <c r="R527" i="5"/>
  <c r="R2425" i="5"/>
  <c r="R2212" i="5"/>
  <c r="R2422" i="5"/>
  <c r="R217" i="5"/>
  <c r="R528" i="5"/>
  <c r="R584" i="5"/>
  <c r="R356" i="5"/>
  <c r="R211" i="5"/>
  <c r="R857" i="5"/>
  <c r="R551" i="5"/>
  <c r="R2394" i="5"/>
  <c r="R2173" i="5"/>
  <c r="R2500" i="5"/>
  <c r="R2493" i="5"/>
  <c r="R807" i="5"/>
  <c r="R902" i="5"/>
  <c r="R442" i="5"/>
  <c r="R2475" i="5"/>
  <c r="R2325" i="5"/>
  <c r="R249" i="5"/>
  <c r="R2346" i="5"/>
  <c r="R756" i="5"/>
  <c r="R395" i="5"/>
  <c r="R458" i="5"/>
  <c r="R2385" i="5"/>
  <c r="R2151" i="5"/>
  <c r="R877" i="5"/>
  <c r="R443" i="5"/>
  <c r="R2442" i="5"/>
  <c r="E694" i="1"/>
  <c r="E598" i="1"/>
  <c r="E599" i="1" s="1"/>
  <c r="E600" i="1" s="1"/>
  <c r="E601" i="1" s="1"/>
  <c r="E602" i="1" s="1"/>
  <c r="E20" i="1"/>
  <c r="E21" i="1" s="1"/>
  <c r="E22" i="1" s="1"/>
  <c r="E23" i="1" s="1"/>
  <c r="E24" i="1" s="1"/>
  <c r="E376" i="1" l="1"/>
  <c r="E377" i="1" s="1"/>
  <c r="E378" i="1" s="1"/>
  <c r="E379" i="1" s="1"/>
  <c r="E380" i="1" s="1"/>
  <c r="E381" i="1" s="1"/>
  <c r="E382" i="1" s="1"/>
  <c r="E383" i="1" s="1"/>
  <c r="E384" i="1" s="1"/>
  <c r="E385" i="1" s="1"/>
  <c r="D305" i="1" l="1"/>
  <c r="A305" i="1" s="1"/>
  <c r="D303" i="3" l="1"/>
  <c r="E304" i="3" s="1"/>
  <c r="D302" i="3"/>
  <c r="D301" i="3"/>
  <c r="D300" i="3"/>
  <c r="M149" i="3" l="1"/>
  <c r="D986" i="1" l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3" i="1"/>
  <c r="D596" i="1"/>
  <c r="D595" i="1"/>
  <c r="D594" i="1"/>
  <c r="D593" i="1"/>
  <c r="D592" i="1"/>
  <c r="D591" i="1"/>
  <c r="D590" i="1"/>
  <c r="D589" i="1"/>
  <c r="D588" i="1"/>
  <c r="D587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4" i="1"/>
  <c r="D203" i="1"/>
  <c r="D202" i="1"/>
  <c r="D201" i="1"/>
  <c r="D200" i="1"/>
  <c r="D199" i="1"/>
  <c r="D198" i="1"/>
  <c r="D149" i="1"/>
  <c r="D148" i="1"/>
  <c r="D147" i="1"/>
  <c r="D146" i="1"/>
  <c r="D145" i="1"/>
  <c r="D144" i="1"/>
  <c r="D143" i="1"/>
  <c r="D142" i="1"/>
  <c r="D141" i="1"/>
  <c r="D140" i="1"/>
  <c r="D138" i="1"/>
  <c r="D137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1" i="1"/>
  <c r="D70" i="1"/>
  <c r="D69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51" i="1"/>
  <c r="D152" i="1"/>
  <c r="D153" i="1"/>
  <c r="D154" i="1"/>
  <c r="D155" i="1"/>
  <c r="D156" i="1"/>
  <c r="D157" i="1"/>
  <c r="D158" i="1"/>
  <c r="D163" i="1"/>
  <c r="D165" i="1"/>
  <c r="D168" i="1"/>
  <c r="D169" i="1"/>
  <c r="D195" i="1"/>
  <c r="E572" i="1"/>
  <c r="E573" i="1" s="1"/>
  <c r="D573" i="1" s="1"/>
  <c r="E159" i="1"/>
  <c r="E160" i="1" s="1"/>
  <c r="D160" i="1" s="1"/>
  <c r="D150" i="1"/>
  <c r="E470" i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63" i="1"/>
  <c r="E464" i="1" s="1"/>
  <c r="E465" i="1" s="1"/>
  <c r="E466" i="1" s="1"/>
  <c r="E467" i="1" s="1"/>
  <c r="E468" i="1" s="1"/>
  <c r="E451" i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85" i="1" l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D159" i="1"/>
  <c r="D572" i="1"/>
  <c r="D464" i="1"/>
  <c r="D479" i="1"/>
  <c r="E574" i="1"/>
  <c r="D574" i="1" s="1"/>
  <c r="E161" i="1"/>
  <c r="D161" i="1" s="1"/>
  <c r="M204" i="3"/>
  <c r="L61" i="3"/>
  <c r="M61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L125" i="3" s="1"/>
  <c r="D466" i="1" s="1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K297" i="3"/>
  <c r="J297" i="3"/>
  <c r="K296" i="3"/>
  <c r="J296" i="3"/>
  <c r="K295" i="3"/>
  <c r="J295" i="3"/>
  <c r="K294" i="3"/>
  <c r="J294" i="3"/>
  <c r="K293" i="3"/>
  <c r="J293" i="3"/>
  <c r="K292" i="3"/>
  <c r="J292" i="3"/>
  <c r="K291" i="3"/>
  <c r="J291" i="3"/>
  <c r="K290" i="3"/>
  <c r="J290" i="3"/>
  <c r="K289" i="3"/>
  <c r="J289" i="3"/>
  <c r="K288" i="3"/>
  <c r="J288" i="3"/>
  <c r="K287" i="3"/>
  <c r="J287" i="3"/>
  <c r="K286" i="3"/>
  <c r="J286" i="3"/>
  <c r="K285" i="3"/>
  <c r="J285" i="3"/>
  <c r="K284" i="3"/>
  <c r="J284" i="3"/>
  <c r="K283" i="3"/>
  <c r="J283" i="3"/>
  <c r="K282" i="3"/>
  <c r="J282" i="3"/>
  <c r="K281" i="3"/>
  <c r="J281" i="3"/>
  <c r="K280" i="3"/>
  <c r="J280" i="3"/>
  <c r="K279" i="3"/>
  <c r="J279" i="3"/>
  <c r="K278" i="3"/>
  <c r="J278" i="3"/>
  <c r="K277" i="3"/>
  <c r="J277" i="3"/>
  <c r="K276" i="3"/>
  <c r="J276" i="3"/>
  <c r="K275" i="3"/>
  <c r="J275" i="3"/>
  <c r="K274" i="3"/>
  <c r="J274" i="3"/>
  <c r="K273" i="3"/>
  <c r="J273" i="3"/>
  <c r="K272" i="3"/>
  <c r="J272" i="3"/>
  <c r="K271" i="3"/>
  <c r="J271" i="3"/>
  <c r="K270" i="3"/>
  <c r="J270" i="3"/>
  <c r="K269" i="3"/>
  <c r="J269" i="3"/>
  <c r="K268" i="3"/>
  <c r="J268" i="3"/>
  <c r="K267" i="3"/>
  <c r="J267" i="3"/>
  <c r="K266" i="3"/>
  <c r="J266" i="3"/>
  <c r="K265" i="3"/>
  <c r="J265" i="3"/>
  <c r="K264" i="3"/>
  <c r="J264" i="3"/>
  <c r="K263" i="3"/>
  <c r="J263" i="3"/>
  <c r="K262" i="3"/>
  <c r="J262" i="3"/>
  <c r="K261" i="3"/>
  <c r="J261" i="3"/>
  <c r="K260" i="3"/>
  <c r="J260" i="3"/>
  <c r="K259" i="3"/>
  <c r="J259" i="3"/>
  <c r="K258" i="3"/>
  <c r="J258" i="3"/>
  <c r="K257" i="3"/>
  <c r="J257" i="3"/>
  <c r="K256" i="3"/>
  <c r="J256" i="3"/>
  <c r="K255" i="3"/>
  <c r="J255" i="3"/>
  <c r="K254" i="3"/>
  <c r="J254" i="3"/>
  <c r="K253" i="3"/>
  <c r="J253" i="3"/>
  <c r="K252" i="3"/>
  <c r="J252" i="3"/>
  <c r="K251" i="3"/>
  <c r="J251" i="3"/>
  <c r="K250" i="3"/>
  <c r="J250" i="3"/>
  <c r="K249" i="3"/>
  <c r="J249" i="3"/>
  <c r="K248" i="3"/>
  <c r="J248" i="3"/>
  <c r="K247" i="3"/>
  <c r="J247" i="3"/>
  <c r="K246" i="3"/>
  <c r="J246" i="3"/>
  <c r="K245" i="3"/>
  <c r="J245" i="3"/>
  <c r="K244" i="3"/>
  <c r="J244" i="3"/>
  <c r="K243" i="3"/>
  <c r="J243" i="3"/>
  <c r="K242" i="3"/>
  <c r="J242" i="3"/>
  <c r="K241" i="3"/>
  <c r="J241" i="3"/>
  <c r="K240" i="3"/>
  <c r="J240" i="3"/>
  <c r="K239" i="3"/>
  <c r="J239" i="3"/>
  <c r="K238" i="3"/>
  <c r="J238" i="3"/>
  <c r="K237" i="3"/>
  <c r="J237" i="3"/>
  <c r="K236" i="3"/>
  <c r="J236" i="3"/>
  <c r="K235" i="3"/>
  <c r="J235" i="3"/>
  <c r="K234" i="3"/>
  <c r="J234" i="3"/>
  <c r="K233" i="3"/>
  <c r="J233" i="3"/>
  <c r="K232" i="3"/>
  <c r="J232" i="3"/>
  <c r="K231" i="3"/>
  <c r="J231" i="3"/>
  <c r="K230" i="3"/>
  <c r="J230" i="3"/>
  <c r="K229" i="3"/>
  <c r="J229" i="3"/>
  <c r="K228" i="3"/>
  <c r="J228" i="3"/>
  <c r="K227" i="3"/>
  <c r="J227" i="3"/>
  <c r="K226" i="3"/>
  <c r="J226" i="3"/>
  <c r="K225" i="3"/>
  <c r="J225" i="3"/>
  <c r="K224" i="3"/>
  <c r="J224" i="3"/>
  <c r="K223" i="3"/>
  <c r="J223" i="3"/>
  <c r="K222" i="3"/>
  <c r="J222" i="3"/>
  <c r="K221" i="3"/>
  <c r="J221" i="3"/>
  <c r="K220" i="3"/>
  <c r="J220" i="3"/>
  <c r="K219" i="3"/>
  <c r="J219" i="3"/>
  <c r="K218" i="3"/>
  <c r="J218" i="3"/>
  <c r="K217" i="3"/>
  <c r="J217" i="3"/>
  <c r="K216" i="3"/>
  <c r="J216" i="3"/>
  <c r="K215" i="3"/>
  <c r="J215" i="3"/>
  <c r="K214" i="3"/>
  <c r="J214" i="3"/>
  <c r="K213" i="3"/>
  <c r="J213" i="3"/>
  <c r="K212" i="3"/>
  <c r="J212" i="3"/>
  <c r="K211" i="3"/>
  <c r="J211" i="3"/>
  <c r="K210" i="3"/>
  <c r="J210" i="3"/>
  <c r="K209" i="3"/>
  <c r="J209" i="3"/>
  <c r="K208" i="3"/>
  <c r="J208" i="3"/>
  <c r="K207" i="3"/>
  <c r="J207" i="3"/>
  <c r="K206" i="3"/>
  <c r="J206" i="3"/>
  <c r="K205" i="3"/>
  <c r="J205" i="3"/>
  <c r="K204" i="3"/>
  <c r="J204" i="3"/>
  <c r="K203" i="3"/>
  <c r="J203" i="3"/>
  <c r="K202" i="3"/>
  <c r="J202" i="3"/>
  <c r="K201" i="3"/>
  <c r="J201" i="3"/>
  <c r="K200" i="3"/>
  <c r="J200" i="3"/>
  <c r="K199" i="3"/>
  <c r="J199" i="3"/>
  <c r="K198" i="3"/>
  <c r="J198" i="3"/>
  <c r="K197" i="3"/>
  <c r="J197" i="3"/>
  <c r="K196" i="3"/>
  <c r="J196" i="3"/>
  <c r="K195" i="3"/>
  <c r="J195" i="3"/>
  <c r="K194" i="3"/>
  <c r="J194" i="3"/>
  <c r="K193" i="3"/>
  <c r="J193" i="3"/>
  <c r="K192" i="3"/>
  <c r="J192" i="3"/>
  <c r="K191" i="3"/>
  <c r="J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K169" i="3"/>
  <c r="J169" i="3"/>
  <c r="K168" i="3"/>
  <c r="J168" i="3"/>
  <c r="K167" i="3"/>
  <c r="J167" i="3"/>
  <c r="K166" i="3"/>
  <c r="J166" i="3"/>
  <c r="K165" i="3"/>
  <c r="J165" i="3"/>
  <c r="K164" i="3"/>
  <c r="J164" i="3"/>
  <c r="K163" i="3"/>
  <c r="J163" i="3"/>
  <c r="K162" i="3"/>
  <c r="J162" i="3"/>
  <c r="K161" i="3"/>
  <c r="J161" i="3"/>
  <c r="K160" i="3"/>
  <c r="J160" i="3"/>
  <c r="K159" i="3"/>
  <c r="J159" i="3"/>
  <c r="K158" i="3"/>
  <c r="J158" i="3"/>
  <c r="K157" i="3"/>
  <c r="J157" i="3"/>
  <c r="K156" i="3"/>
  <c r="J156" i="3"/>
  <c r="K155" i="3"/>
  <c r="J155" i="3"/>
  <c r="K154" i="3"/>
  <c r="J154" i="3"/>
  <c r="K153" i="3"/>
  <c r="J153" i="3"/>
  <c r="K152" i="3"/>
  <c r="J152" i="3"/>
  <c r="K151" i="3"/>
  <c r="J151" i="3"/>
  <c r="K150" i="3"/>
  <c r="J150" i="3"/>
  <c r="K149" i="3"/>
  <c r="J149" i="3"/>
  <c r="K148" i="3"/>
  <c r="J148" i="3"/>
  <c r="K147" i="3"/>
  <c r="J147" i="3"/>
  <c r="K146" i="3"/>
  <c r="J146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131" i="3"/>
  <c r="J131" i="3"/>
  <c r="K130" i="3"/>
  <c r="J130" i="3"/>
  <c r="K129" i="3"/>
  <c r="J129" i="3"/>
  <c r="K128" i="3"/>
  <c r="J128" i="3"/>
  <c r="K127" i="3"/>
  <c r="J127" i="3"/>
  <c r="K126" i="3"/>
  <c r="J126" i="3"/>
  <c r="K125" i="3"/>
  <c r="K124" i="3"/>
  <c r="J124" i="3"/>
  <c r="K123" i="3"/>
  <c r="J123" i="3"/>
  <c r="K122" i="3"/>
  <c r="J122" i="3"/>
  <c r="K121" i="3"/>
  <c r="J121" i="3"/>
  <c r="K120" i="3"/>
  <c r="J120" i="3"/>
  <c r="K119" i="3"/>
  <c r="J119" i="3"/>
  <c r="K118" i="3"/>
  <c r="J118" i="3"/>
  <c r="K117" i="3"/>
  <c r="J117" i="3"/>
  <c r="K116" i="3"/>
  <c r="J116" i="3"/>
  <c r="K115" i="3"/>
  <c r="J115" i="3"/>
  <c r="K114" i="3"/>
  <c r="J114" i="3"/>
  <c r="K113" i="3"/>
  <c r="J113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3" i="3"/>
  <c r="K52" i="3"/>
  <c r="J52" i="3"/>
  <c r="K51" i="3"/>
  <c r="J51" i="3"/>
  <c r="K50" i="3"/>
  <c r="J50" i="3"/>
  <c r="K49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L4" i="3"/>
  <c r="K4" i="3"/>
  <c r="J4" i="3"/>
  <c r="G17" i="4"/>
  <c r="D486" i="1" l="1"/>
  <c r="E497" i="1"/>
  <c r="E498" i="1" s="1"/>
  <c r="E499" i="1" s="1"/>
  <c r="E500" i="1" s="1"/>
  <c r="E501" i="1" s="1"/>
  <c r="E502" i="1" s="1"/>
  <c r="E503" i="1" s="1"/>
  <c r="D496" i="1"/>
  <c r="D493" i="1"/>
  <c r="D457" i="1"/>
  <c r="D459" i="1"/>
  <c r="D481" i="1"/>
  <c r="D491" i="1"/>
  <c r="D455" i="1"/>
  <c r="D498" i="1"/>
  <c r="D453" i="1"/>
  <c r="D471" i="1"/>
  <c r="D488" i="1"/>
  <c r="D473" i="1"/>
  <c r="D480" i="1"/>
  <c r="D472" i="1"/>
  <c r="D478" i="1"/>
  <c r="D485" i="1"/>
  <c r="A485" i="1" s="1"/>
  <c r="D449" i="1"/>
  <c r="D502" i="1"/>
  <c r="D450" i="1"/>
  <c r="D443" i="1"/>
  <c r="D462" i="1"/>
  <c r="D446" i="1"/>
  <c r="D448" i="1"/>
  <c r="D444" i="1"/>
  <c r="D469" i="1"/>
  <c r="D445" i="1"/>
  <c r="D500" i="1"/>
  <c r="D501" i="1"/>
  <c r="D447" i="1"/>
  <c r="D503" i="1"/>
  <c r="D490" i="1"/>
  <c r="D470" i="1"/>
  <c r="D497" i="1"/>
  <c r="D475" i="1"/>
  <c r="D460" i="1"/>
  <c r="D484" i="1"/>
  <c r="D476" i="1"/>
  <c r="D458" i="1"/>
  <c r="D452" i="1"/>
  <c r="D489" i="1"/>
  <c r="D463" i="1"/>
  <c r="D477" i="1"/>
  <c r="D454" i="1"/>
  <c r="D482" i="1"/>
  <c r="D451" i="1"/>
  <c r="D492" i="1"/>
  <c r="D499" i="1"/>
  <c r="D495" i="1"/>
  <c r="D474" i="1"/>
  <c r="D468" i="1"/>
  <c r="D465" i="1"/>
  <c r="D494" i="1"/>
  <c r="D456" i="1"/>
  <c r="D483" i="1"/>
  <c r="D487" i="1"/>
  <c r="D467" i="1"/>
  <c r="D461" i="1"/>
  <c r="E162" i="1"/>
  <c r="D162" i="1" s="1"/>
  <c r="E575" i="1"/>
  <c r="D575" i="1" s="1"/>
  <c r="M125" i="3"/>
  <c r="L28" i="3"/>
  <c r="L46" i="3"/>
  <c r="L44" i="3"/>
  <c r="L10" i="3"/>
  <c r="L14" i="3"/>
  <c r="L18" i="3"/>
  <c r="L22" i="3"/>
  <c r="L38" i="3"/>
  <c r="L6" i="3"/>
  <c r="L8" i="3"/>
  <c r="L12" i="3"/>
  <c r="L16" i="3"/>
  <c r="L20" i="3"/>
  <c r="L52" i="3"/>
  <c r="L60" i="3"/>
  <c r="L62" i="3"/>
  <c r="L68" i="3"/>
  <c r="L76" i="3"/>
  <c r="L78" i="3"/>
  <c r="L84" i="3"/>
  <c r="L92" i="3"/>
  <c r="L94" i="3"/>
  <c r="L100" i="3"/>
  <c r="L24" i="3"/>
  <c r="L36" i="3"/>
  <c r="L48" i="3"/>
  <c r="L72" i="3"/>
  <c r="L104" i="3"/>
  <c r="L9" i="3"/>
  <c r="L17" i="3"/>
  <c r="L21" i="3"/>
  <c r="L30" i="3"/>
  <c r="L32" i="3"/>
  <c r="L56" i="3"/>
  <c r="D139" i="1" s="1"/>
  <c r="L80" i="3"/>
  <c r="L96" i="3"/>
  <c r="L5" i="3"/>
  <c r="L26" i="3"/>
  <c r="L42" i="3"/>
  <c r="L54" i="3"/>
  <c r="D136" i="1" s="1"/>
  <c r="L70" i="3"/>
  <c r="L82" i="3"/>
  <c r="L90" i="3"/>
  <c r="L102" i="3"/>
  <c r="L7" i="3"/>
  <c r="L15" i="3"/>
  <c r="L19" i="3"/>
  <c r="L40" i="3"/>
  <c r="L64" i="3"/>
  <c r="L88" i="3"/>
  <c r="L13" i="3"/>
  <c r="L34" i="3"/>
  <c r="L50" i="3"/>
  <c r="L58" i="3"/>
  <c r="L66" i="3"/>
  <c r="L74" i="3"/>
  <c r="L86" i="3"/>
  <c r="L98" i="3"/>
  <c r="L11" i="3"/>
  <c r="L29" i="3"/>
  <c r="L73" i="3"/>
  <c r="L89" i="3"/>
  <c r="L51" i="3"/>
  <c r="L67" i="3"/>
  <c r="L93" i="3"/>
  <c r="L106" i="3"/>
  <c r="L114" i="3"/>
  <c r="L122" i="3"/>
  <c r="L126" i="3"/>
  <c r="L156" i="3"/>
  <c r="L220" i="3"/>
  <c r="L23" i="3"/>
  <c r="L39" i="3"/>
  <c r="L55" i="3"/>
  <c r="L71" i="3"/>
  <c r="L87" i="3"/>
  <c r="L103" i="3"/>
  <c r="L164" i="3"/>
  <c r="L228" i="3"/>
  <c r="L240" i="3"/>
  <c r="L113" i="3"/>
  <c r="L27" i="3"/>
  <c r="L25" i="3"/>
  <c r="D68" i="1" s="1"/>
  <c r="L41" i="3"/>
  <c r="L77" i="3"/>
  <c r="L110" i="3"/>
  <c r="L118" i="3"/>
  <c r="L37" i="3"/>
  <c r="L49" i="3"/>
  <c r="L65" i="3"/>
  <c r="L81" i="3"/>
  <c r="L97" i="3"/>
  <c r="L107" i="3"/>
  <c r="L111" i="3"/>
  <c r="L115" i="3"/>
  <c r="L119" i="3"/>
  <c r="L123" i="3"/>
  <c r="L127" i="3"/>
  <c r="L172" i="3"/>
  <c r="L256" i="3"/>
  <c r="L105" i="3"/>
  <c r="L59" i="3"/>
  <c r="L91" i="3"/>
  <c r="L180" i="3"/>
  <c r="L237" i="3"/>
  <c r="L272" i="3"/>
  <c r="L109" i="3"/>
  <c r="L35" i="3"/>
  <c r="L75" i="3"/>
  <c r="L33" i="3"/>
  <c r="L53" i="3"/>
  <c r="L69" i="3"/>
  <c r="L85" i="3"/>
  <c r="L101" i="3"/>
  <c r="L108" i="3"/>
  <c r="L112" i="3"/>
  <c r="L116" i="3"/>
  <c r="L120" i="3"/>
  <c r="L124" i="3"/>
  <c r="L188" i="3"/>
  <c r="L253" i="3"/>
  <c r="L288" i="3"/>
  <c r="L31" i="3"/>
  <c r="L47" i="3"/>
  <c r="L63" i="3"/>
  <c r="L79" i="3"/>
  <c r="L95" i="3"/>
  <c r="L132" i="3"/>
  <c r="L196" i="3"/>
  <c r="L269" i="3"/>
  <c r="L45" i="3"/>
  <c r="L117" i="3"/>
  <c r="L140" i="3"/>
  <c r="L204" i="3"/>
  <c r="L285" i="3"/>
  <c r="L57" i="3"/>
  <c r="L121" i="3"/>
  <c r="L43" i="3"/>
  <c r="L83" i="3"/>
  <c r="L99" i="3"/>
  <c r="L148" i="3"/>
  <c r="L212" i="3"/>
  <c r="L129" i="3"/>
  <c r="L137" i="3"/>
  <c r="L145" i="3"/>
  <c r="L153" i="3"/>
  <c r="L161" i="3"/>
  <c r="L169" i="3"/>
  <c r="L177" i="3"/>
  <c r="L185" i="3"/>
  <c r="L193" i="3"/>
  <c r="L201" i="3"/>
  <c r="L209" i="3"/>
  <c r="L217" i="3"/>
  <c r="L225" i="3"/>
  <c r="L243" i="3"/>
  <c r="L246" i="3"/>
  <c r="L259" i="3"/>
  <c r="L262" i="3"/>
  <c r="L275" i="3"/>
  <c r="L278" i="3"/>
  <c r="L291" i="3"/>
  <c r="L294" i="3"/>
  <c r="L135" i="3"/>
  <c r="L143" i="3"/>
  <c r="L151" i="3"/>
  <c r="L159" i="3"/>
  <c r="L167" i="3"/>
  <c r="L175" i="3"/>
  <c r="L183" i="3"/>
  <c r="L191" i="3"/>
  <c r="L199" i="3"/>
  <c r="L207" i="3"/>
  <c r="L215" i="3"/>
  <c r="L223" i="3"/>
  <c r="L231" i="3"/>
  <c r="L234" i="3"/>
  <c r="L247" i="3"/>
  <c r="L250" i="3"/>
  <c r="L263" i="3"/>
  <c r="L266" i="3"/>
  <c r="L279" i="3"/>
  <c r="L282" i="3"/>
  <c r="L295" i="3"/>
  <c r="L130" i="3"/>
  <c r="L138" i="3"/>
  <c r="L146" i="3"/>
  <c r="L154" i="3"/>
  <c r="L162" i="3"/>
  <c r="L170" i="3"/>
  <c r="L178" i="3"/>
  <c r="L186" i="3"/>
  <c r="L194" i="3"/>
  <c r="L202" i="3"/>
  <c r="L210" i="3"/>
  <c r="L218" i="3"/>
  <c r="L226" i="3"/>
  <c r="L241" i="3"/>
  <c r="L244" i="3"/>
  <c r="L257" i="3"/>
  <c r="L260" i="3"/>
  <c r="L273" i="3"/>
  <c r="L276" i="3"/>
  <c r="L289" i="3"/>
  <c r="L292" i="3"/>
  <c r="L133" i="3"/>
  <c r="L141" i="3"/>
  <c r="L149" i="3"/>
  <c r="L157" i="3"/>
  <c r="L165" i="3"/>
  <c r="L173" i="3"/>
  <c r="L181" i="3"/>
  <c r="L189" i="3"/>
  <c r="L197" i="3"/>
  <c r="L205" i="3"/>
  <c r="L213" i="3"/>
  <c r="L221" i="3"/>
  <c r="L229" i="3"/>
  <c r="L235" i="3"/>
  <c r="L238" i="3"/>
  <c r="L251" i="3"/>
  <c r="L254" i="3"/>
  <c r="L267" i="3"/>
  <c r="L270" i="3"/>
  <c r="L283" i="3"/>
  <c r="L286" i="3"/>
  <c r="L128" i="3"/>
  <c r="L136" i="3"/>
  <c r="L144" i="3"/>
  <c r="L152" i="3"/>
  <c r="L160" i="3"/>
  <c r="L168" i="3"/>
  <c r="L176" i="3"/>
  <c r="L184" i="3"/>
  <c r="L192" i="3"/>
  <c r="L200" i="3"/>
  <c r="L208" i="3"/>
  <c r="L216" i="3"/>
  <c r="L224" i="3"/>
  <c r="L232" i="3"/>
  <c r="L245" i="3"/>
  <c r="L248" i="3"/>
  <c r="L261" i="3"/>
  <c r="L264" i="3"/>
  <c r="L277" i="3"/>
  <c r="L280" i="3"/>
  <c r="L293" i="3"/>
  <c r="L296" i="3"/>
  <c r="L131" i="3"/>
  <c r="L139" i="3"/>
  <c r="L147" i="3"/>
  <c r="L155" i="3"/>
  <c r="L163" i="3"/>
  <c r="L171" i="3"/>
  <c r="L179" i="3"/>
  <c r="L187" i="3"/>
  <c r="L195" i="3"/>
  <c r="L203" i="3"/>
  <c r="L211" i="3"/>
  <c r="L219" i="3"/>
  <c r="L227" i="3"/>
  <c r="L239" i="3"/>
  <c r="L242" i="3"/>
  <c r="L255" i="3"/>
  <c r="L258" i="3"/>
  <c r="L271" i="3"/>
  <c r="L274" i="3"/>
  <c r="L287" i="3"/>
  <c r="L290" i="3"/>
  <c r="L134" i="3"/>
  <c r="L142" i="3"/>
  <c r="L150" i="3"/>
  <c r="L158" i="3"/>
  <c r="L166" i="3"/>
  <c r="L174" i="3"/>
  <c r="L182" i="3"/>
  <c r="L190" i="3"/>
  <c r="L198" i="3"/>
  <c r="L206" i="3"/>
  <c r="L214" i="3"/>
  <c r="L222" i="3"/>
  <c r="L230" i="3"/>
  <c r="L233" i="3"/>
  <c r="L236" i="3"/>
  <c r="L249" i="3"/>
  <c r="L252" i="3"/>
  <c r="L265" i="3"/>
  <c r="L268" i="3"/>
  <c r="L281" i="3"/>
  <c r="L284" i="3"/>
  <c r="L297" i="3"/>
  <c r="D604" i="1" l="1"/>
  <c r="D605" i="1"/>
  <c r="D602" i="1"/>
  <c r="D601" i="1"/>
  <c r="D600" i="1"/>
  <c r="D598" i="1"/>
  <c r="D599" i="1"/>
  <c r="D597" i="1"/>
  <c r="D73" i="1"/>
  <c r="D72" i="1"/>
  <c r="D23" i="1"/>
  <c r="A23" i="1" s="1"/>
  <c r="D21" i="1"/>
  <c r="D20" i="1"/>
  <c r="D19" i="1"/>
  <c r="D24" i="1"/>
  <c r="D22" i="1"/>
  <c r="E504" i="1"/>
  <c r="D504" i="1" s="1"/>
  <c r="D375" i="1"/>
  <c r="A375" i="1" s="1"/>
  <c r="D380" i="1"/>
  <c r="D371" i="1"/>
  <c r="D363" i="1"/>
  <c r="D362" i="1"/>
  <c r="D382" i="1"/>
  <c r="D379" i="1"/>
  <c r="D370" i="1"/>
  <c r="D378" i="1"/>
  <c r="D369" i="1"/>
  <c r="D383" i="1"/>
  <c r="D377" i="1"/>
  <c r="D368" i="1"/>
  <c r="D373" i="1"/>
  <c r="D384" i="1"/>
  <c r="D376" i="1"/>
  <c r="D367" i="1"/>
  <c r="D374" i="1"/>
  <c r="D366" i="1"/>
  <c r="D365" i="1"/>
  <c r="D381" i="1"/>
  <c r="D372" i="1"/>
  <c r="D364" i="1"/>
  <c r="D208" i="1"/>
  <c r="D207" i="1"/>
  <c r="D206" i="1"/>
  <c r="D205" i="1"/>
  <c r="E576" i="1"/>
  <c r="D576" i="1" s="1"/>
  <c r="E164" i="1"/>
  <c r="D164" i="1" s="1"/>
  <c r="A465" i="1"/>
  <c r="E505" i="1" l="1"/>
  <c r="E577" i="1"/>
  <c r="D577" i="1" s="1"/>
  <c r="A986" i="1"/>
  <c r="A985" i="1"/>
  <c r="A979" i="1"/>
  <c r="A980" i="1"/>
  <c r="A981" i="1"/>
  <c r="A982" i="1"/>
  <c r="A983" i="1"/>
  <c r="A984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62" i="1"/>
  <c r="A963" i="1"/>
  <c r="A957" i="1"/>
  <c r="A958" i="1"/>
  <c r="A959" i="1"/>
  <c r="A960" i="1"/>
  <c r="A961" i="1"/>
  <c r="A950" i="1"/>
  <c r="A951" i="1"/>
  <c r="A952" i="1"/>
  <c r="A953" i="1"/>
  <c r="A954" i="1"/>
  <c r="A955" i="1"/>
  <c r="A956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28" i="1"/>
  <c r="A929" i="1"/>
  <c r="A930" i="1"/>
  <c r="A931" i="1"/>
  <c r="A932" i="1"/>
  <c r="A933" i="1"/>
  <c r="A934" i="1"/>
  <c r="E506" i="1" l="1"/>
  <c r="D505" i="1"/>
  <c r="E578" i="1"/>
  <c r="D578" i="1" s="1"/>
  <c r="E166" i="1"/>
  <c r="D166" i="1" s="1"/>
  <c r="A921" i="1"/>
  <c r="A922" i="1"/>
  <c r="A923" i="1"/>
  <c r="A924" i="1"/>
  <c r="A925" i="1"/>
  <c r="A926" i="1"/>
  <c r="A927" i="1"/>
  <c r="E507" i="1" l="1"/>
  <c r="D506" i="1"/>
  <c r="E579" i="1"/>
  <c r="D579" i="1" s="1"/>
  <c r="E167" i="1"/>
  <c r="D167" i="1" s="1"/>
  <c r="A917" i="1"/>
  <c r="A918" i="1"/>
  <c r="A919" i="1"/>
  <c r="A920" i="1"/>
  <c r="A913" i="1"/>
  <c r="A914" i="1"/>
  <c r="A915" i="1"/>
  <c r="A916" i="1"/>
  <c r="A903" i="1"/>
  <c r="A904" i="1"/>
  <c r="A905" i="1"/>
  <c r="A906" i="1"/>
  <c r="A907" i="1"/>
  <c r="A908" i="1"/>
  <c r="A909" i="1"/>
  <c r="A910" i="1"/>
  <c r="A911" i="1"/>
  <c r="A912" i="1"/>
  <c r="A892" i="1"/>
  <c r="A893" i="1"/>
  <c r="A894" i="1"/>
  <c r="A895" i="1"/>
  <c r="A896" i="1"/>
  <c r="A897" i="1"/>
  <c r="A898" i="1"/>
  <c r="A899" i="1"/>
  <c r="A900" i="1"/>
  <c r="A901" i="1"/>
  <c r="A902" i="1"/>
  <c r="A886" i="1"/>
  <c r="A887" i="1"/>
  <c r="A888" i="1"/>
  <c r="A889" i="1"/>
  <c r="A890" i="1"/>
  <c r="A891" i="1"/>
  <c r="A878" i="1"/>
  <c r="A879" i="1"/>
  <c r="A880" i="1"/>
  <c r="A881" i="1"/>
  <c r="A882" i="1"/>
  <c r="A883" i="1"/>
  <c r="A884" i="1"/>
  <c r="A885" i="1"/>
  <c r="A869" i="1"/>
  <c r="A870" i="1"/>
  <c r="A871" i="1"/>
  <c r="A872" i="1"/>
  <c r="A873" i="1"/>
  <c r="A874" i="1"/>
  <c r="A875" i="1"/>
  <c r="A876" i="1"/>
  <c r="A877" i="1"/>
  <c r="A861" i="1"/>
  <c r="A862" i="1"/>
  <c r="A863" i="1"/>
  <c r="A864" i="1"/>
  <c r="A865" i="1"/>
  <c r="A866" i="1"/>
  <c r="A867" i="1"/>
  <c r="A868" i="1"/>
  <c r="A854" i="1"/>
  <c r="A855" i="1"/>
  <c r="A856" i="1"/>
  <c r="A857" i="1"/>
  <c r="A858" i="1"/>
  <c r="A859" i="1"/>
  <c r="A860" i="1"/>
  <c r="A843" i="1"/>
  <c r="A844" i="1"/>
  <c r="A845" i="1"/>
  <c r="A846" i="1"/>
  <c r="A847" i="1"/>
  <c r="A848" i="1"/>
  <c r="A849" i="1"/>
  <c r="A850" i="1"/>
  <c r="A851" i="1"/>
  <c r="A852" i="1"/>
  <c r="A853" i="1"/>
  <c r="A838" i="1"/>
  <c r="A839" i="1"/>
  <c r="A840" i="1"/>
  <c r="A841" i="1"/>
  <c r="A842" i="1"/>
  <c r="A828" i="1"/>
  <c r="A829" i="1"/>
  <c r="A830" i="1"/>
  <c r="A831" i="1"/>
  <c r="A832" i="1"/>
  <c r="A833" i="1"/>
  <c r="A834" i="1"/>
  <c r="A835" i="1"/>
  <c r="A836" i="1"/>
  <c r="A837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E508" i="1" l="1"/>
  <c r="D507" i="1"/>
  <c r="E580" i="1"/>
  <c r="D580" i="1" s="1"/>
  <c r="A800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67" i="1"/>
  <c r="A768" i="1"/>
  <c r="A769" i="1"/>
  <c r="A770" i="1"/>
  <c r="E509" i="1" l="1"/>
  <c r="D508" i="1"/>
  <c r="A508" i="1" s="1"/>
  <c r="E581" i="1"/>
  <c r="D581" i="1" s="1"/>
  <c r="A759" i="1"/>
  <c r="A760" i="1"/>
  <c r="A761" i="1"/>
  <c r="A762" i="1"/>
  <c r="A763" i="1"/>
  <c r="A764" i="1"/>
  <c r="A765" i="1"/>
  <c r="A766" i="1"/>
  <c r="A755" i="1"/>
  <c r="A756" i="1"/>
  <c r="A757" i="1"/>
  <c r="A758" i="1"/>
  <c r="A745" i="1"/>
  <c r="A746" i="1"/>
  <c r="A747" i="1"/>
  <c r="A748" i="1"/>
  <c r="A749" i="1"/>
  <c r="A750" i="1"/>
  <c r="A751" i="1"/>
  <c r="A752" i="1"/>
  <c r="A753" i="1"/>
  <c r="A754" i="1"/>
  <c r="A737" i="1"/>
  <c r="A738" i="1"/>
  <c r="A739" i="1"/>
  <c r="A740" i="1"/>
  <c r="A741" i="1"/>
  <c r="A742" i="1"/>
  <c r="A743" i="1"/>
  <c r="A744" i="1"/>
  <c r="A727" i="1"/>
  <c r="A728" i="1"/>
  <c r="A729" i="1"/>
  <c r="A730" i="1"/>
  <c r="A731" i="1"/>
  <c r="A732" i="1"/>
  <c r="A733" i="1"/>
  <c r="A734" i="1"/>
  <c r="A735" i="1"/>
  <c r="A736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E510" i="1" l="1"/>
  <c r="D509" i="1"/>
  <c r="E582" i="1"/>
  <c r="D582" i="1" s="1"/>
  <c r="E170" i="1"/>
  <c r="D170" i="1" s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688" i="1"/>
  <c r="A689" i="1"/>
  <c r="A690" i="1"/>
  <c r="A691" i="1"/>
  <c r="A692" i="1"/>
  <c r="A693" i="1"/>
  <c r="A694" i="1"/>
  <c r="A695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65" i="1"/>
  <c r="A666" i="1"/>
  <c r="A667" i="1"/>
  <c r="A668" i="1"/>
  <c r="A669" i="1"/>
  <c r="A670" i="1"/>
  <c r="A671" i="1"/>
  <c r="A672" i="1"/>
  <c r="E511" i="1" l="1"/>
  <c r="D510" i="1"/>
  <c r="A510" i="1" s="1"/>
  <c r="E583" i="1"/>
  <c r="D583" i="1" s="1"/>
  <c r="E171" i="1"/>
  <c r="D171" i="1" s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35" i="1"/>
  <c r="A636" i="1"/>
  <c r="A637" i="1"/>
  <c r="A638" i="1"/>
  <c r="A625" i="1"/>
  <c r="A626" i="1"/>
  <c r="A627" i="1"/>
  <c r="A628" i="1"/>
  <c r="A629" i="1"/>
  <c r="A630" i="1"/>
  <c r="A631" i="1"/>
  <c r="A632" i="1"/>
  <c r="A633" i="1"/>
  <c r="A634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04" i="1"/>
  <c r="A605" i="1"/>
  <c r="A606" i="1"/>
  <c r="A607" i="1"/>
  <c r="A608" i="1"/>
  <c r="A595" i="1"/>
  <c r="A596" i="1"/>
  <c r="A597" i="1"/>
  <c r="A598" i="1"/>
  <c r="A599" i="1"/>
  <c r="A600" i="1"/>
  <c r="A601" i="1"/>
  <c r="A602" i="1"/>
  <c r="A603" i="1"/>
  <c r="A591" i="1"/>
  <c r="A592" i="1"/>
  <c r="A593" i="1"/>
  <c r="A594" i="1"/>
  <c r="A587" i="1"/>
  <c r="A588" i="1"/>
  <c r="A589" i="1"/>
  <c r="A590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39" i="1"/>
  <c r="A540" i="1"/>
  <c r="A541" i="1"/>
  <c r="A542" i="1"/>
  <c r="A543" i="1"/>
  <c r="A544" i="1"/>
  <c r="A545" i="1"/>
  <c r="A546" i="1"/>
  <c r="A547" i="1"/>
  <c r="A548" i="1"/>
  <c r="A549" i="1"/>
  <c r="E512" i="1" l="1"/>
  <c r="D511" i="1"/>
  <c r="E584" i="1"/>
  <c r="D584" i="1" s="1"/>
  <c r="A583" i="1"/>
  <c r="E172" i="1"/>
  <c r="D172" i="1" s="1"/>
  <c r="A531" i="1"/>
  <c r="A532" i="1"/>
  <c r="A533" i="1"/>
  <c r="A534" i="1"/>
  <c r="A535" i="1"/>
  <c r="A536" i="1"/>
  <c r="A537" i="1"/>
  <c r="A538" i="1"/>
  <c r="A530" i="1"/>
  <c r="E513" i="1" l="1"/>
  <c r="D512" i="1"/>
  <c r="A512" i="1" s="1"/>
  <c r="E585" i="1"/>
  <c r="D585" i="1" s="1"/>
  <c r="A584" i="1"/>
  <c r="E173" i="1"/>
  <c r="D173" i="1" s="1"/>
  <c r="A522" i="1"/>
  <c r="A523" i="1"/>
  <c r="A524" i="1"/>
  <c r="A525" i="1"/>
  <c r="A526" i="1"/>
  <c r="A527" i="1"/>
  <c r="A528" i="1"/>
  <c r="A529" i="1"/>
  <c r="A505" i="1"/>
  <c r="A506" i="1"/>
  <c r="A507" i="1"/>
  <c r="A509" i="1"/>
  <c r="A511" i="1"/>
  <c r="A502" i="1"/>
  <c r="A503" i="1"/>
  <c r="A504" i="1"/>
  <c r="A492" i="1"/>
  <c r="A493" i="1"/>
  <c r="A494" i="1"/>
  <c r="A495" i="1"/>
  <c r="A496" i="1"/>
  <c r="A497" i="1"/>
  <c r="A498" i="1"/>
  <c r="A499" i="1"/>
  <c r="A500" i="1"/>
  <c r="A501" i="1"/>
  <c r="A480" i="1"/>
  <c r="A481" i="1"/>
  <c r="A482" i="1"/>
  <c r="A483" i="1"/>
  <c r="A484" i="1"/>
  <c r="A486" i="1"/>
  <c r="A487" i="1"/>
  <c r="A488" i="1"/>
  <c r="A489" i="1"/>
  <c r="A490" i="1"/>
  <c r="A491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18" i="1"/>
  <c r="A455" i="1"/>
  <c r="A456" i="1"/>
  <c r="A457" i="1"/>
  <c r="A458" i="1"/>
  <c r="A459" i="1"/>
  <c r="A460" i="1"/>
  <c r="A461" i="1"/>
  <c r="A462" i="1"/>
  <c r="A463" i="1"/>
  <c r="A464" i="1"/>
  <c r="A444" i="1"/>
  <c r="A445" i="1"/>
  <c r="A446" i="1"/>
  <c r="A447" i="1"/>
  <c r="A448" i="1"/>
  <c r="A449" i="1"/>
  <c r="A450" i="1"/>
  <c r="A451" i="1"/>
  <c r="A452" i="1"/>
  <c r="A453" i="1"/>
  <c r="A454" i="1"/>
  <c r="A436" i="1"/>
  <c r="A437" i="1"/>
  <c r="A438" i="1"/>
  <c r="A439" i="1"/>
  <c r="A440" i="1"/>
  <c r="A441" i="1"/>
  <c r="A442" i="1"/>
  <c r="A443" i="1"/>
  <c r="A425" i="1"/>
  <c r="A426" i="1"/>
  <c r="A427" i="1"/>
  <c r="A428" i="1"/>
  <c r="A429" i="1"/>
  <c r="A430" i="1"/>
  <c r="A431" i="1"/>
  <c r="A432" i="1"/>
  <c r="A433" i="1"/>
  <c r="A434" i="1"/>
  <c r="A435" i="1"/>
  <c r="A417" i="1"/>
  <c r="A418" i="1"/>
  <c r="A419" i="1"/>
  <c r="A420" i="1"/>
  <c r="A421" i="1"/>
  <c r="A422" i="1"/>
  <c r="A423" i="1"/>
  <c r="A424" i="1"/>
  <c r="A408" i="1"/>
  <c r="A409" i="1"/>
  <c r="A410" i="1"/>
  <c r="A411" i="1"/>
  <c r="A412" i="1"/>
  <c r="A413" i="1"/>
  <c r="A414" i="1"/>
  <c r="A415" i="1"/>
  <c r="A416" i="1"/>
  <c r="A399" i="1"/>
  <c r="A400" i="1"/>
  <c r="A401" i="1"/>
  <c r="A402" i="1"/>
  <c r="A403" i="1"/>
  <c r="A404" i="1"/>
  <c r="A405" i="1"/>
  <c r="A406" i="1"/>
  <c r="A407" i="1"/>
  <c r="A389" i="1"/>
  <c r="A390" i="1"/>
  <c r="A391" i="1"/>
  <c r="A392" i="1"/>
  <c r="A393" i="1"/>
  <c r="A394" i="1"/>
  <c r="A395" i="1"/>
  <c r="A396" i="1"/>
  <c r="A397" i="1"/>
  <c r="A398" i="1"/>
  <c r="A378" i="1"/>
  <c r="A379" i="1"/>
  <c r="A380" i="1"/>
  <c r="A381" i="1"/>
  <c r="A382" i="1"/>
  <c r="A383" i="1"/>
  <c r="A384" i="1"/>
  <c r="A385" i="1"/>
  <c r="A386" i="1"/>
  <c r="A387" i="1"/>
  <c r="A388" i="1"/>
  <c r="A377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6" i="1"/>
  <c r="A353" i="1"/>
  <c r="A362" i="1"/>
  <c r="A361" i="1"/>
  <c r="A360" i="1"/>
  <c r="A359" i="1"/>
  <c r="A346" i="1"/>
  <c r="A347" i="1"/>
  <c r="A348" i="1"/>
  <c r="A349" i="1"/>
  <c r="A350" i="1"/>
  <c r="A351" i="1"/>
  <c r="A352" i="1"/>
  <c r="A354" i="1"/>
  <c r="A355" i="1"/>
  <c r="A356" i="1"/>
  <c r="A357" i="1"/>
  <c r="A358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E514" i="1" l="1"/>
  <c r="D513" i="1"/>
  <c r="A513" i="1" s="1"/>
  <c r="E586" i="1"/>
  <c r="A585" i="1"/>
  <c r="E174" i="1"/>
  <c r="D174" i="1" s="1"/>
  <c r="A329" i="1"/>
  <c r="A330" i="1"/>
  <c r="A331" i="1"/>
  <c r="A332" i="1"/>
  <c r="A333" i="1"/>
  <c r="A320" i="1"/>
  <c r="A321" i="1"/>
  <c r="A322" i="1"/>
  <c r="A323" i="1"/>
  <c r="A324" i="1"/>
  <c r="A325" i="1"/>
  <c r="A326" i="1"/>
  <c r="A327" i="1"/>
  <c r="A328" i="1"/>
  <c r="A314" i="1"/>
  <c r="A315" i="1"/>
  <c r="A316" i="1"/>
  <c r="A317" i="1"/>
  <c r="A318" i="1"/>
  <c r="A319" i="1"/>
  <c r="A313" i="1"/>
  <c r="A312" i="1"/>
  <c r="A311" i="1"/>
  <c r="A302" i="1"/>
  <c r="A303" i="1"/>
  <c r="A304" i="1"/>
  <c r="A306" i="1"/>
  <c r="A307" i="1"/>
  <c r="A308" i="1"/>
  <c r="A309" i="1"/>
  <c r="A310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280" i="1"/>
  <c r="A281" i="1"/>
  <c r="A282" i="1"/>
  <c r="A283" i="1"/>
  <c r="A284" i="1"/>
  <c r="A285" i="1"/>
  <c r="A286" i="1"/>
  <c r="A287" i="1"/>
  <c r="A288" i="1"/>
  <c r="A289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50" i="1"/>
  <c r="A263" i="1"/>
  <c r="A247" i="1"/>
  <c r="A248" i="1"/>
  <c r="A249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44" i="1"/>
  <c r="A245" i="1"/>
  <c r="A24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17" i="1"/>
  <c r="A218" i="1"/>
  <c r="A219" i="1"/>
  <c r="A220" i="1"/>
  <c r="A221" i="1"/>
  <c r="A222" i="1"/>
  <c r="A223" i="1"/>
  <c r="A224" i="1"/>
  <c r="A225" i="1"/>
  <c r="A226" i="1"/>
  <c r="A216" i="1"/>
  <c r="E515" i="1" l="1"/>
  <c r="D514" i="1"/>
  <c r="A514" i="1" s="1"/>
  <c r="D586" i="1"/>
  <c r="A586" i="1" s="1"/>
  <c r="A174" i="1"/>
  <c r="E175" i="1"/>
  <c r="D175" i="1" s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198" i="1"/>
  <c r="A199" i="1"/>
  <c r="A200" i="1"/>
  <c r="A201" i="1"/>
  <c r="A202" i="1"/>
  <c r="A169" i="1"/>
  <c r="A170" i="1"/>
  <c r="A171" i="1"/>
  <c r="A172" i="1"/>
  <c r="A173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33" i="1"/>
  <c r="A134" i="1"/>
  <c r="A135" i="1"/>
  <c r="A136" i="1"/>
  <c r="A137" i="1"/>
  <c r="A138" i="1"/>
  <c r="A132" i="1"/>
  <c r="A131" i="1"/>
  <c r="A120" i="1"/>
  <c r="A121" i="1"/>
  <c r="A122" i="1"/>
  <c r="A123" i="1"/>
  <c r="A124" i="1"/>
  <c r="A125" i="1"/>
  <c r="A126" i="1"/>
  <c r="A127" i="1"/>
  <c r="A128" i="1"/>
  <c r="A129" i="1"/>
  <c r="A130" i="1"/>
  <c r="A111" i="1"/>
  <c r="A112" i="1"/>
  <c r="A113" i="1"/>
  <c r="A114" i="1"/>
  <c r="A115" i="1"/>
  <c r="A116" i="1"/>
  <c r="A117" i="1"/>
  <c r="A118" i="1"/>
  <c r="A119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89" i="1"/>
  <c r="A90" i="1"/>
  <c r="A91" i="1"/>
  <c r="A92" i="1"/>
  <c r="A93" i="1"/>
  <c r="A94" i="1"/>
  <c r="A95" i="1"/>
  <c r="A96" i="1"/>
  <c r="A97" i="1"/>
  <c r="A79" i="1"/>
  <c r="A80" i="1"/>
  <c r="A81" i="1"/>
  <c r="A82" i="1"/>
  <c r="A83" i="1"/>
  <c r="A84" i="1"/>
  <c r="A85" i="1"/>
  <c r="A86" i="1"/>
  <c r="A87" i="1"/>
  <c r="A88" i="1"/>
  <c r="A78" i="1"/>
  <c r="A68" i="1"/>
  <c r="A69" i="1"/>
  <c r="A70" i="1"/>
  <c r="A71" i="1"/>
  <c r="A72" i="1"/>
  <c r="A73" i="1"/>
  <c r="A74" i="1"/>
  <c r="A75" i="1"/>
  <c r="A76" i="1"/>
  <c r="A77" i="1"/>
  <c r="A56" i="1"/>
  <c r="A57" i="1"/>
  <c r="A58" i="1"/>
  <c r="A59" i="1"/>
  <c r="A60" i="1"/>
  <c r="A61" i="1"/>
  <c r="A62" i="1"/>
  <c r="A63" i="1"/>
  <c r="A64" i="1"/>
  <c r="A65" i="1"/>
  <c r="A66" i="1"/>
  <c r="A67" i="1"/>
  <c r="A44" i="1"/>
  <c r="A45" i="1"/>
  <c r="A46" i="1"/>
  <c r="A47" i="1"/>
  <c r="A48" i="1"/>
  <c r="A49" i="1"/>
  <c r="A50" i="1"/>
  <c r="A51" i="1"/>
  <c r="A52" i="1"/>
  <c r="A53" i="1"/>
  <c r="A54" i="1"/>
  <c r="A55" i="1"/>
  <c r="A37" i="1"/>
  <c r="A38" i="1"/>
  <c r="A39" i="1"/>
  <c r="A40" i="1"/>
  <c r="A41" i="1"/>
  <c r="A42" i="1"/>
  <c r="A43" i="1"/>
  <c r="A30" i="1"/>
  <c r="A31" i="1"/>
  <c r="A32" i="1"/>
  <c r="A33" i="1"/>
  <c r="A34" i="1"/>
  <c r="A35" i="1"/>
  <c r="A36" i="1"/>
  <c r="A20" i="1"/>
  <c r="E516" i="1" l="1"/>
  <c r="D515" i="1"/>
  <c r="A515" i="1" s="1"/>
  <c r="E176" i="1"/>
  <c r="D176" i="1" s="1"/>
  <c r="A175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1" i="1"/>
  <c r="A22" i="1"/>
  <c r="A24" i="1"/>
  <c r="A25" i="1"/>
  <c r="A26" i="1"/>
  <c r="A27" i="1"/>
  <c r="A28" i="1"/>
  <c r="A29" i="1"/>
  <c r="E517" i="1" l="1"/>
  <c r="D516" i="1"/>
  <c r="A516" i="1" s="1"/>
  <c r="E177" i="1"/>
  <c r="D177" i="1" s="1"/>
  <c r="A176" i="1"/>
  <c r="E518" i="1" l="1"/>
  <c r="D517" i="1"/>
  <c r="A517" i="1" s="1"/>
  <c r="E178" i="1"/>
  <c r="D178" i="1" s="1"/>
  <c r="A177" i="1"/>
  <c r="E519" i="1" l="1"/>
  <c r="D518" i="1"/>
  <c r="A518" i="1" s="1"/>
  <c r="E179" i="1"/>
  <c r="D179" i="1" s="1"/>
  <c r="A178" i="1"/>
  <c r="E520" i="1" l="1"/>
  <c r="D519" i="1"/>
  <c r="A519" i="1" s="1"/>
  <c r="E180" i="1"/>
  <c r="D180" i="1" s="1"/>
  <c r="A179" i="1"/>
  <c r="E521" i="1" l="1"/>
  <c r="D521" i="1" s="1"/>
  <c r="A521" i="1" s="1"/>
  <c r="D520" i="1"/>
  <c r="A520" i="1" s="1"/>
  <c r="E181" i="1"/>
  <c r="D181" i="1" s="1"/>
  <c r="A180" i="1"/>
  <c r="E182" i="1" l="1"/>
  <c r="D182" i="1" s="1"/>
  <c r="A181" i="1"/>
  <c r="E183" i="1" l="1"/>
  <c r="D183" i="1" s="1"/>
  <c r="A182" i="1"/>
  <c r="E184" i="1" l="1"/>
  <c r="D184" i="1" s="1"/>
  <c r="A183" i="1"/>
  <c r="E185" i="1" l="1"/>
  <c r="D185" i="1" s="1"/>
  <c r="A184" i="1"/>
  <c r="E186" i="1" l="1"/>
  <c r="D186" i="1" s="1"/>
  <c r="A185" i="1"/>
  <c r="E187" i="1" l="1"/>
  <c r="D187" i="1" s="1"/>
  <c r="A186" i="1"/>
  <c r="E188" i="1" l="1"/>
  <c r="D188" i="1" s="1"/>
  <c r="A187" i="1"/>
  <c r="E189" i="1" l="1"/>
  <c r="D189" i="1" s="1"/>
  <c r="A188" i="1"/>
  <c r="E190" i="1" l="1"/>
  <c r="D190" i="1" s="1"/>
  <c r="A189" i="1"/>
  <c r="E191" i="1" l="1"/>
  <c r="D191" i="1" s="1"/>
  <c r="A190" i="1"/>
  <c r="E192" i="1" l="1"/>
  <c r="D192" i="1" s="1"/>
  <c r="A191" i="1"/>
  <c r="E193" i="1" l="1"/>
  <c r="D193" i="1" s="1"/>
  <c r="A192" i="1"/>
  <c r="E194" i="1" l="1"/>
  <c r="D194" i="1" s="1"/>
  <c r="A193" i="1"/>
  <c r="A194" i="1" l="1"/>
  <c r="E196" i="1" l="1"/>
  <c r="D196" i="1" s="1"/>
  <c r="A195" i="1"/>
  <c r="E197" i="1" l="1"/>
  <c r="A196" i="1"/>
  <c r="D197" i="1" l="1"/>
  <c r="A197" i="1" s="1"/>
</calcChain>
</file>

<file path=xl/comments1.xml><?xml version="1.0" encoding="utf-8"?>
<comments xmlns="http://schemas.openxmlformats.org/spreadsheetml/2006/main">
  <authors>
    <author>Ramming, M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Avon Rd coded within interchange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Avon Rd coded within interchange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West Parachute Interchange not in 2015 network</t>
        </r>
      </text>
    </comment>
    <comment ref="L131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Uses former US 24E along Manitou Ave (devolved between 2015 and 2019)</t>
        </r>
      </text>
    </comment>
    <comment ref="J317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Unless we declare back to Elbert CR 178 as within interchange</t>
        </r>
      </text>
    </comment>
    <comment ref="G500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May be replaced by Picadilly Rd in future; what about other proposed interchanges along I-70 East?</t>
        </r>
      </text>
    </comment>
    <comment ref="I509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Is this in the network? 
Yes. Ramps and frontage road not precisely coded. Elbert CR 178 is not in network.</t>
        </r>
      </text>
    </comment>
    <comment ref="I512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Could have connection to old US 40 but exit is 3 miles from start of SH 040G - compare to 1.5 miles for SH 040E at Peoria Crossing and 2.0 miles for SH 040F</t>
        </r>
      </text>
    </comment>
    <comment ref="J538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Unless we declare 040F and back to Elbert CR 178 within interchange
</t>
        </r>
      </text>
    </comment>
    <comment ref="C605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OK since no detours generated as expected
</t>
        </r>
      </text>
    </comment>
    <comment ref="A624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No row in traffic database</t>
        </r>
      </text>
    </comment>
    <comment ref="L629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Both 085L_NB_003 and 085L_NB_004 apply to this segment; both use U-turns</t>
        </r>
      </text>
    </comment>
    <comment ref="K650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There is no Detour_Virt3x4</t>
        </r>
      </text>
    </comment>
    <comment ref="C975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470W mileposts go in opposite direction from those of 470A - both start at 0 at I-70A. Virtual route 470C uses 470A's mileposting order, that is, primary = EB</t>
        </r>
      </text>
    </comment>
  </commentList>
</comments>
</file>

<file path=xl/comments2.xml><?xml version="1.0" encoding="utf-8"?>
<comments xmlns="http://schemas.openxmlformats.org/spreadsheetml/2006/main">
  <authors>
    <author>Ramming, M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D St alignment would be about 0.2 miles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local connection: Jurrasic Park &amp; Ride
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Ramming, M:</t>
        </r>
        <r>
          <rPr>
            <sz val="9"/>
            <color indexed="81"/>
            <rFont val="Tahoma"/>
            <family val="2"/>
          </rPr>
          <t xml:space="preserve">
Local Connection santa Fe Frontage road</t>
        </r>
      </text>
    </comment>
  </commentList>
</comments>
</file>

<file path=xl/sharedStrings.xml><?xml version="1.0" encoding="utf-8"?>
<sst xmlns="http://schemas.openxmlformats.org/spreadsheetml/2006/main" count="22500" uniqueCount="5069">
  <si>
    <t>StatewideID</t>
  </si>
  <si>
    <t>Route</t>
  </si>
  <si>
    <t>SegmentID</t>
  </si>
  <si>
    <t>FromMP</t>
  </si>
  <si>
    <t>FromDesc</t>
  </si>
  <si>
    <t>ToMP</t>
  </si>
  <si>
    <t>ToDesc</t>
  </si>
  <si>
    <t>DetourComments</t>
  </si>
  <si>
    <t>NearbyStream</t>
  </si>
  <si>
    <t>001A</t>
  </si>
  <si>
    <t>US 287C</t>
  </si>
  <si>
    <t>I-25A</t>
  </si>
  <si>
    <t>002A</t>
  </si>
  <si>
    <t>US 285D</t>
  </si>
  <si>
    <t>SH 83A</t>
  </si>
  <si>
    <t>US 40C</t>
  </si>
  <si>
    <t>I-70A</t>
  </si>
  <si>
    <t>US 6H</t>
  </si>
  <si>
    <t>002D</t>
  </si>
  <si>
    <t>start</t>
  </si>
  <si>
    <t>I-76A WB ramps</t>
  </si>
  <si>
    <t>Spur - no detour possible</t>
  </si>
  <si>
    <t>First Creek</t>
  </si>
  <si>
    <t>003A</t>
  </si>
  <si>
    <t>US 160A</t>
  </si>
  <si>
    <t>Animas River</t>
  </si>
  <si>
    <t>005A</t>
  </si>
  <si>
    <t>SH 103A</t>
  </si>
  <si>
    <t>Mount Evans</t>
  </si>
  <si>
    <t>006A</t>
  </si>
  <si>
    <t>I-70A Mack</t>
  </si>
  <si>
    <t>SH 139A</t>
  </si>
  <si>
    <t>SH 340A</t>
  </si>
  <si>
    <t>I-70A, I-70B</t>
  </si>
  <si>
    <t>Virtual Route</t>
  </si>
  <si>
    <t>006O</t>
  </si>
  <si>
    <t>006P</t>
  </si>
  <si>
    <t>006Q</t>
  </si>
  <si>
    <t>006B</t>
  </si>
  <si>
    <t>I-70B</t>
  </si>
  <si>
    <t>I-70B Clifton</t>
  </si>
  <si>
    <t>006C</t>
  </si>
  <si>
    <t>I-70A Palisade</t>
  </si>
  <si>
    <t>006R</t>
  </si>
  <si>
    <t>006S</t>
  </si>
  <si>
    <t>006D</t>
  </si>
  <si>
    <t>Railroad Av, Rifle near I-70A, SH 13C</t>
  </si>
  <si>
    <t>I-70A New Castle</t>
  </si>
  <si>
    <t>Colorado River</t>
  </si>
  <si>
    <t>Colorado River (across I-70A)</t>
  </si>
  <si>
    <t>006E</t>
  </si>
  <si>
    <t>006T</t>
  </si>
  <si>
    <t>006W</t>
  </si>
  <si>
    <t>Jct I-70F spur Eagle</t>
  </si>
  <si>
    <t>Jct SH 131B Wolcott</t>
  </si>
  <si>
    <t>Jct I-70G spur Edwards</t>
  </si>
  <si>
    <t>I-70E spur Silt</t>
  </si>
  <si>
    <t>Jct US 24A I-70A Dowd Jct</t>
  </si>
  <si>
    <t>I-70A Eagle-Vail half diamond</t>
  </si>
  <si>
    <t>Jct SH 131A EO Wolcott</t>
  </si>
  <si>
    <t>Eagle River</t>
  </si>
  <si>
    <t>006F</t>
  </si>
  <si>
    <t>I-70A SH 9D Silverthorne</t>
  </si>
  <si>
    <t>I-70A Loveland ski area</t>
  </si>
  <si>
    <t>Snake River</t>
  </si>
  <si>
    <t>006G</t>
  </si>
  <si>
    <t>I-70A Kermitt's jct</t>
  </si>
  <si>
    <t>US 40B</t>
  </si>
  <si>
    <t>SH 119A</t>
  </si>
  <si>
    <t>SH 58A SH 93A Golden</t>
  </si>
  <si>
    <t>C-470W</t>
  </si>
  <si>
    <t>I-70A Denver West</t>
  </si>
  <si>
    <t>SH 391A Kipling St</t>
  </si>
  <si>
    <t>SH 121A Wadsworth Blvd</t>
  </si>
  <si>
    <t>SH 95A Sheridan Blvd</t>
  </si>
  <si>
    <t>SH 88A Federal Blvd</t>
  </si>
  <si>
    <t>Clear Creek</t>
  </si>
  <si>
    <t>South Platte River</t>
  </si>
  <si>
    <t>906A</t>
  </si>
  <si>
    <t>906B</t>
  </si>
  <si>
    <t>906C</t>
  </si>
  <si>
    <t>006H</t>
  </si>
  <si>
    <t>I-70A Steele St Vasquez Blvd</t>
  </si>
  <si>
    <t>SH 2A Colorado Blvd</t>
  </si>
  <si>
    <t>I-270A</t>
  </si>
  <si>
    <t>SH 265A Brighton Blvd</t>
  </si>
  <si>
    <t>SH 224A 74th Ave</t>
  </si>
  <si>
    <t>I-76A</t>
  </si>
  <si>
    <t>Sand Creek</t>
  </si>
  <si>
    <t>006I</t>
  </si>
  <si>
    <t>I-76A Morgan CR 3</t>
  </si>
  <si>
    <t>SH 39A SH 52A</t>
  </si>
  <si>
    <t>US 34A merge</t>
  </si>
  <si>
    <t>006J</t>
  </si>
  <si>
    <t>I-76A US 34E Brush</t>
  </si>
  <si>
    <t>SH 63A Atwood</t>
  </si>
  <si>
    <t>US 6Z Sterling</t>
  </si>
  <si>
    <t>SH 14C Sterling</t>
  </si>
  <si>
    <t>US 138A US 6Z Sterling</t>
  </si>
  <si>
    <t>SH 61A</t>
  </si>
  <si>
    <t>SH 59B Haxtun</t>
  </si>
  <si>
    <t>US 385D Holyoke</t>
  </si>
  <si>
    <t>906D</t>
  </si>
  <si>
    <t>906E</t>
  </si>
  <si>
    <t>906F</t>
  </si>
  <si>
    <t>006K</t>
  </si>
  <si>
    <t>Devereux Rd Glenwood Spgs</t>
  </si>
  <si>
    <t>006M</t>
  </si>
  <si>
    <t>006L</t>
  </si>
  <si>
    <t>I-70A US 6M WO Rifle</t>
  </si>
  <si>
    <t>SH 13A Rifle</t>
  </si>
  <si>
    <t>I-70A DeBeque</t>
  </si>
  <si>
    <t>I-70A West Parachute</t>
  </si>
  <si>
    <t>I-70A Parachute</t>
  </si>
  <si>
    <t>I-70A Rulison</t>
  </si>
  <si>
    <t>I-70A US 6L West Rifle</t>
  </si>
  <si>
    <t>906G</t>
  </si>
  <si>
    <t>906H</t>
  </si>
  <si>
    <t>906I</t>
  </si>
  <si>
    <t>006N</t>
  </si>
  <si>
    <t>I-70A North Frontage Rd Gypsum</t>
  </si>
  <si>
    <t>I-70A South Frontage Rd Gypsum</t>
  </si>
  <si>
    <t>006Z</t>
  </si>
  <si>
    <t>US 6J US 138A Sterling</t>
  </si>
  <si>
    <t>US 138Z Sterling</t>
  </si>
  <si>
    <t>US 6J Sterling</t>
  </si>
  <si>
    <t>007A</t>
  </si>
  <si>
    <t>US 36B Estes Park</t>
  </si>
  <si>
    <t>SH 7E Allenspark</t>
  </si>
  <si>
    <t>SH 7E EO Allenspark</t>
  </si>
  <si>
    <t>SH 72B</t>
  </si>
  <si>
    <t>US 36B Lyons</t>
  </si>
  <si>
    <t>007F</t>
  </si>
  <si>
    <t>007G</t>
  </si>
  <si>
    <t>Rock Creek</t>
  </si>
  <si>
    <t>South Saint Vrain Creek</t>
  </si>
  <si>
    <t>007B</t>
  </si>
  <si>
    <t>SH 93A SH 119A Boulder</t>
  </si>
  <si>
    <t>US 36B 28th St</t>
  </si>
  <si>
    <t>007C</t>
  </si>
  <si>
    <t>SH 157A Foothills Pkwy</t>
  </si>
  <si>
    <t>SH 42A 95th St</t>
  </si>
  <si>
    <t>US 287C 107th St</t>
  </si>
  <si>
    <t>007D</t>
  </si>
  <si>
    <t>US 287C Lafayette</t>
  </si>
  <si>
    <t>US 85C Brighton</t>
  </si>
  <si>
    <t>007E</t>
  </si>
  <si>
    <t>SH 7A Allenspark</t>
  </si>
  <si>
    <t>SH 7A EO Allenspark</t>
  </si>
  <si>
    <t>008A</t>
  </si>
  <si>
    <t>SH 74A Morrison</t>
  </si>
  <si>
    <t xml:space="preserve">C-470A </t>
  </si>
  <si>
    <t>SH 391A Kipling Pkwy</t>
  </si>
  <si>
    <t>008B</t>
  </si>
  <si>
    <t>008C</t>
  </si>
  <si>
    <t>Bear Creek</t>
  </si>
  <si>
    <t>009A</t>
  </si>
  <si>
    <t>US 50A</t>
  </si>
  <si>
    <t>US 24A Hartsel</t>
  </si>
  <si>
    <t>Middle Fork South Platte River</t>
  </si>
  <si>
    <t>009B</t>
  </si>
  <si>
    <t>US 24A WO Hartsel</t>
  </si>
  <si>
    <t>US 285D SO Fairplay</t>
  </si>
  <si>
    <t>009C</t>
  </si>
  <si>
    <t>US 285D Fairplay</t>
  </si>
  <si>
    <t>I-70A Frisco</t>
  </si>
  <si>
    <t>Blue River</t>
  </si>
  <si>
    <t>009D</t>
  </si>
  <si>
    <t>I-70A US 6F Silverthorne</t>
  </si>
  <si>
    <t>US 40A Kremmling</t>
  </si>
  <si>
    <t>010A</t>
  </si>
  <si>
    <t>I-25A Walsenburg</t>
  </si>
  <si>
    <t>SH 71A</t>
  </si>
  <si>
    <t>Apishapa River</t>
  </si>
  <si>
    <t>SH 71B</t>
  </si>
  <si>
    <t>US 50B La Junta</t>
  </si>
  <si>
    <t>011A</t>
  </si>
  <si>
    <t>US 138A WO Julesburg</t>
  </si>
  <si>
    <t>012A</t>
  </si>
  <si>
    <t>US 160A NEO La Veta</t>
  </si>
  <si>
    <t>I-25A Trinidad</t>
  </si>
  <si>
    <t>Cucharas River; Purgatoire River</t>
  </si>
  <si>
    <t>013A</t>
  </si>
  <si>
    <t>US 6L Rifle</t>
  </si>
  <si>
    <t>SH 325A</t>
  </si>
  <si>
    <t>SH 64A WO Meeker</t>
  </si>
  <si>
    <t>SH 317A</t>
  </si>
  <si>
    <t>US 40A Craig</t>
  </si>
  <si>
    <t>Yampa River</t>
  </si>
  <si>
    <t>Government Creek</t>
  </si>
  <si>
    <t>White River</t>
  </si>
  <si>
    <t>013B</t>
  </si>
  <si>
    <t>US 40Z Craig</t>
  </si>
  <si>
    <t>Fortification Creek</t>
  </si>
  <si>
    <t>013C</t>
  </si>
  <si>
    <t>Frontage Rd (7th St, Airport Rd) SO I-70A</t>
  </si>
  <si>
    <t>Rest area access NO I-70A</t>
  </si>
  <si>
    <t>Spur/within interchange</t>
  </si>
  <si>
    <t>014A</t>
  </si>
  <si>
    <t>US 40A Muddy Pass</t>
  </si>
  <si>
    <t>SH 125A SWO Walden</t>
  </si>
  <si>
    <t>Grizzly Creek</t>
  </si>
  <si>
    <t>014B</t>
  </si>
  <si>
    <t>SH 125A Walden</t>
  </si>
  <si>
    <t>US 287C Ted's Place</t>
  </si>
  <si>
    <t>Michigan River; Joe Wright Creek; Cache la Poudre River</t>
  </si>
  <si>
    <t>014C</t>
  </si>
  <si>
    <t>US 287C Fort Collins</t>
  </si>
  <si>
    <t>SH 257B</t>
  </si>
  <si>
    <t>US 85L Ault</t>
  </si>
  <si>
    <t>SH 392B Briggsdale</t>
  </si>
  <si>
    <t>SH 52B EO Raymer</t>
  </si>
  <si>
    <t>SH 71F Stoneham</t>
  </si>
  <si>
    <t>SH 71E</t>
  </si>
  <si>
    <t>Cache la Poudre River</t>
  </si>
  <si>
    <t>SH 257A</t>
  </si>
  <si>
    <t>015A</t>
  </si>
  <si>
    <t>US 160A Monte Vista</t>
  </si>
  <si>
    <t>SH 370A</t>
  </si>
  <si>
    <t>end at Rio Grande/Conejos county line</t>
  </si>
  <si>
    <t>015B</t>
  </si>
  <si>
    <t>start WO Capulin</t>
  </si>
  <si>
    <t>SH 371A</t>
  </si>
  <si>
    <t>US 285A La Jara</t>
  </si>
  <si>
    <t>La Jara Creek</t>
  </si>
  <si>
    <t>016A</t>
  </si>
  <si>
    <t>I-25A Fort Carson</t>
  </si>
  <si>
    <t>US 85A</t>
  </si>
  <si>
    <t>SH 21A Powers Blvd</t>
  </si>
  <si>
    <t>Fountain Creek</t>
  </si>
  <si>
    <t>017A</t>
  </si>
  <si>
    <t>New Mexico state line</t>
  </si>
  <si>
    <t>US 285A Antonito</t>
  </si>
  <si>
    <t>Rio de los Pinos; Conejos River</t>
  </si>
  <si>
    <t>017B</t>
  </si>
  <si>
    <t>US 160A Alamosa</t>
  </si>
  <si>
    <t>SH 112A Hooper</t>
  </si>
  <si>
    <t>US 285B SO Villa Grove</t>
  </si>
  <si>
    <t>021A</t>
  </si>
  <si>
    <t>SH 16A Mesa Ridge Pkwy</t>
  </si>
  <si>
    <t>021B</t>
  </si>
  <si>
    <t>US 24H Fountain Blvd</t>
  </si>
  <si>
    <t>US 24G US 24H Platte Ave</t>
  </si>
  <si>
    <t>SH 83A Interquest Pkwy</t>
  </si>
  <si>
    <t>022A</t>
  </si>
  <si>
    <t>start Sable Blvd (former SH 2)</t>
  </si>
  <si>
    <t>US 85C</t>
  </si>
  <si>
    <t>Brighton Road (pre-1942 US 85)</t>
  </si>
  <si>
    <t>023A</t>
  </si>
  <si>
    <t>Nebraska state line</t>
  </si>
  <si>
    <t>Kansas state line</t>
  </si>
  <si>
    <t>Wyoming state line</t>
  </si>
  <si>
    <t>024A</t>
  </si>
  <si>
    <t>I-70A US 6E Dowd Jct</t>
  </si>
  <si>
    <t>SH 91A NO Leadville</t>
  </si>
  <si>
    <t>SH 300A SWO Leadville</t>
  </si>
  <si>
    <t>SH 82A Twin Lakes</t>
  </si>
  <si>
    <t>US 285C Johnson Village</t>
  </si>
  <si>
    <t>US 285D Antero Jct</t>
  </si>
  <si>
    <t>SH 9B WO Hartsel</t>
  </si>
  <si>
    <t>SH 9A Hartsel</t>
  </si>
  <si>
    <t>SH 67D Woodland Park</t>
  </si>
  <si>
    <t>US 24E NOW Manitou Spgs</t>
  </si>
  <si>
    <t>US 24E Manitou Ave</t>
  </si>
  <si>
    <t>US 24I 31st St Colorado Spgs</t>
  </si>
  <si>
    <t>SH 67F Divide (f/k/a SH 67C)</t>
  </si>
  <si>
    <t>Eagle River; Tennessee Creek</t>
  </si>
  <si>
    <t>024J</t>
  </si>
  <si>
    <t>024K</t>
  </si>
  <si>
    <t>Arkansas River</t>
  </si>
  <si>
    <t>Trout Creek</t>
  </si>
  <si>
    <t>Twin Creek</t>
  </si>
  <si>
    <t>Fountain Creek (Waldo Cyn)</t>
  </si>
  <si>
    <t>024B</t>
  </si>
  <si>
    <t>start WO SH 59A Seibert</t>
  </si>
  <si>
    <t>SH 59A Seibert</t>
  </si>
  <si>
    <t>I-70P Vona</t>
  </si>
  <si>
    <t>SH 57A Stratton</t>
  </si>
  <si>
    <t>024O</t>
  </si>
  <si>
    <t>024P</t>
  </si>
  <si>
    <t>024C</t>
  </si>
  <si>
    <t>US 385C Burlington</t>
  </si>
  <si>
    <t>024D</t>
  </si>
  <si>
    <t>SH 385C Burlington</t>
  </si>
  <si>
    <t>end NEO Burlington</t>
  </si>
  <si>
    <t>I-70Q</t>
  </si>
  <si>
    <t>024E</t>
  </si>
  <si>
    <t>US 24A NWO Manitou Spgs</t>
  </si>
  <si>
    <t>US 24A</t>
  </si>
  <si>
    <t>024F</t>
  </si>
  <si>
    <t>US 24G US 40G West Limon</t>
  </si>
  <si>
    <t>I-70A West Limon</t>
  </si>
  <si>
    <t>024G</t>
  </si>
  <si>
    <t>US 24H SH 21B Powers Blvd</t>
  </si>
  <si>
    <t>SH 94A</t>
  </si>
  <si>
    <t>US 24F US 40G West Limon</t>
  </si>
  <si>
    <t>SH 71C Limon</t>
  </si>
  <si>
    <t>SH 71D Limon</t>
  </si>
  <si>
    <t>I-70A East Limon</t>
  </si>
  <si>
    <t>I-70A US 40H EO Limon</t>
  </si>
  <si>
    <t>024L</t>
  </si>
  <si>
    <t>024M</t>
  </si>
  <si>
    <t>024N</t>
  </si>
  <si>
    <t>024L; 024M</t>
  </si>
  <si>
    <t>024H</t>
  </si>
  <si>
    <t>US 24G SH 21B Platte-Powers</t>
  </si>
  <si>
    <t>Spring Creek</t>
  </si>
  <si>
    <t>024I</t>
  </si>
  <si>
    <t>Start Colorado Ave</t>
  </si>
  <si>
    <t>US 24A Midland Trail</t>
  </si>
  <si>
    <t>025A</t>
  </si>
  <si>
    <t>SH 12A Trinidad</t>
  </si>
  <si>
    <t>US 160C SH 239A Trinidad, El Moro</t>
  </si>
  <si>
    <t>I-25B Aguilar spur</t>
  </si>
  <si>
    <t>I-25C Walsenburg</t>
  </si>
  <si>
    <t>US 160B SH 10A Walsenburg</t>
  </si>
  <si>
    <t>I-25C NO Walsenburg</t>
  </si>
  <si>
    <t>SH 45A Pueblo Blvd</t>
  </si>
  <si>
    <t>US 50C Santa Fe Dr, Ilex Ave</t>
  </si>
  <si>
    <t>SH 96A</t>
  </si>
  <si>
    <t>US 50B</t>
  </si>
  <si>
    <t>US 50A SH 47A</t>
  </si>
  <si>
    <t>US 85A Fountain</t>
  </si>
  <si>
    <t>SH 16A Fort Carson</t>
  </si>
  <si>
    <t>US 24H Colorado Spgs</t>
  </si>
  <si>
    <t xml:space="preserve">SH 115A </t>
  </si>
  <si>
    <t>US 24A Colorado Spgs</t>
  </si>
  <si>
    <t>SH 105A Monument</t>
  </si>
  <si>
    <t>US 85B SH 86B Castle Rock</t>
  </si>
  <si>
    <t>C-470A E-470B</t>
  </si>
  <si>
    <t>SH 88B Arapahoe Rd</t>
  </si>
  <si>
    <t>SH 88A Belleview Ave</t>
  </si>
  <si>
    <t>I-225A</t>
  </si>
  <si>
    <t>US 285D SH 30A Hampden Ave</t>
  </si>
  <si>
    <t>US 85B Santa Fe Dr</t>
  </si>
  <si>
    <t>SH 26B Alameda Ave</t>
  </si>
  <si>
    <t>US 6G 6th Ave Fwy</t>
  </si>
  <si>
    <t>US 40C Colfax Ave</t>
  </si>
  <si>
    <t>I-70A Mousetrap</t>
  </si>
  <si>
    <t>SH 53A 58th Ave</t>
  </si>
  <si>
    <t>I-76A Turnpike Tangle</t>
  </si>
  <si>
    <t>SH 224A 70th Ave</t>
  </si>
  <si>
    <t>I-270B US 36B Turnpike Tangle</t>
  </si>
  <si>
    <t>I-225A Full House</t>
  </si>
  <si>
    <t>SH 128B 120th Ave Wagon Rd PnR</t>
  </si>
  <si>
    <t>E-470B NWP 470N</t>
  </si>
  <si>
    <t>SH 7D 168th Ave Weld CR 2 Baseline Rd</t>
  </si>
  <si>
    <t>SH 52A</t>
  </si>
  <si>
    <t>SH 119C Longmont Firestone</t>
  </si>
  <si>
    <t>SH 66B Ute Hwy</t>
  </si>
  <si>
    <t>SH 56B</t>
  </si>
  <si>
    <t>SH 60B</t>
  </si>
  <si>
    <t>SH 402A</t>
  </si>
  <si>
    <t>US 34A Loveland Centerra</t>
  </si>
  <si>
    <t>SH 392A</t>
  </si>
  <si>
    <t>SH 14C Fort Collins</t>
  </si>
  <si>
    <t>SH 1A Wellington</t>
  </si>
  <si>
    <t>025F</t>
  </si>
  <si>
    <t>025D</t>
  </si>
  <si>
    <t>025E</t>
  </si>
  <si>
    <t>025I</t>
  </si>
  <si>
    <t>Raton Creek; Purgatoire River</t>
  </si>
  <si>
    <t>SH 165A Colorado City Rye</t>
  </si>
  <si>
    <t>Purgatoire River</t>
  </si>
  <si>
    <t>Cucharas River</t>
  </si>
  <si>
    <t>Huerfano River</t>
  </si>
  <si>
    <t>Saint Charles River; Salt Creek</t>
  </si>
  <si>
    <t>Monument Creek</t>
  </si>
  <si>
    <t>East Plum Creek</t>
  </si>
  <si>
    <t>Big Dry Creek</t>
  </si>
  <si>
    <t>Little Dry Creek</t>
  </si>
  <si>
    <t>Saint Vrain Creek</t>
  </si>
  <si>
    <t>Little Thompson River</t>
  </si>
  <si>
    <t>Big Thompson River</t>
  </si>
  <si>
    <t>Lone Tree Creek</t>
  </si>
  <si>
    <t>025B</t>
  </si>
  <si>
    <t>Aguilar</t>
  </si>
  <si>
    <t>025C</t>
  </si>
  <si>
    <t>US 160A Walsenburg</t>
  </si>
  <si>
    <t>US 160B Walsenburg</t>
  </si>
  <si>
    <t>SH 69A</t>
  </si>
  <si>
    <t>I-25A NO Walsenburg</t>
  </si>
  <si>
    <t>025G</t>
  </si>
  <si>
    <t>025H</t>
  </si>
  <si>
    <t>026B</t>
  </si>
  <si>
    <t>030A</t>
  </si>
  <si>
    <t>I-25A US 285D</t>
  </si>
  <si>
    <t>SH 83A Parker Rd</t>
  </si>
  <si>
    <t>E-470B via Jewell Ave</t>
  </si>
  <si>
    <t>E-470B at Quincy Ave</t>
  </si>
  <si>
    <t>030B</t>
  </si>
  <si>
    <t>030C</t>
  </si>
  <si>
    <t>Cherry Creek</t>
  </si>
  <si>
    <t>Toll Gate Creek</t>
  </si>
  <si>
    <t>034A</t>
  </si>
  <si>
    <t>US 36A Deer Ridge Jct RMNP</t>
  </si>
  <si>
    <t>US 34F Elkhorn Ave Estes Park</t>
  </si>
  <si>
    <t>US 34C US 36B Estes Park</t>
  </si>
  <si>
    <t>US 287Z Cleveland Ave Loveland</t>
  </si>
  <si>
    <t>US 287C Lincoln Ave Loveland</t>
  </si>
  <si>
    <t>I-25A Centerra</t>
  </si>
  <si>
    <t>US 34D Greeley business route</t>
  </si>
  <si>
    <t>US 85C US 85G</t>
  </si>
  <si>
    <t>US 85L</t>
  </si>
  <si>
    <t>SH 144A</t>
  </si>
  <si>
    <t>SH 39A NO Wiggins</t>
  </si>
  <si>
    <t>US 6I on ramp to I-76A</t>
  </si>
  <si>
    <t>034G</t>
  </si>
  <si>
    <t>034H</t>
  </si>
  <si>
    <t>034I</t>
  </si>
  <si>
    <t>034J</t>
  </si>
  <si>
    <t>Fall River</t>
  </si>
  <si>
    <t>Black Canyon Creek</t>
  </si>
  <si>
    <t>034B</t>
  </si>
  <si>
    <t>I-76A WO Fort Morgan</t>
  </si>
  <si>
    <t>SH 52B Fort Morgan</t>
  </si>
  <si>
    <t>SH 71E Brush</t>
  </si>
  <si>
    <t>SH 71D EO Brush</t>
  </si>
  <si>
    <t>US 34E to I-76A</t>
  </si>
  <si>
    <t>SH 63A Akron</t>
  </si>
  <si>
    <t>SH 61A Otis</t>
  </si>
  <si>
    <t>SH 59B Yuma</t>
  </si>
  <si>
    <t>US 385D Wray</t>
  </si>
  <si>
    <t>North Fork Republican River</t>
  </si>
  <si>
    <t>034N</t>
  </si>
  <si>
    <t>034O</t>
  </si>
  <si>
    <t>034P</t>
  </si>
  <si>
    <t>034K</t>
  </si>
  <si>
    <t>034C</t>
  </si>
  <si>
    <t>US 36A Moraine Ave</t>
  </si>
  <si>
    <t>034D</t>
  </si>
  <si>
    <t>US 34A</t>
  </si>
  <si>
    <t>US 34Z WO 23rd Ave</t>
  </si>
  <si>
    <t>US 34Z 10th Ave</t>
  </si>
  <si>
    <t>US 85H business</t>
  </si>
  <si>
    <t>US 85G business</t>
  </si>
  <si>
    <t>US 34A EO Greeley</t>
  </si>
  <si>
    <t>US 34A US 36B Estes Park</t>
  </si>
  <si>
    <t>034L</t>
  </si>
  <si>
    <t>034M</t>
  </si>
  <si>
    <t>US 34B EO Brush</t>
  </si>
  <si>
    <t>I-76A EO Brush</t>
  </si>
  <si>
    <t>034F</t>
  </si>
  <si>
    <t>US 34A Estes Park</t>
  </si>
  <si>
    <t>end EO US 34A</t>
  </si>
  <si>
    <t>034Z</t>
  </si>
  <si>
    <t>US 34D 10th Ave</t>
  </si>
  <si>
    <t>US 34D WO 23rd Ave</t>
  </si>
  <si>
    <t>035A</t>
  </si>
  <si>
    <t>end 53rd Pl</t>
  </si>
  <si>
    <t>036A</t>
  </si>
  <si>
    <t>US 34A Deer Ridge Jct</t>
  </si>
  <si>
    <t>US 34C Elkhorn Ave</t>
  </si>
  <si>
    <t>Beaver Brook; Big Thompson River</t>
  </si>
  <si>
    <t>036B</t>
  </si>
  <si>
    <t>US 34A US 34A Estes Park</t>
  </si>
  <si>
    <t>SH 7A</t>
  </si>
  <si>
    <t>US 36Z Lyons</t>
  </si>
  <si>
    <t>SH 7A Lyons</t>
  </si>
  <si>
    <t>SH 119B Iris Ave</t>
  </si>
  <si>
    <t>SH 7B Canyon Blvd</t>
  </si>
  <si>
    <t>SH 7C Arapahoe Ave</t>
  </si>
  <si>
    <t>US 36E Baseline Rd</t>
  </si>
  <si>
    <t>SH 170A McCaslin Blvd</t>
  </si>
  <si>
    <t>Interlocken Loop to NWP 470N</t>
  </si>
  <si>
    <t>SH 121A Wadsworth Pkwy</t>
  </si>
  <si>
    <t>US 287C Federal Blvd</t>
  </si>
  <si>
    <t>SH 224A Broadway</t>
  </si>
  <si>
    <t>I-25A I-270B Turnpike Tangle</t>
  </si>
  <si>
    <t>270D</t>
  </si>
  <si>
    <t>270E</t>
  </si>
  <si>
    <t>270F</t>
  </si>
  <si>
    <t>Little Thompson River; North Saint Vrain Creek</t>
  </si>
  <si>
    <t>Left Hand Creek</t>
  </si>
  <si>
    <t>Goose Creek</t>
  </si>
  <si>
    <t>Boulder Creek</t>
  </si>
  <si>
    <t>Coal Creek</t>
  </si>
  <si>
    <t>036C</t>
  </si>
  <si>
    <t>I-70A Monaghan Rd</t>
  </si>
  <si>
    <t>I-70L spur Watkins Rd</t>
  </si>
  <si>
    <t>SH 79A Bennett</t>
  </si>
  <si>
    <t>SH 79B SH 36D Bennett</t>
  </si>
  <si>
    <t>036G</t>
  </si>
  <si>
    <t>036F</t>
  </si>
  <si>
    <t>036G; 036M</t>
  </si>
  <si>
    <t>036D</t>
  </si>
  <si>
    <t>SH 79B SH 36C Bennett</t>
  </si>
  <si>
    <t>I-70A Exit 306 SEO Kiowa-Bennett Rd</t>
  </si>
  <si>
    <t>Kiowa Creek</t>
  </si>
  <si>
    <t>I-70M Strasburg spur</t>
  </si>
  <si>
    <t>SH 40D Byers</t>
  </si>
  <si>
    <t>I-70A Byers</t>
  </si>
  <si>
    <t>SH 71D Last Chance</t>
  </si>
  <si>
    <t>SH 63A Anton</t>
  </si>
  <si>
    <t>SH 59A Cope</t>
  </si>
  <si>
    <t>SH 59B</t>
  </si>
  <si>
    <t>US 385C EO Idalia</t>
  </si>
  <si>
    <t>US 385D</t>
  </si>
  <si>
    <t>Arikaree River</t>
  </si>
  <si>
    <t>036H</t>
  </si>
  <si>
    <t>036I</t>
  </si>
  <si>
    <t>036J</t>
  </si>
  <si>
    <t>036K</t>
  </si>
  <si>
    <t>036L</t>
  </si>
  <si>
    <t>036E</t>
  </si>
  <si>
    <t>SH 93A Broadway St</t>
  </si>
  <si>
    <t>US 36B</t>
  </si>
  <si>
    <t>West Bijou Creek</t>
  </si>
  <si>
    <t>036Z</t>
  </si>
  <si>
    <t>US 36B EO SH 7A</t>
  </si>
  <si>
    <t>US 36B NO SH 7A</t>
  </si>
  <si>
    <t>039A</t>
  </si>
  <si>
    <t>US 6I SH 52A NEO Wiggins</t>
  </si>
  <si>
    <t>040A</t>
  </si>
  <si>
    <t>Utah state line</t>
  </si>
  <si>
    <t>SH 64A Dinosaur</t>
  </si>
  <si>
    <t>SH 318A</t>
  </si>
  <si>
    <t>SH 13A Craig</t>
  </si>
  <si>
    <t>SH 394A Craig</t>
  </si>
  <si>
    <t>SH 13B Craig</t>
  </si>
  <si>
    <t>SH 131B SO Steamboat Spgs</t>
  </si>
  <si>
    <t>SH 14A Muddy Pass</t>
  </si>
  <si>
    <t>SH 134A</t>
  </si>
  <si>
    <t>SH 9D Kremmling</t>
  </si>
  <si>
    <t>SH 125A</t>
  </si>
  <si>
    <t>US 34A Granby</t>
  </si>
  <si>
    <t>US 40A Granby</t>
  </si>
  <si>
    <t>I-70A Empire Jct</t>
  </si>
  <si>
    <t>040I</t>
  </si>
  <si>
    <t>040J</t>
  </si>
  <si>
    <t>040K</t>
  </si>
  <si>
    <t>Walton Creek</t>
  </si>
  <si>
    <t>Muddy Creek</t>
  </si>
  <si>
    <t>Fraser River</t>
  </si>
  <si>
    <t>Fraser River; West Fork Clear Creek</t>
  </si>
  <si>
    <t>040B</t>
  </si>
  <si>
    <t>US 6G</t>
  </si>
  <si>
    <t>I-70A Floyd Hill exit</t>
  </si>
  <si>
    <t>I-70A Beaver Brook exit</t>
  </si>
  <si>
    <t>I-70A El Rancho exit</t>
  </si>
  <si>
    <t>SH 74A Evergreen Pkwy</t>
  </si>
  <si>
    <t>040L</t>
  </si>
  <si>
    <t>040M</t>
  </si>
  <si>
    <t>040N</t>
  </si>
  <si>
    <t>040O</t>
  </si>
  <si>
    <t>Beaver Brook; Soda Creek</t>
  </si>
  <si>
    <t>040C</t>
  </si>
  <si>
    <t>I-70A Genesee exit</t>
  </si>
  <si>
    <t>I-70A Lookout Mountain exit</t>
  </si>
  <si>
    <t>I-70A Jefferson CR 93 Morrison exit</t>
  </si>
  <si>
    <t>US 287C SH 88A Federal Blvd</t>
  </si>
  <si>
    <t>I-70A Aurora</t>
  </si>
  <si>
    <t>040P</t>
  </si>
  <si>
    <t>040Q</t>
  </si>
  <si>
    <t>040R</t>
  </si>
  <si>
    <t>040S</t>
  </si>
  <si>
    <t>040T</t>
  </si>
  <si>
    <t>040U</t>
  </si>
  <si>
    <t>040V</t>
  </si>
  <si>
    <t>040X</t>
  </si>
  <si>
    <t>040Y</t>
  </si>
  <si>
    <t>Mount Vernon Creek</t>
  </si>
  <si>
    <t>040D</t>
  </si>
  <si>
    <t>SH 36D Byers</t>
  </si>
  <si>
    <t>ends EO Byers</t>
  </si>
  <si>
    <t>040E</t>
  </si>
  <si>
    <t>start WO Deer Trail</t>
  </si>
  <si>
    <t>I-70N Deer Trail spur</t>
  </si>
  <si>
    <t>ends EO Deer Trail</t>
  </si>
  <si>
    <t>040F</t>
  </si>
  <si>
    <t>start NWO Agate</t>
  </si>
  <si>
    <t>I-70O Agate spur</t>
  </si>
  <si>
    <t>040G</t>
  </si>
  <si>
    <t>start WO Limon</t>
  </si>
  <si>
    <t>US 24F US 24G West Limon</t>
  </si>
  <si>
    <t>040H</t>
  </si>
  <si>
    <t>I-70A US 24G EO Limon</t>
  </si>
  <si>
    <t>SH 59A Kit Carson</t>
  </si>
  <si>
    <t>US 287B EO Kit Carson</t>
  </si>
  <si>
    <t>US 385C Cheyenne Wells</t>
  </si>
  <si>
    <t>US 385B EO Cheyenne Wells</t>
  </si>
  <si>
    <t>940A</t>
  </si>
  <si>
    <t>940B</t>
  </si>
  <si>
    <t>040Z</t>
  </si>
  <si>
    <t>US 40A Lincoln St Craig</t>
  </si>
  <si>
    <t>SH 13B Yampa Ave</t>
  </si>
  <si>
    <t>SH 394A Ranney St Craig</t>
  </si>
  <si>
    <t>US 40A Parshing St Craig</t>
  </si>
  <si>
    <t>041A</t>
  </si>
  <si>
    <t>042A</t>
  </si>
  <si>
    <t>044A</t>
  </si>
  <si>
    <t>start Hansen Blvd (former SH 2)</t>
  </si>
  <si>
    <t>end Colorado Blvd</t>
  </si>
  <si>
    <t>045A</t>
  </si>
  <si>
    <t>SH 78A Northern Ave</t>
  </si>
  <si>
    <t>SH 96A Thatcher Ave</t>
  </si>
  <si>
    <t>046A</t>
  </si>
  <si>
    <t>end at Gilpin/Jefferson county line</t>
  </si>
  <si>
    <t>Ralston Creek</t>
  </si>
  <si>
    <t>047A</t>
  </si>
  <si>
    <t>I-25A US 50A</t>
  </si>
  <si>
    <t>US 50B SH 96A</t>
  </si>
  <si>
    <t>050A</t>
  </si>
  <si>
    <t>I-70Z Ute Ave</t>
  </si>
  <si>
    <t>I-70B Pitkin Ave</t>
  </si>
  <si>
    <t>SH 141B 32 Rd</t>
  </si>
  <si>
    <t>SH 141A</t>
  </si>
  <si>
    <t>SH 92A Delta</t>
  </si>
  <si>
    <t>SH 348A Delta</t>
  </si>
  <si>
    <t>US 50D Olathe</t>
  </si>
  <si>
    <t>SH 348A Olathe</t>
  </si>
  <si>
    <t>US 550B Montrose</t>
  </si>
  <si>
    <t>SH 347A to Black Canyon of the Gunnison NP</t>
  </si>
  <si>
    <t>SH 92A Sapinero</t>
  </si>
  <si>
    <t>SH 149A Blue Mesa Reservior</t>
  </si>
  <si>
    <t>SH 135A Gunnison</t>
  </si>
  <si>
    <t>SH 114A WO Parlin</t>
  </si>
  <si>
    <t>US 285C Poncha Spgs</t>
  </si>
  <si>
    <t>US 285B Poncha Spgs</t>
  </si>
  <si>
    <t>SH 69A Texas Creek</t>
  </si>
  <si>
    <t>SH 9A</t>
  </si>
  <si>
    <t>SH 115A Canon City</t>
  </si>
  <si>
    <t>SH 67B NO Florence</t>
  </si>
  <si>
    <t>SH 115A Penrose</t>
  </si>
  <si>
    <t>SH 120A EO Portland</t>
  </si>
  <si>
    <t>I-25A SH 47A</t>
  </si>
  <si>
    <t>SH 291A Salida</t>
  </si>
  <si>
    <t>050E</t>
  </si>
  <si>
    <t>050F</t>
  </si>
  <si>
    <t>050G</t>
  </si>
  <si>
    <t>050D</t>
  </si>
  <si>
    <t>050K</t>
  </si>
  <si>
    <t>Colorado River; Gunnison River</t>
  </si>
  <si>
    <t>Gunnison River</t>
  </si>
  <si>
    <t>Uncompahgre River</t>
  </si>
  <si>
    <t>Cedar Creek; Cimmaron River</t>
  </si>
  <si>
    <t>Cedar Creek</t>
  </si>
  <si>
    <t>Tomichi Creek</t>
  </si>
  <si>
    <t>Tomichi Creek; South Arkansas River</t>
  </si>
  <si>
    <t xml:space="preserve">South Arkansas River </t>
  </si>
  <si>
    <t>050B</t>
  </si>
  <si>
    <t>SH 47A SH 96A</t>
  </si>
  <si>
    <t>SH 96B North Avondale</t>
  </si>
  <si>
    <t>US 50C Avondale</t>
  </si>
  <si>
    <t>SH 209A</t>
  </si>
  <si>
    <t>SH 167A Fowler</t>
  </si>
  <si>
    <t>SH 207A Manzanola</t>
  </si>
  <si>
    <t>SH 71C US 50Z WO Rocky Ford</t>
  </si>
  <si>
    <t>SH 202A Rocky Ford</t>
  </si>
  <si>
    <t>SH 71B SH 266A Rocky Ford</t>
  </si>
  <si>
    <t>US 50Z Rocky Ford</t>
  </si>
  <si>
    <t>SH 10A La Junta</t>
  </si>
  <si>
    <t>SH 109B Bradish Ave La Junta</t>
  </si>
  <si>
    <t>SH 101A Las Animas</t>
  </si>
  <si>
    <t>SH 194A NO Las Animas</t>
  </si>
  <si>
    <t>SH 183A Fort Lyon</t>
  </si>
  <si>
    <t>SH 196A</t>
  </si>
  <si>
    <t>US 287B WO Lamar</t>
  </si>
  <si>
    <t>US 287A Lamar</t>
  </si>
  <si>
    <t>US 385A Granada</t>
  </si>
  <si>
    <t>SH 89A Holly</t>
  </si>
  <si>
    <t>045B</t>
  </si>
  <si>
    <t>045C</t>
  </si>
  <si>
    <t>SH 231A Devine</t>
  </si>
  <si>
    <t>US 350A Grant St La Junta</t>
  </si>
  <si>
    <t>050C</t>
  </si>
  <si>
    <t>SH 96A 4th St Pueblo</t>
  </si>
  <si>
    <t>I-25A Ilex interchange</t>
  </si>
  <si>
    <t>SH 227A La Crosse Ave Roselawn Rd</t>
  </si>
  <si>
    <t>SH 231A Vineland</t>
  </si>
  <si>
    <t>US 50B Avondale</t>
  </si>
  <si>
    <t>050H</t>
  </si>
  <si>
    <t>050I</t>
  </si>
  <si>
    <t>050J</t>
  </si>
  <si>
    <t>Historic Arkansas Riverwalk of Pueblo (HARP)</t>
  </si>
  <si>
    <t>Saint Charles River</t>
  </si>
  <si>
    <t>US 50A Olathe</t>
  </si>
  <si>
    <t>SH 348A 5th St Olathe</t>
  </si>
  <si>
    <t>US 50A SEO Olathe</t>
  </si>
  <si>
    <t>050L</t>
  </si>
  <si>
    <t>050Z</t>
  </si>
  <si>
    <t>SH 266A to SH 71B Rocky Ford</t>
  </si>
  <si>
    <t>US 50B SH 71C WO Rocky Ford</t>
  </si>
  <si>
    <t>US 50B Rocky Ford</t>
  </si>
  <si>
    <t>052A</t>
  </si>
  <si>
    <t>SH 119B Longmont Diagonal</t>
  </si>
  <si>
    <t>US 85C Fort Lupton</t>
  </si>
  <si>
    <t>I-76A Hudson</t>
  </si>
  <si>
    <t>SH 79B</t>
  </si>
  <si>
    <t>US 6I SH 39A NEO Wiggins</t>
  </si>
  <si>
    <t>052C</t>
  </si>
  <si>
    <t>052D</t>
  </si>
  <si>
    <t>US 85E Fort Lupton business loop</t>
  </si>
  <si>
    <t>052B</t>
  </si>
  <si>
    <t>US 34B Fort Morgan</t>
  </si>
  <si>
    <t xml:space="preserve">I-76A </t>
  </si>
  <si>
    <t>SH 14C EO Raymer</t>
  </si>
  <si>
    <t>053A</t>
  </si>
  <si>
    <t>I-25A 58th Ave exit</t>
  </si>
  <si>
    <t>SH 224A 70th Ave &amp; Broadway</t>
  </si>
  <si>
    <t>055A</t>
  </si>
  <si>
    <t>US 138A Crook</t>
  </si>
  <si>
    <t>ends NO Logan CR 46</t>
  </si>
  <si>
    <t>056B</t>
  </si>
  <si>
    <t>US 287C Berthoud Bypass</t>
  </si>
  <si>
    <t>057A</t>
  </si>
  <si>
    <t>US 24B US 24C Stratton</t>
  </si>
  <si>
    <t>058A</t>
  </si>
  <si>
    <t>US 6G SH 93A Golden</t>
  </si>
  <si>
    <t>059A</t>
  </si>
  <si>
    <t>US 40H Kit Carson</t>
  </si>
  <si>
    <t>I-70A SO Seibert</t>
  </si>
  <si>
    <t>US 24B Seibert</t>
  </si>
  <si>
    <t>US 36D Cope</t>
  </si>
  <si>
    <t>059B</t>
  </si>
  <si>
    <t>US 36D WO Joes</t>
  </si>
  <si>
    <t>US 34B Yuma</t>
  </si>
  <si>
    <t>US 6J Haxtun</t>
  </si>
  <si>
    <t>US 138A Sedgwick</t>
  </si>
  <si>
    <t>060A</t>
  </si>
  <si>
    <t>US 287C Campion</t>
  </si>
  <si>
    <t>I-25A Frontage Road</t>
  </si>
  <si>
    <t>060B</t>
  </si>
  <si>
    <t>SH 257A Milliken</t>
  </si>
  <si>
    <t>US 85C NO Platteville</t>
  </si>
  <si>
    <t>061A</t>
  </si>
  <si>
    <t>US 34B Otis</t>
  </si>
  <si>
    <t>US 6J EO Sterling</t>
  </si>
  <si>
    <t>062A</t>
  </si>
  <si>
    <t>SH 145A Placerville</t>
  </si>
  <si>
    <t>US 550B Ridgway</t>
  </si>
  <si>
    <t>Leopard Creek; Dallas Creek; Uncompahgre River</t>
  </si>
  <si>
    <t>063A</t>
  </si>
  <si>
    <t>US 36D Anton</t>
  </si>
  <si>
    <t>US 34B Akron</t>
  </si>
  <si>
    <t>US 138A Atwood</t>
  </si>
  <si>
    <t>064A</t>
  </si>
  <si>
    <t>US 40A Dinosaur</t>
  </si>
  <si>
    <t>SH 139A Rangely</t>
  </si>
  <si>
    <t>SH 13A SWO Meeker</t>
  </si>
  <si>
    <t>065A</t>
  </si>
  <si>
    <t>SH 92A SO Orchard City</t>
  </si>
  <si>
    <t>SH 330A to Collbran</t>
  </si>
  <si>
    <t>Gunnison River; Mesa Creek</t>
  </si>
  <si>
    <t>Plateau Creek</t>
  </si>
  <si>
    <t>066B</t>
  </si>
  <si>
    <t>US 36B SEO Lyons</t>
  </si>
  <si>
    <t>US 287C Longmont</t>
  </si>
  <si>
    <t>US 85F Platteville</t>
  </si>
  <si>
    <t>US 85C Platteville</t>
  </si>
  <si>
    <t>Boulder Creek; South Platte River</t>
  </si>
  <si>
    <t>067A</t>
  </si>
  <si>
    <t>SH 96A Wetmore</t>
  </si>
  <si>
    <t>SH 115A Florence</t>
  </si>
  <si>
    <t>067B</t>
  </si>
  <si>
    <t>US 50A NO Florence</t>
  </si>
  <si>
    <t>067C</t>
  </si>
  <si>
    <t>begins WO Victor city limits</t>
  </si>
  <si>
    <t>ends SO Cripple Creek city limits</t>
  </si>
  <si>
    <t>Not connected - no detour possible</t>
  </si>
  <si>
    <t>067D</t>
  </si>
  <si>
    <t>US 24A Woodland Park</t>
  </si>
  <si>
    <t>ends Deckers</t>
  </si>
  <si>
    <t>Horse Creek</t>
  </si>
  <si>
    <t>067E</t>
  </si>
  <si>
    <t>start Rampart Range Rd</t>
  </si>
  <si>
    <t>SH 105B SO Sedalia</t>
  </si>
  <si>
    <t>West Plum Creek</t>
  </si>
  <si>
    <t>US 85B Sedalia</t>
  </si>
  <si>
    <t>067F</t>
  </si>
  <si>
    <t>start NO Cripple Creek city limits</t>
  </si>
  <si>
    <t>US 24A Divide</t>
  </si>
  <si>
    <t>069A</t>
  </si>
  <si>
    <t>SH 96A Westcliffe</t>
  </si>
  <si>
    <t>US 50A Texas Creek</t>
  </si>
  <si>
    <t>Texas Creek</t>
  </si>
  <si>
    <t>070A</t>
  </si>
  <si>
    <t>US 6A Mack</t>
  </si>
  <si>
    <t>SH 139A Loma</t>
  </si>
  <si>
    <t>SH 340A Fruita</t>
  </si>
  <si>
    <t>I-70B US 6A West Grand Jct DDI</t>
  </si>
  <si>
    <t>US 6C Palisade</t>
  </si>
  <si>
    <t>SH 65A</t>
  </si>
  <si>
    <t>US 6M DeBeque</t>
  </si>
  <si>
    <t>US 6M West Parachute</t>
  </si>
  <si>
    <t>US 6M Parachute</t>
  </si>
  <si>
    <t>US 6M Rulison</t>
  </si>
  <si>
    <t>US 6L US 6M West Rifle</t>
  </si>
  <si>
    <t>SH 13C Rifle</t>
  </si>
  <si>
    <t>I-70A Chacra Canyon Creek</t>
  </si>
  <si>
    <t>to US 6D New Castle</t>
  </si>
  <si>
    <t>US 6D Chacra Canyon Creek</t>
  </si>
  <si>
    <t>SH 82A Glenwood Spgs</t>
  </si>
  <si>
    <t>US 6N Gypsum</t>
  </si>
  <si>
    <t>I-70F Eagle spur</t>
  </si>
  <si>
    <t>SH 131A to Wolcott</t>
  </si>
  <si>
    <t>I-70G Edwards spur</t>
  </si>
  <si>
    <t>US 6E Eagle-Vail</t>
  </si>
  <si>
    <t>US 6E US 24A Dowd Jct</t>
  </si>
  <si>
    <t>SH 91A Copper Mtn Wheeler Jct</t>
  </si>
  <si>
    <t>SH 9C Frisco</t>
  </si>
  <si>
    <t>US 6F SH 9D Silverthorne Dillon</t>
  </si>
  <si>
    <t>US 6F Loveland ski area</t>
  </si>
  <si>
    <t>US 40A Empire Jct</t>
  </si>
  <si>
    <t>SH 103A Idaho Spgs</t>
  </si>
  <si>
    <t>US 6G Kermitt's Jct</t>
  </si>
  <si>
    <t>US 40B Beaver Brook</t>
  </si>
  <si>
    <t>US 40B El Rancho</t>
  </si>
  <si>
    <t>US 40C Genesee</t>
  </si>
  <si>
    <t>US 40C Lookout Mtn</t>
  </si>
  <si>
    <t>US 40C Jefferson CR 93 Morrison</t>
  </si>
  <si>
    <t>C-470A C-470W</t>
  </si>
  <si>
    <t>US 40C Colfax Ave Denver West</t>
  </si>
  <si>
    <t>SH 58A</t>
  </si>
  <si>
    <t>SH 72A Ward Rd</t>
  </si>
  <si>
    <t>I-25A Mousetrap</t>
  </si>
  <si>
    <t>SH 265B Brighton Blvd</t>
  </si>
  <si>
    <t>US 6H Vasquez Blvd</t>
  </si>
  <si>
    <t>SH 35A Quebec St</t>
  </si>
  <si>
    <t>US 40C Aurora</t>
  </si>
  <si>
    <t>E-470B</t>
  </si>
  <si>
    <t>SH 79A to Bennett</t>
  </si>
  <si>
    <t>Exit 306 to SH 36D</t>
  </si>
  <si>
    <t>US 36D SH 36D Byers</t>
  </si>
  <si>
    <t>SH 86A</t>
  </si>
  <si>
    <t>US 24F West Limon</t>
  </si>
  <si>
    <t>US 24G East Limon</t>
  </si>
  <si>
    <t>US 24G US 40H EO Limon</t>
  </si>
  <si>
    <t>I-70Q Burlington spur</t>
  </si>
  <si>
    <t>US 40B Floyd Hill Hyland Hills</t>
  </si>
  <si>
    <t>Colorado River; Eagle River</t>
  </si>
  <si>
    <t>Gore Creek; Black Gore Creek; West Tenmile Creek</t>
  </si>
  <si>
    <t>Tenmile Creek</t>
  </si>
  <si>
    <t>Lake Dillon; Blue River</t>
  </si>
  <si>
    <t>Straight Creek; Clear Creek</t>
  </si>
  <si>
    <t>South Fork Republican River</t>
  </si>
  <si>
    <t>070B</t>
  </si>
  <si>
    <t>I-70A US 6A west GJ DDI</t>
  </si>
  <si>
    <t>US 6B North Ave GJ</t>
  </si>
  <si>
    <t>SH 340A Grand Ave GJ</t>
  </si>
  <si>
    <t>US 50A 5th St GJ</t>
  </si>
  <si>
    <t>I-70Z Ute Ave GJ</t>
  </si>
  <si>
    <t>US 6C F Rd Clifton</t>
  </si>
  <si>
    <t>I-70A Clifton</t>
  </si>
  <si>
    <t>070S</t>
  </si>
  <si>
    <t>070T</t>
  </si>
  <si>
    <t>070E</t>
  </si>
  <si>
    <t>I-70A Silt</t>
  </si>
  <si>
    <t>US 6D Silt</t>
  </si>
  <si>
    <t>070F</t>
  </si>
  <si>
    <t>US 6E Eagle</t>
  </si>
  <si>
    <t>I-70A Eagle</t>
  </si>
  <si>
    <t>070G</t>
  </si>
  <si>
    <t>I-70A Edwards</t>
  </si>
  <si>
    <t>US 6E Edwards</t>
  </si>
  <si>
    <t>070K</t>
  </si>
  <si>
    <t>I-70A Idaho Springs west</t>
  </si>
  <si>
    <t>end Idaho Springs city limits = frontage road</t>
  </si>
  <si>
    <t>070L</t>
  </si>
  <si>
    <t>I-70A Watkins</t>
  </si>
  <si>
    <t>SH 36C Watkins Rd</t>
  </si>
  <si>
    <t>070M</t>
  </si>
  <si>
    <t>I-70A Strasburg</t>
  </si>
  <si>
    <t>SH 36D Strasburg</t>
  </si>
  <si>
    <t>070N</t>
  </si>
  <si>
    <t>SH 40E Deer Trail</t>
  </si>
  <si>
    <t>I-70A Deer Trail</t>
  </si>
  <si>
    <t>070O</t>
  </si>
  <si>
    <t>SH 40F Agate</t>
  </si>
  <si>
    <t>I-70A Agate</t>
  </si>
  <si>
    <t>070P</t>
  </si>
  <si>
    <t>I-70A Vona</t>
  </si>
  <si>
    <t>US 24B Vona</t>
  </si>
  <si>
    <t>070Q</t>
  </si>
  <si>
    <t>US 24D Burlington east side</t>
  </si>
  <si>
    <t>I-70A EO Burlington</t>
  </si>
  <si>
    <t>070R</t>
  </si>
  <si>
    <t>Roundabout EO Idaho Spgs</t>
  </si>
  <si>
    <t>I-70A Idaho Springs east</t>
  </si>
  <si>
    <t>070Z</t>
  </si>
  <si>
    <t>I-70B EO downtown GJ</t>
  </si>
  <si>
    <t>I-70B WO downtown GJ</t>
  </si>
  <si>
    <t>070Y</t>
  </si>
  <si>
    <t>070X</t>
  </si>
  <si>
    <t>071A</t>
  </si>
  <si>
    <t>US 350A NEO Timpas</t>
  </si>
  <si>
    <t>SH 10A Hawley</t>
  </si>
  <si>
    <t>071B</t>
  </si>
  <si>
    <t>071C</t>
  </si>
  <si>
    <t>US 50B US 50Z WO Rocky Ford</t>
  </si>
  <si>
    <t>SH 96C Ordway</t>
  </si>
  <si>
    <t>SH 94A Punkin Center</t>
  </si>
  <si>
    <t>US 24G Limon</t>
  </si>
  <si>
    <t>SH 96B Ordway</t>
  </si>
  <si>
    <t>071D</t>
  </si>
  <si>
    <t>US 36D Last Chance</t>
  </si>
  <si>
    <t>US 34B Brush</t>
  </si>
  <si>
    <t>071E</t>
  </si>
  <si>
    <t>I-76A Brush</t>
  </si>
  <si>
    <t>SH 14C EO Stoneham</t>
  </si>
  <si>
    <t>071F</t>
  </si>
  <si>
    <t>SH 14C Stoneham</t>
  </si>
  <si>
    <t>072A</t>
  </si>
  <si>
    <t>I-70A Ward Rd &amp; 44th Ave</t>
  </si>
  <si>
    <t>SH 93A</t>
  </si>
  <si>
    <t>SH 119A NO Rollinsville</t>
  </si>
  <si>
    <t>Coal Creek; South Boulder Creek</t>
  </si>
  <si>
    <t>072B</t>
  </si>
  <si>
    <t>SH 119A Nederland</t>
  </si>
  <si>
    <t>South Saint Vrain Creek; Middle Saint Vrain Creek</t>
  </si>
  <si>
    <t>074A</t>
  </si>
  <si>
    <t>I-70A Evergreen Pkwy</t>
  </si>
  <si>
    <t>SH 8A Morrison</t>
  </si>
  <si>
    <t>Within interchange</t>
  </si>
  <si>
    <t>075B</t>
  </si>
  <si>
    <t>Bowles Ave WO US 85B</t>
  </si>
  <si>
    <t>C-470A WB ramps</t>
  </si>
  <si>
    <t>076A</t>
  </si>
  <si>
    <t>I-70A EO SH 121A Wadsworth Blvd</t>
  </si>
  <si>
    <t>I-25A Turnpike Tangle</t>
  </si>
  <si>
    <t>I-270A I-270B Turnpike Tangle</t>
  </si>
  <si>
    <t>SH 2D Sable Blvd Hansen Blvd</t>
  </si>
  <si>
    <t>SH 52A Hudson</t>
  </si>
  <si>
    <t>I-76B Keenesburg</t>
  </si>
  <si>
    <t>Weld CR 36 to SH 144A</t>
  </si>
  <si>
    <t>US 6I Wiggins</t>
  </si>
  <si>
    <t>SH 39A NEO Wiggins</t>
  </si>
  <si>
    <t>US 34A US 6I NEO Wiggins</t>
  </si>
  <si>
    <t>US 34B WO Fort Morgan</t>
  </si>
  <si>
    <t>SH 144A Log Lane Village</t>
  </si>
  <si>
    <t>US 6J US 34E EO Brush</t>
  </si>
  <si>
    <t>SH 63A SO Atwood</t>
  </si>
  <si>
    <t>SH 55A SO Crook</t>
  </si>
  <si>
    <t>SH 59B SO Sedgwick</t>
  </si>
  <si>
    <t>US 385D SO Julesburg</t>
  </si>
  <si>
    <t>Clear Creek; South Platte River</t>
  </si>
  <si>
    <t>Barr Lake</t>
  </si>
  <si>
    <t>Box Elder Creek</t>
  </si>
  <si>
    <t>076B</t>
  </si>
  <si>
    <t>start Weld CR 18</t>
  </si>
  <si>
    <t>I-76A Keenesburg</t>
  </si>
  <si>
    <t>end RR Xing NO Woodward Ave</t>
  </si>
  <si>
    <t>078A</t>
  </si>
  <si>
    <t>SH 165A SO Fairview</t>
  </si>
  <si>
    <t>SH 78B spur to Beulah</t>
  </si>
  <si>
    <t>Portions dirt</t>
  </si>
  <si>
    <t>078B</t>
  </si>
  <si>
    <t>SH 78A Beulah Valley</t>
  </si>
  <si>
    <t>ends Pennsylvania Ave Beulah</t>
  </si>
  <si>
    <t>Middle Creek; North Saint Charles River</t>
  </si>
  <si>
    <t>North Saint Charles River</t>
  </si>
  <si>
    <t>079A</t>
  </si>
  <si>
    <t>I-70A Bennett exit</t>
  </si>
  <si>
    <t>SH 36C Bennett</t>
  </si>
  <si>
    <t>079B</t>
  </si>
  <si>
    <t>SH 36C SH 36B Bennett</t>
  </si>
  <si>
    <t>SH 52A EO Hudson</t>
  </si>
  <si>
    <t>082A</t>
  </si>
  <si>
    <t>I-70A Glenwood Spgs exit</t>
  </si>
  <si>
    <t>US 6K roundabout</t>
  </si>
  <si>
    <t>SH 133A Carbondale</t>
  </si>
  <si>
    <t>US 24A Twin Lakes</t>
  </si>
  <si>
    <t>Colorado River; Roaring Fork River</t>
  </si>
  <si>
    <t>Roaring Fork River; Lake Creek</t>
  </si>
  <si>
    <t>082B</t>
  </si>
  <si>
    <t>082C</t>
  </si>
  <si>
    <t>083A</t>
  </si>
  <si>
    <t>SH 21B Interquest Pkwy</t>
  </si>
  <si>
    <t>SH 86A Franktown</t>
  </si>
  <si>
    <t>I-225A Nine Mile</t>
  </si>
  <si>
    <t>SH 30A Havana St</t>
  </si>
  <si>
    <t>083B</t>
  </si>
  <si>
    <t>083C</t>
  </si>
  <si>
    <t>084A</t>
  </si>
  <si>
    <t>US 160A EO Pagosa Spgs</t>
  </si>
  <si>
    <t>Navajo River; Rio Blanco</t>
  </si>
  <si>
    <t>085A</t>
  </si>
  <si>
    <t>I-25A Fountain</t>
  </si>
  <si>
    <t>ends B St &amp;Ventucci Blvd</t>
  </si>
  <si>
    <t>085P</t>
  </si>
  <si>
    <t>085Q</t>
  </si>
  <si>
    <t>085B</t>
  </si>
  <si>
    <t>I-25A SH 86B Castle Rock</t>
  </si>
  <si>
    <t>SH 67E Sedalia</t>
  </si>
  <si>
    <t>C-470A</t>
  </si>
  <si>
    <t>US 285D Hampden Ave</t>
  </si>
  <si>
    <t>085O</t>
  </si>
  <si>
    <t>085M</t>
  </si>
  <si>
    <t>085N</t>
  </si>
  <si>
    <t>Plum Creek</t>
  </si>
  <si>
    <t>085C</t>
  </si>
  <si>
    <t>SH 44A 104th Ave</t>
  </si>
  <si>
    <t>SH 22A 124th Ave</t>
  </si>
  <si>
    <t>SH 7D Bridge St Brighton</t>
  </si>
  <si>
    <t>SH 52A Fort Lupton</t>
  </si>
  <si>
    <t>US 85E business Fort Lupton</t>
  </si>
  <si>
    <t>SH 66B Platteville</t>
  </si>
  <si>
    <t>US 85F business Platteville</t>
  </si>
  <si>
    <t>SH 60B (Weld CR 27)</t>
  </si>
  <si>
    <t>US 85G business Greeley</t>
  </si>
  <si>
    <t>US 34A Greeley Evans</t>
  </si>
  <si>
    <t>Weld CR 28 to US 85F SO Platteville</t>
  </si>
  <si>
    <t>085E</t>
  </si>
  <si>
    <t>US 85C &amp; Weld CR 16</t>
  </si>
  <si>
    <t>085F</t>
  </si>
  <si>
    <t>Weld CR 28 to US 85C</t>
  </si>
  <si>
    <t>085R</t>
  </si>
  <si>
    <t>085S</t>
  </si>
  <si>
    <t>085G</t>
  </si>
  <si>
    <t xml:space="preserve">US 85C </t>
  </si>
  <si>
    <t>US 34D 18th St Greeley</t>
  </si>
  <si>
    <t>085H</t>
  </si>
  <si>
    <t>US 34D 10th St Greeley</t>
  </si>
  <si>
    <t>US 85L Greeley north side</t>
  </si>
  <si>
    <t>085L</t>
  </si>
  <si>
    <t>US 85H business Greeley</t>
  </si>
  <si>
    <t>SH 392B Lucerne</t>
  </si>
  <si>
    <t>SH 14C Ault</t>
  </si>
  <si>
    <t>086A</t>
  </si>
  <si>
    <t>SH 86B Founders Pkwy</t>
  </si>
  <si>
    <t>SH 83A Franktown</t>
  </si>
  <si>
    <t>I-70A WO Limon</t>
  </si>
  <si>
    <t>086B</t>
  </si>
  <si>
    <t>I-25A US 85B Castle Rock</t>
  </si>
  <si>
    <t>SH 86A 5th St Castle Rock</t>
  </si>
  <si>
    <t>088A</t>
  </si>
  <si>
    <t>US 40C US 287C Colfax Ave</t>
  </si>
  <si>
    <t>SH 177A University Blvd</t>
  </si>
  <si>
    <t>I-25A Denver Tech Center</t>
  </si>
  <si>
    <t>088C</t>
  </si>
  <si>
    <t>088E</t>
  </si>
  <si>
    <t>Lakewood Gulch; Weir Gulch</t>
  </si>
  <si>
    <t>Sanderson Gulch; Harvard Gulch</t>
  </si>
  <si>
    <t>Bear Creek; South Platte River</t>
  </si>
  <si>
    <t>088B</t>
  </si>
  <si>
    <t>I-25A Arapahoe Rd exit</t>
  </si>
  <si>
    <t>SH 83A Parker Rd Arapahoe Crossing</t>
  </si>
  <si>
    <t>089A</t>
  </si>
  <si>
    <t>SH 116A Lycan</t>
  </si>
  <si>
    <t>US 50B Holly</t>
  </si>
  <si>
    <t>090A</t>
  </si>
  <si>
    <t>SH 141A WO Naturita</t>
  </si>
  <si>
    <t>La Sal Creek; Dolores River</t>
  </si>
  <si>
    <t>090B</t>
  </si>
  <si>
    <t>starts SWO Shavano Valley Rd</t>
  </si>
  <si>
    <t>091A</t>
  </si>
  <si>
    <t>US 24A NO Leadville</t>
  </si>
  <si>
    <t>I-70A Copper Mtn (Wheeler Jct)</t>
  </si>
  <si>
    <t>East Fork Arkansas River; Tenmile Creek</t>
  </si>
  <si>
    <t>092A</t>
  </si>
  <si>
    <t>US 50A Delta</t>
  </si>
  <si>
    <t>SH 65A SO Orchard City</t>
  </si>
  <si>
    <t>SH 133A Hotchkiss</t>
  </si>
  <si>
    <t>US 50A Sapinero (Curecanti NRA)</t>
  </si>
  <si>
    <t>092B</t>
  </si>
  <si>
    <t>092C</t>
  </si>
  <si>
    <t>Gunnison River; NorthFork Gunnison River</t>
  </si>
  <si>
    <t>North Fork Gunnison River; Crystal Creek; Gunnison River</t>
  </si>
  <si>
    <t>093A</t>
  </si>
  <si>
    <t>SH 6G SH 58A Golden Clear Creek Cyn</t>
  </si>
  <si>
    <t>SH 72A Coal Creek Cyn Rd</t>
  </si>
  <si>
    <t>SH 128A</t>
  </si>
  <si>
    <t>SH 170A Eldorado Spgs Rd Marshall Rd</t>
  </si>
  <si>
    <t>SH 119A SH 7B Boulder Cyn Dr Canyon Blvd</t>
  </si>
  <si>
    <t>South Boulder Creek</t>
  </si>
  <si>
    <t>094A</t>
  </si>
  <si>
    <t>US 24G EO Colorado Spgs</t>
  </si>
  <si>
    <t>SH 71C Punkin Center</t>
  </si>
  <si>
    <t>US 40H Aroya</t>
  </si>
  <si>
    <t>Jimmy Camp Creek; Big Springs Creek</t>
  </si>
  <si>
    <t>095A</t>
  </si>
  <si>
    <t>Lakewood Gulch; Dry Gulch</t>
  </si>
  <si>
    <t>096A</t>
  </si>
  <si>
    <t>SH 69A Westcliffe</t>
  </si>
  <si>
    <t>SH 165A</t>
  </si>
  <si>
    <t>SH 67A Wetmore</t>
  </si>
  <si>
    <t>US 50C Santa Fe Dr Pueblo</t>
  </si>
  <si>
    <t xml:space="preserve">US 50B SH 47A </t>
  </si>
  <si>
    <t>Silver Park Creek</t>
  </si>
  <si>
    <t>Hardscrabble Creek</t>
  </si>
  <si>
    <t>Hardscrabble Creek; Rush Creek</t>
  </si>
  <si>
    <t>096B</t>
  </si>
  <si>
    <t>US 50B WO North Avondale</t>
  </si>
  <si>
    <t>SH 209A Boone</t>
  </si>
  <si>
    <t>SH 167A NO Fowler</t>
  </si>
  <si>
    <t>SH 207A Crowley</t>
  </si>
  <si>
    <t>SH 71C Ordway</t>
  </si>
  <si>
    <t>096C</t>
  </si>
  <si>
    <t>US 287B Eads</t>
  </si>
  <si>
    <t>Adobe Creek</t>
  </si>
  <si>
    <t>096D</t>
  </si>
  <si>
    <t>US 287B EO Eads</t>
  </si>
  <si>
    <t>US 385B Sheridan Lake</t>
  </si>
  <si>
    <t>US 385A WO Sheridan Lake</t>
  </si>
  <si>
    <t>Big Sandy Creek (Sand Creek)</t>
  </si>
  <si>
    <t>097A</t>
  </si>
  <si>
    <t>SH 141A Naturita</t>
  </si>
  <si>
    <t>ends 3rd Ave Nucla</t>
  </si>
  <si>
    <t>San Miguel River</t>
  </si>
  <si>
    <t>100A</t>
  </si>
  <si>
    <t>US 160C NO Vilas</t>
  </si>
  <si>
    <t>ends Main St Vilas</t>
  </si>
  <si>
    <t>101A</t>
  </si>
  <si>
    <t>US 50B Las Animas</t>
  </si>
  <si>
    <t>ends Bent CR K Toonerville</t>
  </si>
  <si>
    <t>103A</t>
  </si>
  <si>
    <t>start Idaho St Idaho Spgs</t>
  </si>
  <si>
    <t>SH 5A to Mount Evans Summit</t>
  </si>
  <si>
    <t>WO Little Bear Creek Rd</t>
  </si>
  <si>
    <t>Clear Creek; Chicago Creek</t>
  </si>
  <si>
    <t>105A</t>
  </si>
  <si>
    <t>start Jackson Creek Pkwy</t>
  </si>
  <si>
    <t>I-25A Monument</t>
  </si>
  <si>
    <t>end Douglas/El Paso county line</t>
  </si>
  <si>
    <t>105B</t>
  </si>
  <si>
    <t>start Wolfensberger Rd</t>
  </si>
  <si>
    <t>SH 67E SO Sedalia</t>
  </si>
  <si>
    <t>109A</t>
  </si>
  <si>
    <t>US 160C NO Kim</t>
  </si>
  <si>
    <t>SH 109B to US 50B La Junta</t>
  </si>
  <si>
    <t>SH 194A North La Junta</t>
  </si>
  <si>
    <t>SH 266A</t>
  </si>
  <si>
    <t>end Cheraw</t>
  </si>
  <si>
    <t>109B</t>
  </si>
  <si>
    <t>Cheraw Lake</t>
  </si>
  <si>
    <t>SH 109A La Junta</t>
  </si>
  <si>
    <t>110A</t>
  </si>
  <si>
    <t>US 550B Silverton</t>
  </si>
  <si>
    <t>end 6th St Silverton (CDOT maint)</t>
  </si>
  <si>
    <t>112A</t>
  </si>
  <si>
    <t>US 160A Del Norte</t>
  </si>
  <si>
    <t>US 285B WO Center</t>
  </si>
  <si>
    <t>SH 17B Hooper</t>
  </si>
  <si>
    <t>Rio Grande</t>
  </si>
  <si>
    <t>113A</t>
  </si>
  <si>
    <t>US 138A SWO Iliff</t>
  </si>
  <si>
    <t>114A</t>
  </si>
  <si>
    <t>US 50A WO Parlin</t>
  </si>
  <si>
    <t>US 285B Saguache</t>
  </si>
  <si>
    <t>Cochetopa Creek; Saguache Creek</t>
  </si>
  <si>
    <t>115A</t>
  </si>
  <si>
    <t>US 50A Canon City</t>
  </si>
  <si>
    <t>SH 67B Florence</t>
  </si>
  <si>
    <t>SH 67A Florence</t>
  </si>
  <si>
    <t>SH 120A</t>
  </si>
  <si>
    <t>US 50A Penrose</t>
  </si>
  <si>
    <t>I-25A Colorado Spgs</t>
  </si>
  <si>
    <t>115B</t>
  </si>
  <si>
    <t>115C</t>
  </si>
  <si>
    <t>Turkey Creek</t>
  </si>
  <si>
    <t>OrVirtualRoute</t>
  </si>
  <si>
    <t>AtMilePost</t>
  </si>
  <si>
    <t>BecomesRoute</t>
  </si>
  <si>
    <t>AlsoVirtualRoute</t>
  </si>
  <si>
    <t>AtNewMilepost</t>
  </si>
  <si>
    <t>116A</t>
  </si>
  <si>
    <t>US 287A WO Two Buttes</t>
  </si>
  <si>
    <t>SH 89A Lycan</t>
  </si>
  <si>
    <t>119A</t>
  </si>
  <si>
    <t>US 6G Clear Creek Cyn</t>
  </si>
  <si>
    <t>SH 46A Golden Gate Cyn</t>
  </si>
  <si>
    <t>SH 72A NO Rollinsville</t>
  </si>
  <si>
    <t>SH 72B Nederland</t>
  </si>
  <si>
    <t>SH 7B SH 93A downtown Boulder</t>
  </si>
  <si>
    <t>North Clear Creek; Missouri Creek</t>
  </si>
  <si>
    <t>Ralston Creek; South Boulder Creek</t>
  </si>
  <si>
    <t>Middle Boulder Creek</t>
  </si>
  <si>
    <t>119B</t>
  </si>
  <si>
    <t>US 36B 28th St Boulder</t>
  </si>
  <si>
    <t>SH 52A Mineral Rd</t>
  </si>
  <si>
    <t>US 287C Main St Longmont</t>
  </si>
  <si>
    <t>becomes SH 119C</t>
  </si>
  <si>
    <t>119C</t>
  </si>
  <si>
    <t>Dry Creek</t>
  </si>
  <si>
    <t>Left Hand Creek; Saint Vrain Creek</t>
  </si>
  <si>
    <t>I-25A Firestone</t>
  </si>
  <si>
    <t>120A</t>
  </si>
  <si>
    <t>SH 115A EO Florence</t>
  </si>
  <si>
    <t>US 50A &amp; R St Penrose</t>
  </si>
  <si>
    <t>Arkansas River; Hardscrabble Creek</t>
  </si>
  <si>
    <t>121A</t>
  </si>
  <si>
    <t>continues from SH 119B</t>
  </si>
  <si>
    <t>SH 8A Morrison Rd</t>
  </si>
  <si>
    <t>SH 128A 120th Ave</t>
  </si>
  <si>
    <t>US 36B Boulder Turnpike</t>
  </si>
  <si>
    <t>121B</t>
  </si>
  <si>
    <t>121C</t>
  </si>
  <si>
    <t>121D</t>
  </si>
  <si>
    <t>Weir Gulch</t>
  </si>
  <si>
    <t>Lakewood Gulch</t>
  </si>
  <si>
    <t>Ralston Creek; Big Dry Creek</t>
  </si>
  <si>
    <t>start Glenn L Martin Blvd</t>
  </si>
  <si>
    <t>125A</t>
  </si>
  <si>
    <t>US 40A WO Granby</t>
  </si>
  <si>
    <t>SH 14A SWO Walden</t>
  </si>
  <si>
    <t>SH 14B Walden</t>
  </si>
  <si>
    <t>SH 127A NO Cowdry</t>
  </si>
  <si>
    <t>127A</t>
  </si>
  <si>
    <t>North Platte River</t>
  </si>
  <si>
    <t>SH 125A NO Cowdry</t>
  </si>
  <si>
    <t>Willow Creek (Grand County); Pass Creek; Willow Creek (Jackson County)</t>
  </si>
  <si>
    <t>Illinois River</t>
  </si>
  <si>
    <t>Michigan River; Canadian River</t>
  </si>
  <si>
    <t>Pinkham Creek; Camp Creek</t>
  </si>
  <si>
    <t>128A</t>
  </si>
  <si>
    <t>Old Wadsworth Blvd (2015)</t>
  </si>
  <si>
    <t>128B</t>
  </si>
  <si>
    <t>131A</t>
  </si>
  <si>
    <t>I-70A Wolcott exit</t>
  </si>
  <si>
    <t>US 6E EO Wolcott</t>
  </si>
  <si>
    <t>131B</t>
  </si>
  <si>
    <t>US 6E Wolcott</t>
  </si>
  <si>
    <t>Eagle River; Colorado River</t>
  </si>
  <si>
    <t>US 40A SO Steamboat Spgs</t>
  </si>
  <si>
    <t>Bear River; Yampa River</t>
  </si>
  <si>
    <t>SH 92A Hotchkiss</t>
  </si>
  <si>
    <t>SH 133B WO Bowie</t>
  </si>
  <si>
    <t>SH 133B EO Bowie</t>
  </si>
  <si>
    <t>SH 82A Carbondale</t>
  </si>
  <si>
    <t>North Fork Gunnison River</t>
  </si>
  <si>
    <t>North Fork Gunnison River; Crystal River</t>
  </si>
  <si>
    <t>SH 133A EO Bowie</t>
  </si>
  <si>
    <t>133A</t>
  </si>
  <si>
    <t>133B</t>
  </si>
  <si>
    <t>134A</t>
  </si>
  <si>
    <t>SH 133A WO Bowie</t>
  </si>
  <si>
    <t>US 40A NO Kremmling</t>
  </si>
  <si>
    <t>SH 134A Toponas</t>
  </si>
  <si>
    <t>SH 131A Toponas</t>
  </si>
  <si>
    <t>Toponas Creek; Pass Creek</t>
  </si>
  <si>
    <t>135A</t>
  </si>
  <si>
    <t>US 50A Gunnison</t>
  </si>
  <si>
    <t>end Elk Ave Crested Butte</t>
  </si>
  <si>
    <t>East River; Gunnison River</t>
  </si>
  <si>
    <t>136A</t>
  </si>
  <si>
    <t>end Ivy St Sanford</t>
  </si>
  <si>
    <t>138A</t>
  </si>
  <si>
    <t>US 6J Chestnut St Sterling</t>
  </si>
  <si>
    <t>US 138Z Broadway St Sterling</t>
  </si>
  <si>
    <t>SH 113A SWO Iliff</t>
  </si>
  <si>
    <t>SH 55A Crook</t>
  </si>
  <si>
    <t>SH 59B Sedgwick</t>
  </si>
  <si>
    <t>US 385E WO Julesburg</t>
  </si>
  <si>
    <t>SH 11A Julesburg</t>
  </si>
  <si>
    <t>US 385D Julesburg</t>
  </si>
  <si>
    <t>138Z</t>
  </si>
  <si>
    <t>138B</t>
  </si>
  <si>
    <t>138C</t>
  </si>
  <si>
    <t>138D</t>
  </si>
  <si>
    <t>138E</t>
  </si>
  <si>
    <t>138F</t>
  </si>
  <si>
    <t>US 138A 3rd St Sterling</t>
  </si>
  <si>
    <t>US 6Z Chestnut St &amp; 4th St Sterling</t>
  </si>
  <si>
    <t>139A</t>
  </si>
  <si>
    <t>I-70A Loma exit</t>
  </si>
  <si>
    <t>US 6A Loma</t>
  </si>
  <si>
    <t>SH 64A Rangely</t>
  </si>
  <si>
    <t>Douglas Creek</t>
  </si>
  <si>
    <t>140A</t>
  </si>
  <si>
    <t>US 160A Hesperus</t>
  </si>
  <si>
    <t>La Plata River</t>
  </si>
  <si>
    <t>141A</t>
  </si>
  <si>
    <t>US 491B Dove Creek</t>
  </si>
  <si>
    <t>SH 145A EO Naturita</t>
  </si>
  <si>
    <t>SH 97A Naturita</t>
  </si>
  <si>
    <t>SH 90A WO Naturita</t>
  </si>
  <si>
    <t>US 50A SEO Orchard Mesa</t>
  </si>
  <si>
    <t>141C</t>
  </si>
  <si>
    <t>141D</t>
  </si>
  <si>
    <t>Dolores River; Naturita Creek</t>
  </si>
  <si>
    <t>Naturita Creek; San Miguel Rier</t>
  </si>
  <si>
    <t>San Miguel River; Dolores River; Gunnison River</t>
  </si>
  <si>
    <t>141B</t>
  </si>
  <si>
    <t>142A</t>
  </si>
  <si>
    <t>US 285A Romeo</t>
  </si>
  <si>
    <t>SH 159A San Luis</t>
  </si>
  <si>
    <t>144A</t>
  </si>
  <si>
    <t>I-76A North Frontage Rd WO Wiggins</t>
  </si>
  <si>
    <t>US 34A NWO Wiggins</t>
  </si>
  <si>
    <t>SH 39A NEO Orchard</t>
  </si>
  <si>
    <t>I-76A Log Lane Village</t>
  </si>
  <si>
    <t>144B</t>
  </si>
  <si>
    <t>144C</t>
  </si>
  <si>
    <t>144D</t>
  </si>
  <si>
    <t>145A</t>
  </si>
  <si>
    <t>US 160A Cortez</t>
  </si>
  <si>
    <t>SH 184B WO Dolores</t>
  </si>
  <si>
    <t>SH 184A WO Dolores</t>
  </si>
  <si>
    <t>SH 62A Placerville</t>
  </si>
  <si>
    <t>SH 141A EO Naturita</t>
  </si>
  <si>
    <t>145B</t>
  </si>
  <si>
    <t>145C</t>
  </si>
  <si>
    <t>McPhee Reservoir</t>
  </si>
  <si>
    <t>Dolores River; San Miguel River</t>
  </si>
  <si>
    <t>149A</t>
  </si>
  <si>
    <t>US 160A South Fork</t>
  </si>
  <si>
    <t>US 50A SWO Gunnison</t>
  </si>
  <si>
    <t>Rio Grande; Lake Fork Gunnison River; Cebolla Creek; Gunnison River</t>
  </si>
  <si>
    <t>150A</t>
  </si>
  <si>
    <t>US 160A NWO Blanca</t>
  </si>
  <si>
    <t>Great Sand Dunes NP entrance</t>
  </si>
  <si>
    <t>151A</t>
  </si>
  <si>
    <t>SH 172A Ignacio</t>
  </si>
  <si>
    <t>US 160A NEO Chimney Rock NM</t>
  </si>
  <si>
    <t>Los Pinos River; Piedra River</t>
  </si>
  <si>
    <t>157A</t>
  </si>
  <si>
    <t>US 36B Table Mesa Stn</t>
  </si>
  <si>
    <t>Jct SH 119B Longmont Diagonal</t>
  </si>
  <si>
    <t>159A</t>
  </si>
  <si>
    <t>SH 142A San Luis</t>
  </si>
  <si>
    <t>US 160A Fort Garland</t>
  </si>
  <si>
    <t>Culebra Creek</t>
  </si>
  <si>
    <t>Sangre de Cristo Creek</t>
  </si>
  <si>
    <t>160A</t>
  </si>
  <si>
    <t>SH 41A SWO Towaoc</t>
  </si>
  <si>
    <t>US 491A SO Towaoc</t>
  </si>
  <si>
    <t>US 491B Cortez</t>
  </si>
  <si>
    <t>US 491C Cortez</t>
  </si>
  <si>
    <t>SH 145A Cortez</t>
  </si>
  <si>
    <t>US 160D WO Mancos</t>
  </si>
  <si>
    <t>SH 184B Mancos</t>
  </si>
  <si>
    <t>US 160E EO Mancos</t>
  </si>
  <si>
    <t>SH 140A Hesperus</t>
  </si>
  <si>
    <t>US 550B Durango</t>
  </si>
  <si>
    <t>SH 3A Santa Rita Dr Durango</t>
  </si>
  <si>
    <t>SH 3A Carbon Jct Durango</t>
  </si>
  <si>
    <t>US 550A WO Wilson Gulch rab</t>
  </si>
  <si>
    <t>SH 172A</t>
  </si>
  <si>
    <t>SH 151A NEO Chimney Rock NM</t>
  </si>
  <si>
    <t>US 84A EO Pagosa Spgs</t>
  </si>
  <si>
    <t>SH 149A South Fork</t>
  </si>
  <si>
    <t>SH 112A Del Norte</t>
  </si>
  <si>
    <t>US 285B SH 15A Monte Vista</t>
  </si>
  <si>
    <t>US 160Z Richarson Ave Alamosa</t>
  </si>
  <si>
    <t>US 285A Alamosa</t>
  </si>
  <si>
    <t>US 160Z Denver Ave Alamosa</t>
  </si>
  <si>
    <t>SH 17B Alamosa East</t>
  </si>
  <si>
    <t>SH 150A NWO Blanca</t>
  </si>
  <si>
    <t>SH 159A Fort Garland</t>
  </si>
  <si>
    <t>SH 12A NEO La Veta</t>
  </si>
  <si>
    <t>San Juan River</t>
  </si>
  <si>
    <t>Navajo Springs Creek</t>
  </si>
  <si>
    <t>McElmo Creek</t>
  </si>
  <si>
    <t>Chicken Creek</t>
  </si>
  <si>
    <t>Mancos River</t>
  </si>
  <si>
    <t>Mancos River; La Plata River</t>
  </si>
  <si>
    <t>Lightner Creek; Las Animas River</t>
  </si>
  <si>
    <t>Las Animas River</t>
  </si>
  <si>
    <t>Florida River; Los Pinos River; Beaver Creek; Yellowjacket Creek; Piedra River</t>
  </si>
  <si>
    <t>Stollsteimer Creek; San Juan River</t>
  </si>
  <si>
    <t>San Juan River; Wolf Creek; Pass Creek; South Fork Rio Grande</t>
  </si>
  <si>
    <t>South Fork Rio Grande; Rio Grande</t>
  </si>
  <si>
    <t>Sangre de Cristo Creek; South Abeyta Creek</t>
  </si>
  <si>
    <t>160B</t>
  </si>
  <si>
    <t>I-25C &amp; 5th St Walsenburg</t>
  </si>
  <si>
    <t>I-25C &amp; 7th St Walsenburg</t>
  </si>
  <si>
    <t>I-25A SH 10A Walsenburg</t>
  </si>
  <si>
    <t>160C</t>
  </si>
  <si>
    <t>I-25A SH 239A Trinidad</t>
  </si>
  <si>
    <t>US 287A SO Springfield</t>
  </si>
  <si>
    <t>SH 100A NO Vilas</t>
  </si>
  <si>
    <t>US 350A Beshoar Jct NEO Trinidad</t>
  </si>
  <si>
    <t>SH 109A NO Kim</t>
  </si>
  <si>
    <t>SH 389A Walt's Corner NO Branson</t>
  </si>
  <si>
    <t>Trinchera Creek</t>
  </si>
  <si>
    <t>160D</t>
  </si>
  <si>
    <t>US 160A WO Mancos</t>
  </si>
  <si>
    <t>SH 184A Mancos</t>
  </si>
  <si>
    <t>US 160A EO Mancos</t>
  </si>
  <si>
    <t>160E</t>
  </si>
  <si>
    <t>160F</t>
  </si>
  <si>
    <t>160Z</t>
  </si>
  <si>
    <t>US 160A Denver Ave Alamosa</t>
  </si>
  <si>
    <t>US 160A Richarson Ave Alamosa</t>
  </si>
  <si>
    <t>165A</t>
  </si>
  <si>
    <t>SH 96A SWO Greenwood</t>
  </si>
  <si>
    <t>SH 78A SWO Beulah Valley</t>
  </si>
  <si>
    <t>I-25A Colorado City</t>
  </si>
  <si>
    <t>South Fork North Hardscrabble Creek; South Hardscrabble Creek; Middle Creek;</t>
  </si>
  <si>
    <t>Saint Charles River; Muddy Creek branches; Greenhorn Creek</t>
  </si>
  <si>
    <t>167A</t>
  </si>
  <si>
    <t>US 50B Fowler</t>
  </si>
  <si>
    <t>ends Otero CR JJ SO Fowler</t>
  </si>
  <si>
    <t>170A</t>
  </si>
  <si>
    <t>US 36B McCaslin Blvd</t>
  </si>
  <si>
    <t>172A</t>
  </si>
  <si>
    <t>SH 151A Ignacio</t>
  </si>
  <si>
    <t>US 160A EO Durango</t>
  </si>
  <si>
    <t>172B</t>
  </si>
  <si>
    <t>172C</t>
  </si>
  <si>
    <t>Los Pinos River</t>
  </si>
  <si>
    <t>Los Pinos River; Ignacio Creek; Florida River</t>
  </si>
  <si>
    <t>177A</t>
  </si>
  <si>
    <t>C-470A Highlands Ranch</t>
  </si>
  <si>
    <t>183A</t>
  </si>
  <si>
    <t>US 50B NEO Las Animas</t>
  </si>
  <si>
    <t>Bent CR HH Fort Lyon</t>
  </si>
  <si>
    <t>184A</t>
  </si>
  <si>
    <t>US 491B SO Lewis</t>
  </si>
  <si>
    <t>SH 145A WO Dolores</t>
  </si>
  <si>
    <t>Narraguinnep Reservoir; McPhee Reservoir</t>
  </si>
  <si>
    <t>184B</t>
  </si>
  <si>
    <t>US 160A Mancos</t>
  </si>
  <si>
    <t>US 160D business Mancos</t>
  </si>
  <si>
    <t>184C</t>
  </si>
  <si>
    <t>184D</t>
  </si>
  <si>
    <t>Lost Canyon Creek; Chicken Creek</t>
  </si>
  <si>
    <t>194A</t>
  </si>
  <si>
    <t>SH 109A NO La Junta</t>
  </si>
  <si>
    <t>US 50B NO Las Animas</t>
  </si>
  <si>
    <t>196A</t>
  </si>
  <si>
    <t>US 50B SO McClave</t>
  </si>
  <si>
    <t>US 287B NO Lamar</t>
  </si>
  <si>
    <t>Graveyard Creek</t>
  </si>
  <si>
    <t>202A</t>
  </si>
  <si>
    <t>ends Otero CR 16</t>
  </si>
  <si>
    <t>207A</t>
  </si>
  <si>
    <t>US 50B Manzanola</t>
  </si>
  <si>
    <t>SH 96B NEO Olney Spgs</t>
  </si>
  <si>
    <t>SH 96B WO Olney Spgs</t>
  </si>
  <si>
    <t>begins Eldorado Spgs</t>
  </si>
  <si>
    <t>209A</t>
  </si>
  <si>
    <t>US 50B SO Boone</t>
  </si>
  <si>
    <t>SH 96B Boone</t>
  </si>
  <si>
    <t>224A</t>
  </si>
  <si>
    <t>US 36B Broadway exit</t>
  </si>
  <si>
    <t>SH 53A 70th &amp; Broadway</t>
  </si>
  <si>
    <t>US 6H Brighton Blvd</t>
  </si>
  <si>
    <t>224B</t>
  </si>
  <si>
    <t>224C</t>
  </si>
  <si>
    <t xml:space="preserve">I-25A </t>
  </si>
  <si>
    <t>225A</t>
  </si>
  <si>
    <t>I-25A Full House</t>
  </si>
  <si>
    <t>SH 83A Nine Mile Stn</t>
  </si>
  <si>
    <t>SH 30A 6th Ave</t>
  </si>
  <si>
    <t>227A</t>
  </si>
  <si>
    <t>start Socorro Pl</t>
  </si>
  <si>
    <t>end Salt Creek</t>
  </si>
  <si>
    <t>Salt Creek</t>
  </si>
  <si>
    <t>231A</t>
  </si>
  <si>
    <t>US 50C Vineland</t>
  </si>
  <si>
    <t>US 50A Devine</t>
  </si>
  <si>
    <t>239A</t>
  </si>
  <si>
    <t>I-25A US 160C Trinidad</t>
  </si>
  <si>
    <t>end Las Animas CR 32 El Moro</t>
  </si>
  <si>
    <t>257A</t>
  </si>
  <si>
    <t>SH 60B Milliken</t>
  </si>
  <si>
    <t>US 34A WO Greeley</t>
  </si>
  <si>
    <t>US 34B business Greeley</t>
  </si>
  <si>
    <t>SH 392B Windsor</t>
  </si>
  <si>
    <t>SH 392A Windsor</t>
  </si>
  <si>
    <t xml:space="preserve">SH 14C </t>
  </si>
  <si>
    <t>Little Thompson River; Big Thompson River</t>
  </si>
  <si>
    <t>Windsor Lake</t>
  </si>
  <si>
    <t>257B</t>
  </si>
  <si>
    <t>start WO Missile Park Rd</t>
  </si>
  <si>
    <t>US 34B &amp; Promontory Pkwy</t>
  </si>
  <si>
    <t>265A</t>
  </si>
  <si>
    <t>start York St</t>
  </si>
  <si>
    <t>265B</t>
  </si>
  <si>
    <t>I-70A EB Brighton Blvd ramps</t>
  </si>
  <si>
    <t>ends 47th Ave</t>
  </si>
  <si>
    <t>266A</t>
  </si>
  <si>
    <t>SH 109A SWO Cheraw</t>
  </si>
  <si>
    <t>270A</t>
  </si>
  <si>
    <t>I-76A I-270B Turnpike Tangle</t>
  </si>
  <si>
    <t>I-70A Central Park Blvd</t>
  </si>
  <si>
    <t>270B</t>
  </si>
  <si>
    <t>South Platte River; Sand Creek</t>
  </si>
  <si>
    <t>I-25A US 36B Turnpike Tangle</t>
  </si>
  <si>
    <t>I-76A I-270A Turnpike Tangle</t>
  </si>
  <si>
    <t>285A</t>
  </si>
  <si>
    <t>SH 17A Antonito</t>
  </si>
  <si>
    <t>SH 142A Romeo</t>
  </si>
  <si>
    <t>SH 136A La Jara</t>
  </si>
  <si>
    <t>SH 15B NO La Jara</t>
  </si>
  <si>
    <t>SH 370A SO Alamosa</t>
  </si>
  <si>
    <t>US 160A 6th St Alamosa</t>
  </si>
  <si>
    <t>US 160Z Main St Alamosa</t>
  </si>
  <si>
    <t>SH 368A Estrella</t>
  </si>
  <si>
    <t>Rio San Antonio</t>
  </si>
  <si>
    <t>Conejos River</t>
  </si>
  <si>
    <t>La Jara Creek; Alamosa River</t>
  </si>
  <si>
    <t>285B</t>
  </si>
  <si>
    <t>US 160A SH 15A Monte Vista</t>
  </si>
  <si>
    <t>SH 112A WO Center</t>
  </si>
  <si>
    <t>SH 114A Saguache</t>
  </si>
  <si>
    <t>SH 17B SO Villa Grove</t>
  </si>
  <si>
    <t>US 50A Poncha Spgs</t>
  </si>
  <si>
    <t>285C</t>
  </si>
  <si>
    <t>San Luis Creek; Poncha Creek; South Arkansas River</t>
  </si>
  <si>
    <t>SH 291A NWO Salida</t>
  </si>
  <si>
    <t>US 24A Johnson Village</t>
  </si>
  <si>
    <t>285D</t>
  </si>
  <si>
    <t>US 24A Antero Jct</t>
  </si>
  <si>
    <t>SH 9B SO Fairplay</t>
  </si>
  <si>
    <t>SH 9C Fairplay</t>
  </si>
  <si>
    <t>SH 8A SO Morrison</t>
  </si>
  <si>
    <t>I-25A SH 30A Hampden Ave exit</t>
  </si>
  <si>
    <t>South Fork South Platte River</t>
  </si>
  <si>
    <t>Tarryall Creek; Kenosha Creek; North Fork South Platte River; Turkey Creek</t>
  </si>
  <si>
    <t>287A</t>
  </si>
  <si>
    <t>Oklahoma state line</t>
  </si>
  <si>
    <t>SH 116A WO Two Buttes</t>
  </si>
  <si>
    <t>US 160C SO Springfield</t>
  </si>
  <si>
    <t>US 50B Lamar</t>
  </si>
  <si>
    <t>Cat Creek</t>
  </si>
  <si>
    <t>Clay Creek</t>
  </si>
  <si>
    <t>287B</t>
  </si>
  <si>
    <t>US 50B NWO Lamar</t>
  </si>
  <si>
    <t>SH 196A SO Wiley</t>
  </si>
  <si>
    <t>SH 96D EO Eads</t>
  </si>
  <si>
    <t>SH 96C Eads</t>
  </si>
  <si>
    <t>US 40H EO Kit Carson</t>
  </si>
  <si>
    <t>Neenoshe Reservoir</t>
  </si>
  <si>
    <t>Rush Creek; Big Sandy Creek</t>
  </si>
  <si>
    <t>287C</t>
  </si>
  <si>
    <t>US 40C SH 88A Colfax Ave &amp; Federal Blvd</t>
  </si>
  <si>
    <t>I-76A Federal Blvd exit</t>
  </si>
  <si>
    <t>I-70A Federal Blvd exit</t>
  </si>
  <si>
    <t>US 36B Federal Blvd exit</t>
  </si>
  <si>
    <t>SH 128B 120th Ave</t>
  </si>
  <si>
    <t>[later than 2015] SH 128A Upham St</t>
  </si>
  <si>
    <t>SH 470N Northwest Pkwy</t>
  </si>
  <si>
    <t>SH 42A Empire Rd</t>
  </si>
  <si>
    <t>SH 7D Baseline Rd (168th Ave)</t>
  </si>
  <si>
    <t>SH 119B Ken Pratt Blvd</t>
  </si>
  <si>
    <t>SH 56B Berthoud</t>
  </si>
  <si>
    <t>SH 60A Campion</t>
  </si>
  <si>
    <t>SH 402A 14th St SE Loveland</t>
  </si>
  <si>
    <t>US 34A Eisenhower Blvd Loveland</t>
  </si>
  <si>
    <t>US 287Z Loveland</t>
  </si>
  <si>
    <t>SH 392A Carpenter Rd Fort Collins</t>
  </si>
  <si>
    <t>SH 14C Jefferson St Fort Collins</t>
  </si>
  <si>
    <t>SH 1A Terry Lake Rd Fort Collins</t>
  </si>
  <si>
    <t>SH 14B Ted's Place</t>
  </si>
  <si>
    <t>287D</t>
  </si>
  <si>
    <t>287H</t>
  </si>
  <si>
    <t>287E</t>
  </si>
  <si>
    <t>287Z</t>
  </si>
  <si>
    <t>287I</t>
  </si>
  <si>
    <t>287F</t>
  </si>
  <si>
    <t>287G</t>
  </si>
  <si>
    <t>Clear Creek; Little Dry Creek</t>
  </si>
  <si>
    <t>Little Thompson River; Dry Creek</t>
  </si>
  <si>
    <t>Fossil Creek; Mail Creek; Spring Creek</t>
  </si>
  <si>
    <t>Stonewall Creek; Tenmile Creek; Deadman Creek; Dale Creek</t>
  </si>
  <si>
    <t>US 287C Loveland</t>
  </si>
  <si>
    <t>291A</t>
  </si>
  <si>
    <t>US 50A Salida</t>
  </si>
  <si>
    <t>US 285C NO Poncha Spgs</t>
  </si>
  <si>
    <t>300A</t>
  </si>
  <si>
    <t>US 24A SWO Leadville</t>
  </si>
  <si>
    <t>ends at fish hatchery on Lake CR 5A</t>
  </si>
  <si>
    <t>Arkansas River; Lake Fork</t>
  </si>
  <si>
    <t>317A</t>
  </si>
  <si>
    <t>SH 13A SO Craig</t>
  </si>
  <si>
    <t>Williams Fork Yampa River</t>
  </si>
  <si>
    <t>318A</t>
  </si>
  <si>
    <t>US 40A SEO Sunbeam</t>
  </si>
  <si>
    <t>Green River; Little Snake River; Yampa River</t>
  </si>
  <si>
    <t>325A</t>
  </si>
  <si>
    <t>ends at Rifle Falls State Park</t>
  </si>
  <si>
    <t>starts at Utah state line</t>
  </si>
  <si>
    <t>ends near Pagoda NO Flat Tops Wilderness</t>
  </si>
  <si>
    <t>Rifle Creek</t>
  </si>
  <si>
    <t>330A</t>
  </si>
  <si>
    <t>SH 65A NO Mesa</t>
  </si>
  <si>
    <t>ends at Mesa County 58.5 Rd Collbran</t>
  </si>
  <si>
    <t>340A</t>
  </si>
  <si>
    <t>US 6A Fruita</t>
  </si>
  <si>
    <t>I-70A Fruita exit</t>
  </si>
  <si>
    <t>I-70B &amp; Grand Ave</t>
  </si>
  <si>
    <t>347A</t>
  </si>
  <si>
    <t>US 50A EO Montrose</t>
  </si>
  <si>
    <t>ends at entrance to Black Cyn of the Gunnison NP</t>
  </si>
  <si>
    <t>340B</t>
  </si>
  <si>
    <t>340C</t>
  </si>
  <si>
    <t>348A</t>
  </si>
  <si>
    <t>348B</t>
  </si>
  <si>
    <t>US 50D business Olathe</t>
  </si>
  <si>
    <t>348C</t>
  </si>
  <si>
    <t>Uncompahgre River; Buttermilk Creek; Dry Creek</t>
  </si>
  <si>
    <t>350A</t>
  </si>
  <si>
    <t>US 160C Beshoar Jct NEO Trinidad</t>
  </si>
  <si>
    <t>SH 71A NEO Timpas</t>
  </si>
  <si>
    <t>Purgatoire River; Timpas Creek</t>
  </si>
  <si>
    <t>368A</t>
  </si>
  <si>
    <t>SH 370A SEO Monte Vista</t>
  </si>
  <si>
    <t>SH 371A WO Estrella</t>
  </si>
  <si>
    <t>US 285A Estrella</t>
  </si>
  <si>
    <t>370A</t>
  </si>
  <si>
    <t>SH 15A SO Monte Vista</t>
  </si>
  <si>
    <t>SH 368A SEO Monte Vista</t>
  </si>
  <si>
    <t>US 285A SO Alamosa</t>
  </si>
  <si>
    <t>371A</t>
  </si>
  <si>
    <t>SH 15B EO Capulin</t>
  </si>
  <si>
    <t>SH 368A WO Estrella</t>
  </si>
  <si>
    <t>385A</t>
  </si>
  <si>
    <t>US 50B Granada</t>
  </si>
  <si>
    <t>SH 96D WO Sheridan Lake</t>
  </si>
  <si>
    <t>Wolf Creek; Arkansas River; Buffalo Creek</t>
  </si>
  <si>
    <t>385B</t>
  </si>
  <si>
    <t>SH 96D Sheridan Lake</t>
  </si>
  <si>
    <t>US 40H EO Cheyenne Wells</t>
  </si>
  <si>
    <t>385C</t>
  </si>
  <si>
    <t>US 40H Cheyenne Wells</t>
  </si>
  <si>
    <t>I-70A Burlington south exit</t>
  </si>
  <si>
    <t>US 24C Rose Ave &amp; Lincoln St</t>
  </si>
  <si>
    <t>US 24D Rose Ave &amp; 8th St</t>
  </si>
  <si>
    <t>US 36D EO Idalia</t>
  </si>
  <si>
    <t>385G</t>
  </si>
  <si>
    <t>385F</t>
  </si>
  <si>
    <t>Smoky Hill River</t>
  </si>
  <si>
    <t xml:space="preserve">Landsman Creek; South Fork Republican River </t>
  </si>
  <si>
    <t>385D</t>
  </si>
  <si>
    <t>US 36D NEO Idalia</t>
  </si>
  <si>
    <t>US 34B Wray</t>
  </si>
  <si>
    <t>US 6J Holyoke</t>
  </si>
  <si>
    <t>SH 23A Holyoke</t>
  </si>
  <si>
    <t>I-76A Julesburg exit</t>
  </si>
  <si>
    <t>US 138A Julesburg</t>
  </si>
  <si>
    <t>Arikaree River; Sand Creek; Black Wolf Creek; North Fork Republican River</t>
  </si>
  <si>
    <t>385E</t>
  </si>
  <si>
    <t>Lodgepole Creek</t>
  </si>
  <si>
    <t>389A</t>
  </si>
  <si>
    <t>US 160C Walt's Corner NO Branson</t>
  </si>
  <si>
    <t>391A</t>
  </si>
  <si>
    <t>391B</t>
  </si>
  <si>
    <t>391C</t>
  </si>
  <si>
    <t>392A</t>
  </si>
  <si>
    <t>US 287C &amp; Carpenter Rd Fort Collins</t>
  </si>
  <si>
    <t>SH 257A Windsor</t>
  </si>
  <si>
    <t>Fossil Creek</t>
  </si>
  <si>
    <t>392B</t>
  </si>
  <si>
    <t>US 85L Lucerne</t>
  </si>
  <si>
    <t>SH 14C Briggsdale</t>
  </si>
  <si>
    <t>Graham Seep</t>
  </si>
  <si>
    <t>Sand Creek; Lone Tree Creek; Crow Creek</t>
  </si>
  <si>
    <t>394A</t>
  </si>
  <si>
    <t>US 40Z Victory Way Craig</t>
  </si>
  <si>
    <t>US 40A 4th St Craig</t>
  </si>
  <si>
    <t>ends at Moffat-Routt county line past Craig-Moffat Airport</t>
  </si>
  <si>
    <t>402A</t>
  </si>
  <si>
    <t>US 287C &amp; 14th St SE Loveland</t>
  </si>
  <si>
    <t>470A</t>
  </si>
  <si>
    <t>I-70A C-470W</t>
  </si>
  <si>
    <t>SH 121A SH 121B Wadsworth Blvd</t>
  </si>
  <si>
    <t>SH 75B WB ramps Platte Cyn Rd</t>
  </si>
  <si>
    <t>I-25A E-470B</t>
  </si>
  <si>
    <t>470C</t>
  </si>
  <si>
    <t>Bear Creek; Turkey Creek</t>
  </si>
  <si>
    <t>Chatfield Reservoir</t>
  </si>
  <si>
    <t>Willow Creek</t>
  </si>
  <si>
    <t>470B</t>
  </si>
  <si>
    <t>I-25A C-470A</t>
  </si>
  <si>
    <t>to SH 30A Gun Club Rd at Quincy</t>
  </si>
  <si>
    <t>to SH 30A Gun Club Rd at Jewell</t>
  </si>
  <si>
    <t>I-25A SH 470N Northwest Pkwy</t>
  </si>
  <si>
    <t>Second Creek; Third Creek</t>
  </si>
  <si>
    <t>South Platte River; Big Dry Creek</t>
  </si>
  <si>
    <t>470N</t>
  </si>
  <si>
    <t>ends at 96th St &amp; Via Varra</t>
  </si>
  <si>
    <t>Added about 1 mi of 96th St as "within interchange" to reach US 36B</t>
  </si>
  <si>
    <t>Rock Creek [at 96th St]</t>
  </si>
  <si>
    <t>470W</t>
  </si>
  <si>
    <t>I-70A C-470A</t>
  </si>
  <si>
    <t>US 6G near JeffCo Govt Ctr Stn</t>
  </si>
  <si>
    <t>Lena Gulch</t>
  </si>
  <si>
    <t>491A</t>
  </si>
  <si>
    <t>US 160A SO Towaoc</t>
  </si>
  <si>
    <t>491B</t>
  </si>
  <si>
    <t>SH 184A SO Lewis</t>
  </si>
  <si>
    <t>SH 141A WO Dove Creek</t>
  </si>
  <si>
    <t>491C</t>
  </si>
  <si>
    <t>US 160A &amp; Elm St Cortez</t>
  </si>
  <si>
    <t>US 491B &amp; Arbecam Ave Cortez</t>
  </si>
  <si>
    <t>550A</t>
  </si>
  <si>
    <t>US 160A WO Wilson Gulch Dr rab</t>
  </si>
  <si>
    <t>Animas River; Florida River</t>
  </si>
  <si>
    <t>550B</t>
  </si>
  <si>
    <t>US 160A Durango</t>
  </si>
  <si>
    <t>SH 110A Silverton</t>
  </si>
  <si>
    <t>SH 62A Ridgway</t>
  </si>
  <si>
    <t>SH 90B Main St Montrose</t>
  </si>
  <si>
    <t>US 50A San Juan Ave Montrose</t>
  </si>
  <si>
    <t>Mineral Creek; Red Mountain Creek; Uncompahgre River</t>
  </si>
  <si>
    <t>034E</t>
  </si>
  <si>
    <t>DetourRouteFile</t>
  </si>
  <si>
    <t>Detour_Intra02x4</t>
  </si>
  <si>
    <t>Detour_Intra02x2</t>
  </si>
  <si>
    <t>Detour_Intra02x6</t>
  </si>
  <si>
    <t>Detour_Intra02x5</t>
  </si>
  <si>
    <t>Detour_Intra01</t>
  </si>
  <si>
    <t>Detour_OOS01</t>
  </si>
  <si>
    <t>Detour_OOS02</t>
  </si>
  <si>
    <t>Detour_Intra02x1</t>
  </si>
  <si>
    <t>014D</t>
  </si>
  <si>
    <t>014E</t>
  </si>
  <si>
    <t>Detour_Intra02x3</t>
  </si>
  <si>
    <t>Detour_Virt1x1a</t>
  </si>
  <si>
    <t>Detour_Virt1x2</t>
  </si>
  <si>
    <t>Detour_Virt2x1</t>
  </si>
  <si>
    <t>Detour_Virt2x1; Detour_Virt2x2</t>
  </si>
  <si>
    <t>Detour_Virt2x2</t>
  </si>
  <si>
    <t>Detour_Virt3x1</t>
  </si>
  <si>
    <t>Detour_Virt3x2</t>
  </si>
  <si>
    <t>Detour_Virt3x3</t>
  </si>
  <si>
    <t>Detour_Virt3x5</t>
  </si>
  <si>
    <t>not created</t>
  </si>
  <si>
    <t>not in network</t>
  </si>
  <si>
    <t>Detour_Intra03x1</t>
  </si>
  <si>
    <t>Spur (with SH 40E) - detour uses connection to Peoria Crossing interchange</t>
  </si>
  <si>
    <t>Avon Rd (former I-70H)</t>
  </si>
  <si>
    <t>Detour_SH040E_</t>
  </si>
  <si>
    <t>Row Labels</t>
  </si>
  <si>
    <t>Grand Total</t>
  </si>
  <si>
    <t>Count of Route</t>
  </si>
  <si>
    <t>Peoria Crossing (to SH 040E)</t>
  </si>
  <si>
    <t>Elbert CR 178 (to SH 040F)</t>
  </si>
  <si>
    <t>906J</t>
  </si>
  <si>
    <t>906K</t>
  </si>
  <si>
    <t>906L</t>
  </si>
  <si>
    <t>906M</t>
  </si>
  <si>
    <t>Detour_Virt4x1</t>
  </si>
  <si>
    <t>063B</t>
  </si>
  <si>
    <t>063C</t>
  </si>
  <si>
    <t>063D</t>
  </si>
  <si>
    <t>065B</t>
  </si>
  <si>
    <t>065C</t>
  </si>
  <si>
    <t>078C</t>
  </si>
  <si>
    <t>078D</t>
  </si>
  <si>
    <t>088D; 088F</t>
  </si>
  <si>
    <t>088D; 088G</t>
  </si>
  <si>
    <t>119D</t>
  </si>
  <si>
    <t>119E</t>
  </si>
  <si>
    <t>119F</t>
  </si>
  <si>
    <t>RouteID</t>
  </si>
  <si>
    <t>StatewideSegmentID</t>
  </si>
  <si>
    <t>SegmentIDwithinRoute</t>
  </si>
  <si>
    <t>From</t>
  </si>
  <si>
    <t>To</t>
  </si>
  <si>
    <t>TCDistance</t>
  </si>
  <si>
    <t>FormerStateHighways?</t>
  </si>
  <si>
    <t>RouteDescription</t>
  </si>
  <si>
    <t>InterchangeOfSH</t>
  </si>
  <si>
    <t>ExitNumber</t>
  </si>
  <si>
    <t>OtherNearbyCurrentStateHighways</t>
  </si>
  <si>
    <t>Spur - no detour possible; 
not in network</t>
  </si>
  <si>
    <t>Spur - no detour possible; 
not in network as single link</t>
  </si>
  <si>
    <t>Spur - no detour possible; 
not currently in network</t>
  </si>
  <si>
    <t>not in modeling network; added; within interchange</t>
  </si>
  <si>
    <t>Garfield CR 215</t>
  </si>
  <si>
    <t>I-70A EB ramps</t>
  </si>
  <si>
    <t>US 6M First St Parachute I-70 Frontage Rd</t>
  </si>
  <si>
    <t>70A</t>
  </si>
  <si>
    <t>6M</t>
  </si>
  <si>
    <t>Garfield CR 323</t>
  </si>
  <si>
    <t>US 6M Frontage Rd</t>
  </si>
  <si>
    <t>I-70A WB ramps</t>
  </si>
  <si>
    <t>Centennial Pkwy Rifle</t>
  </si>
  <si>
    <t>US 6L &amp; SH 13A</t>
  </si>
  <si>
    <t>Railroad Ave</t>
  </si>
  <si>
    <t>Whitewater Ave</t>
  </si>
  <si>
    <t>6D</t>
  </si>
  <si>
    <t>US 6D near continuation of Clarkson Ave</t>
  </si>
  <si>
    <t>13C, 70A</t>
  </si>
  <si>
    <t>connector: Railroad Ave to Taugenbaugh Blvd</t>
  </si>
  <si>
    <t>Centennial Parkway Rifle</t>
  </si>
  <si>
    <t>Whiteriver Ave</t>
  </si>
  <si>
    <t>Railroad Ave connector</t>
  </si>
  <si>
    <t>Whiteriver Ave Rifle</t>
  </si>
  <si>
    <t>Castle Valley Blvd New Castle</t>
  </si>
  <si>
    <t>US 6D</t>
  </si>
  <si>
    <t>Avon Rd</t>
  </si>
  <si>
    <t>US 6E &amp; Village Rd</t>
  </si>
  <si>
    <t>Nottingham Rd SEBR to I-70A WB</t>
  </si>
  <si>
    <t>70H</t>
  </si>
  <si>
    <t>6L, 13A</t>
  </si>
  <si>
    <t>6E, 70A</t>
  </si>
  <si>
    <t>Exit 6 Rd in Coalbank Cyn</t>
  </si>
  <si>
    <t>cc near I-25A West Frontage Rd</t>
  </si>
  <si>
    <t>bridge over Raton Creek to Fisher Peak Pkwy</t>
  </si>
  <si>
    <t>25A</t>
  </si>
  <si>
    <t>Exit Rd 8 Crazy French Ranch</t>
  </si>
  <si>
    <t>I-25A SB ramps</t>
  </si>
  <si>
    <t>I-25A NB ramps via Fisher Peak State Park Office</t>
  </si>
  <si>
    <t>Ilex St Pueblo (realigned to D St by 2018)</t>
  </si>
  <si>
    <t>US 50C Santa Fe Ave</t>
  </si>
  <si>
    <t>Runyon Field</t>
  </si>
  <si>
    <t>98A</t>
  </si>
  <si>
    <t>50C</t>
  </si>
  <si>
    <t>Roselawn Rd</t>
  </si>
  <si>
    <t>SH 227A MP 0 near Socorro Pl</t>
  </si>
  <si>
    <t>US 50C EB ramps</t>
  </si>
  <si>
    <t>(2-3)</t>
  </si>
  <si>
    <t>B St Colorado Spgs</t>
  </si>
  <si>
    <t>SBR (porkchop) ramp from Venetucci Blvd</t>
  </si>
  <si>
    <t>US 85A Venetucci Blvd</t>
  </si>
  <si>
    <t>85A</t>
  </si>
  <si>
    <t>Space Village Ave Colorado Spgs</t>
  </si>
  <si>
    <t>Peterson Blvd</t>
  </si>
  <si>
    <t>WBR ramp to US 24G</t>
  </si>
  <si>
    <t>24G</t>
  </si>
  <si>
    <t>(312)</t>
  </si>
  <si>
    <t>Barnes Ave La Junta</t>
  </si>
  <si>
    <t>5th St La Junta</t>
  </si>
  <si>
    <t>3rd St La Junta</t>
  </si>
  <si>
    <t>Barnes Ave La Junta (US 350A uses Grant Ave)</t>
  </si>
  <si>
    <t>50B</t>
  </si>
  <si>
    <t>(378-379)</t>
  </si>
  <si>
    <t>US 50B 1st St La Junta</t>
  </si>
  <si>
    <t>50B, 350A</t>
  </si>
  <si>
    <t>US 50B at Hayes Ave</t>
  </si>
  <si>
    <t>US 350A Grant Ave (modeled at Belmont Ave)</t>
  </si>
  <si>
    <t>I-76A North Frontage Rd (Morgan CR Q)</t>
  </si>
  <si>
    <t>SH 144A MP 0 Morgan CR 1</t>
  </si>
  <si>
    <t>76A</t>
  </si>
  <si>
    <t>US 6?</t>
  </si>
  <si>
    <t>Morgan CR 3.00 and US 6I</t>
  </si>
  <si>
    <t>6I</t>
  </si>
  <si>
    <t>Kit Carson CR 40</t>
  </si>
  <si>
    <t>US 24C SO RR tracks from Bethune</t>
  </si>
  <si>
    <t>24C</t>
  </si>
  <si>
    <t>8th Ave Greeley</t>
  </si>
  <si>
    <t>US 85C SB ramps</t>
  </si>
  <si>
    <t>US 34A WB Canal Rd US 34A EB ramp off</t>
  </si>
  <si>
    <t>34A</t>
  </si>
  <si>
    <t>(112-113)</t>
  </si>
  <si>
    <t>US 85?</t>
  </si>
  <si>
    <t>85C, 85G</t>
  </si>
  <si>
    <t>US 85C SB flyover ramp from WB US 34A</t>
  </si>
  <si>
    <t>I-25A East Frontage Rd</t>
  </si>
  <si>
    <t>SH 60B Weld CR 48</t>
  </si>
  <si>
    <t>SH 60A Weld CR 50</t>
  </si>
  <si>
    <t>SH 60???</t>
  </si>
  <si>
    <t>60A, 60B</t>
  </si>
  <si>
    <t>Weld CR 28</t>
  </si>
  <si>
    <t>US 85F MP 0 Weld CR 25.5</t>
  </si>
  <si>
    <t>85C, 85F</t>
  </si>
  <si>
    <t>Arapahoe Rd Aurora/Foxfield</t>
  </si>
  <si>
    <t>ramps to SH 83A NB</t>
  </si>
  <si>
    <t>Lewiston Way Outer NB SH 83A ramps</t>
  </si>
  <si>
    <t>83A</t>
  </si>
  <si>
    <t>(65-66)</t>
  </si>
  <si>
    <t>88B</t>
  </si>
  <si>
    <t>Parmalee Gulch Rd</t>
  </si>
  <si>
    <t>flyover ramp to US 285D NEB</t>
  </si>
  <si>
    <t>(245-247)</t>
  </si>
  <si>
    <t>Grapevine Rd</t>
  </si>
  <si>
    <t>I-70A WB Lookout Mountain ramps</t>
  </si>
  <si>
    <t>US 40C near Paradise Hills PnR</t>
  </si>
  <si>
    <t>40C</t>
  </si>
  <si>
    <t>US 85B SBR ramp to SH 67E</t>
  </si>
  <si>
    <t>85B</t>
  </si>
  <si>
    <t>SH 67E Manhart Ave Sedalia</t>
  </si>
  <si>
    <t>(190-191)</t>
  </si>
  <si>
    <t>67E, 105B</t>
  </si>
  <si>
    <t>US 85B SW Frontage Rd</t>
  </si>
  <si>
    <t>US 85B</t>
  </si>
  <si>
    <t>Conifer Town Centre Dr</t>
  </si>
  <si>
    <t>US 285B SB ramps</t>
  </si>
  <si>
    <t>Main St Conifer</t>
  </si>
  <si>
    <t>(236-237)</t>
  </si>
  <si>
    <t>Light Ln (to US 285D NB ramps)</t>
  </si>
  <si>
    <t>Homestead Rd</t>
  </si>
  <si>
    <t>I-70A WB Floyd Hill Hyland Hills on ramp</t>
  </si>
  <si>
    <t>40B</t>
  </si>
  <si>
    <t>Jefferson CR 65</t>
  </si>
  <si>
    <t>US 40B near Beaver Brook P&amp;R</t>
  </si>
  <si>
    <t>Alameda Ave Denver</t>
  </si>
  <si>
    <t>Kalamath St SH 28B east end</t>
  </si>
  <si>
    <t>Santa Fe Dr</t>
  </si>
  <si>
    <t>207B, 208</t>
  </si>
  <si>
    <t>SH 8</t>
  </si>
  <si>
    <t>26B, 85B</t>
  </si>
  <si>
    <t>Santa Fe Dr East Frontage Rd</t>
  </si>
  <si>
    <t>Center Ave Denver</t>
  </si>
  <si>
    <t>US 85B north end Santa Fe Dr SO Alameda Ave</t>
  </si>
  <si>
    <t>Santa Fe Dr Denver</t>
  </si>
  <si>
    <t>US 85B north end Frontage Rd</t>
  </si>
  <si>
    <t>Alameda Ave</t>
  </si>
  <si>
    <t>Kalamath St Denver</t>
  </si>
  <si>
    <t>Cedar Ave (to I-25A NB on ramp)</t>
  </si>
  <si>
    <t>Cedar Ave Denver</t>
  </si>
  <si>
    <t>Kalamath St (to I-25A NB on ramp)</t>
  </si>
  <si>
    <t>Jefferson CR 93</t>
  </si>
  <si>
    <t>NBR on ramp to I-70A EB near Stegasaurus Lot</t>
  </si>
  <si>
    <t>US 40C near T-Rex Lot</t>
  </si>
  <si>
    <t>SH 26/93</t>
  </si>
  <si>
    <t>Quincy Ave</t>
  </si>
  <si>
    <t>C-470A SEB ramps</t>
  </si>
  <si>
    <t>C-470A NWB ramps</t>
  </si>
  <si>
    <t>44th Ave Wheat Ridge</t>
  </si>
  <si>
    <t>SH 72A MP 0 Ward Rd</t>
  </si>
  <si>
    <t>SH 58</t>
  </si>
  <si>
    <t>72A</t>
  </si>
  <si>
    <t>Denver West Colorado Mills Pkwy</t>
  </si>
  <si>
    <t>8th Ave Denver</t>
  </si>
  <si>
    <t>Zuni St</t>
  </si>
  <si>
    <t>Wyandot St</t>
  </si>
  <si>
    <t>209C</t>
  </si>
  <si>
    <t>US 6</t>
  </si>
  <si>
    <t>Zuni St Denver</t>
  </si>
  <si>
    <t>Wyandot St Denver</t>
  </si>
  <si>
    <t>I-25A NB on ramp</t>
  </si>
  <si>
    <t>6th Ave South Frontage Rd Denver</t>
  </si>
  <si>
    <t>Osage St Seminole Rd</t>
  </si>
  <si>
    <t>6G, 25A</t>
  </si>
  <si>
    <t>Seminole Rd Denver</t>
  </si>
  <si>
    <t>6th Ave South Frontage Rd</t>
  </si>
  <si>
    <t>WB 6th Ave Fwy ramps (to US 6G)</t>
  </si>
  <si>
    <t>48th Ave Denver</t>
  </si>
  <si>
    <t>Harlan St (I-70A exit 270)</t>
  </si>
  <si>
    <t>270, 271A</t>
  </si>
  <si>
    <t>95A</t>
  </si>
  <si>
    <t>Broadway Denver</t>
  </si>
  <si>
    <t>Kentucky Ave NBR on ramp to I-25A SEB</t>
  </si>
  <si>
    <t>Ohio Ave</t>
  </si>
  <si>
    <t>Ohio Ave Denver</t>
  </si>
  <si>
    <t>I-25A NBR off ramp</t>
  </si>
  <si>
    <t>96th St Boulder Interlocken Loop</t>
  </si>
  <si>
    <t>US 36B WB ramps</t>
  </si>
  <si>
    <t>Northwest Pkwy (470N) max MP 96th St Boulder Via Varra</t>
  </si>
  <si>
    <t>36B</t>
  </si>
  <si>
    <t>(45-46)</t>
  </si>
  <si>
    <t>Table Mesa Dr South Boulder Rd</t>
  </si>
  <si>
    <t>US 36B SEB ramps</t>
  </si>
  <si>
    <t>US 36B NWBR ramp</t>
  </si>
  <si>
    <t>(39-40)</t>
  </si>
  <si>
    <t>15th Ave near Bennett</t>
  </si>
  <si>
    <t>I-70A EB off ramp WB on ramp</t>
  </si>
  <si>
    <t>I-70A WB off ramp SH 36D</t>
  </si>
  <si>
    <t>36D</t>
  </si>
  <si>
    <t>US 40???</t>
  </si>
  <si>
    <t>Peoria Crossing Rd</t>
  </si>
  <si>
    <t>I-70A South Frontage Rd</t>
  </si>
  <si>
    <t>US 40</t>
  </si>
  <si>
    <t>40E</t>
  </si>
  <si>
    <t>E-470B NB ramps</t>
  </si>
  <si>
    <t>SH 30A Gun Club Rd</t>
  </si>
  <si>
    <t>SH 88 until 1954</t>
  </si>
  <si>
    <t>30A</t>
  </si>
  <si>
    <t>Gun Club Rd</t>
  </si>
  <si>
    <t>E-470B NB off ramp SB on ramp I-70A South Frontage Rd</t>
  </si>
  <si>
    <t>E-470B NB on ramp SB off ramp 19th Ave Aurora</t>
  </si>
  <si>
    <t>20, 20A</t>
  </si>
  <si>
    <t>Jewell Ave</t>
  </si>
  <si>
    <t>E-470 access road</t>
  </si>
  <si>
    <t>E-470B ramps</t>
  </si>
  <si>
    <t>85C, 22A</t>
  </si>
  <si>
    <t>University Blvd Highlands Ranch</t>
  </si>
  <si>
    <t>Dad Clark Dr (frontage road)</t>
  </si>
  <si>
    <t>C-470A EB ramps SH 177A MP 0</t>
  </si>
  <si>
    <t>US 85C SB ramps SO US 34A</t>
  </si>
  <si>
    <t>I-70A EB ramps at Bethune exit</t>
  </si>
  <si>
    <t>lc15</t>
  </si>
  <si>
    <t>lc44</t>
  </si>
  <si>
    <t>lc48</t>
  </si>
  <si>
    <t>lc96</t>
  </si>
  <si>
    <t>lcAl</t>
  </si>
  <si>
    <t>lcAr</t>
  </si>
  <si>
    <t>lcAv</t>
  </si>
  <si>
    <t>lc3J</t>
  </si>
  <si>
    <t>lc5J</t>
  </si>
  <si>
    <t>lc6D</t>
  </si>
  <si>
    <t>lc8D</t>
  </si>
  <si>
    <t>lc8G</t>
  </si>
  <si>
    <t>lcBC</t>
  </si>
  <si>
    <t>lcBa</t>
  </si>
  <si>
    <t>lcCV</t>
  </si>
  <si>
    <t>lcCD</t>
  </si>
  <si>
    <t>lcCT</t>
  </si>
  <si>
    <t>lcCR</t>
  </si>
  <si>
    <t>lcRi</t>
  </si>
  <si>
    <t>lcDW</t>
  </si>
  <si>
    <t>lc85</t>
  </si>
  <si>
    <t>lcX6</t>
  </si>
  <si>
    <t>lcX8</t>
  </si>
  <si>
    <t>I-70A WB ramps Rulison</t>
  </si>
  <si>
    <t>lcGC</t>
  </si>
  <si>
    <t>lcGr</t>
  </si>
  <si>
    <t>lcPG</t>
  </si>
  <si>
    <t>lcPC</t>
  </si>
  <si>
    <t>lcSF</t>
  </si>
  <si>
    <t>lcQC</t>
  </si>
  <si>
    <t>lcQE</t>
  </si>
  <si>
    <t>lcRo</t>
  </si>
  <si>
    <t>lcSV</t>
  </si>
  <si>
    <t>lcTM</t>
  </si>
  <si>
    <t>lcUn</t>
  </si>
  <si>
    <t>lcWy</t>
  </si>
  <si>
    <t>lcZu</t>
  </si>
  <si>
    <t>lcHo</t>
  </si>
  <si>
    <t>lcJe</t>
  </si>
  <si>
    <t>lcKa</t>
  </si>
  <si>
    <t>lcOh</t>
  </si>
  <si>
    <t>lc25</t>
  </si>
  <si>
    <t>lc76</t>
  </si>
  <si>
    <t>lcPu</t>
  </si>
  <si>
    <t>lcPa</t>
  </si>
  <si>
    <t>lcRu</t>
  </si>
  <si>
    <t>lcBB</t>
  </si>
  <si>
    <t>lcJu</t>
  </si>
  <si>
    <t>lcMC</t>
  </si>
  <si>
    <t>US 85C SO Platteville</t>
  </si>
  <si>
    <t>lcPl</t>
  </si>
  <si>
    <t>lcWh</t>
  </si>
  <si>
    <t>lcBe</t>
  </si>
  <si>
    <t>lcSm</t>
  </si>
  <si>
    <t>lcSd</t>
  </si>
  <si>
    <t>lcff</t>
  </si>
  <si>
    <t>lcBw</t>
  </si>
  <si>
    <t>StartFixed</t>
  </si>
  <si>
    <t>EndFixed</t>
  </si>
  <si>
    <t>ReserveIntermed</t>
  </si>
  <si>
    <t>ReserveNotes</t>
  </si>
  <si>
    <t>AllowSegs</t>
  </si>
  <si>
    <t>StartInt</t>
  </si>
  <si>
    <t>EndInt</t>
  </si>
  <si>
    <t>Increment</t>
  </si>
  <si>
    <t>Y</t>
  </si>
  <si>
    <t>NumberSegs</t>
  </si>
  <si>
    <t>Jefferson Pkwy</t>
  </si>
  <si>
    <t>Jefferson Pkwy, Extn to US 287C</t>
  </si>
  <si>
    <t>Bridge St</t>
  </si>
  <si>
    <t>Extension N to I-25A</t>
  </si>
  <si>
    <t>Extension S to ???</t>
  </si>
  <si>
    <t>Sequence</t>
  </si>
  <si>
    <t>SH 36C Air Park Rd Monaghan Rd</t>
  </si>
  <si>
    <t>20 Rd, 29 Rd, EGE Airport, W Frisco, Picadilly, Harvest, Manila, Quail Run, Harback, Yule, SH 36D, Arriba, Flagler Rec Area</t>
  </si>
  <si>
    <t>lc47</t>
  </si>
  <si>
    <t>South Gate Pueblo, Pueblo Blvd Extn, Powers South, Academy South, Powers North, Crystal Valley, Centerra TC, Owl Canyon</t>
  </si>
  <si>
    <t>Havana to Colfax</t>
  </si>
  <si>
    <t>115B; 115D</t>
  </si>
  <si>
    <t>906N</t>
  </si>
  <si>
    <t>906O</t>
  </si>
  <si>
    <t>WB starts from rest area; within interchange</t>
  </si>
  <si>
    <t>030E</t>
  </si>
  <si>
    <t>030F</t>
  </si>
  <si>
    <t>Detour_Virt4x2</t>
  </si>
  <si>
    <t>EB only; within interchange</t>
  </si>
  <si>
    <t>Highway route designations</t>
  </si>
  <si>
    <t>Highway routes with 7 or more segments (compare to Utah 3 behind + 3 ahead)</t>
  </si>
  <si>
    <t>Highway routes with 3 or more segments (1 behind + 1 ahead)</t>
  </si>
  <si>
    <t>Highway routes with only one (existing) segment</t>
  </si>
  <si>
    <t>PriDetourRouteName</t>
  </si>
  <si>
    <t>SecDetourRouteName</t>
  </si>
  <si>
    <t>001A_NB_001</t>
  </si>
  <si>
    <t>001A_SB_003</t>
  </si>
  <si>
    <t>002A_NB_001</t>
  </si>
  <si>
    <t>002A_NB_017</t>
  </si>
  <si>
    <t>002A_NB_067</t>
  </si>
  <si>
    <t>002A_SB_002</t>
  </si>
  <si>
    <t>002A_SB_009</t>
  </si>
  <si>
    <t>002A_SB_060</t>
  </si>
  <si>
    <t>006O_EB_002</t>
  </si>
  <si>
    <t>006P_EB_001</t>
  </si>
  <si>
    <t>006P_WB_001</t>
  </si>
  <si>
    <t>006O_WB_001</t>
  </si>
  <si>
    <t>906J_EB_001</t>
  </si>
  <si>
    <t>906M_EB_001</t>
  </si>
  <si>
    <t>906M_WB_002</t>
  </si>
  <si>
    <t>906J_WB_001</t>
  </si>
  <si>
    <t>906A_EB_004</t>
  </si>
  <si>
    <t>906A_EB_005</t>
  </si>
  <si>
    <t>906B_EB_001</t>
  </si>
  <si>
    <t>906C_EB_001</t>
  </si>
  <si>
    <t>906C_EB_005</t>
  </si>
  <si>
    <t>906C_EB_013</t>
  </si>
  <si>
    <t>906C_EB_021</t>
  </si>
  <si>
    <t>906C_EB_027</t>
  </si>
  <si>
    <t>906C_EB_029</t>
  </si>
  <si>
    <t>906C_WB_006</t>
  </si>
  <si>
    <t>906C_WB_009</t>
  </si>
  <si>
    <t>906C_WB_013</t>
  </si>
  <si>
    <t>906C_WB_018</t>
  </si>
  <si>
    <t>906C_WB_023</t>
  </si>
  <si>
    <t>906C_WB_032</t>
  </si>
  <si>
    <t>906B_WB_001</t>
  </si>
  <si>
    <t>906A_WB_001</t>
  </si>
  <si>
    <t>906A_WB_003</t>
  </si>
  <si>
    <t>006H_EB_007</t>
  </si>
  <si>
    <t>006H_EB_011</t>
  </si>
  <si>
    <t>006H_EB_017</t>
  </si>
  <si>
    <t>006H_WB_002</t>
  </si>
  <si>
    <t>006H_WB_018</t>
  </si>
  <si>
    <t>006H_WB_020</t>
  </si>
  <si>
    <t>see 006Z</t>
  </si>
  <si>
    <t>906E_EB_001</t>
  </si>
  <si>
    <t>906F_EB_001</t>
  </si>
  <si>
    <t>906F_EB_009</t>
  </si>
  <si>
    <t>906F_WB_009</t>
  </si>
  <si>
    <t>906F_WB_045</t>
  </si>
  <si>
    <t>906EZ_WB_001</t>
  </si>
  <si>
    <t>[secondary couplet]</t>
  </si>
  <si>
    <t>906EZ_WB_003</t>
  </si>
  <si>
    <t>006L_EB_003</t>
  </si>
  <si>
    <t>006L_WB_001</t>
  </si>
  <si>
    <t>007F_EB_001</t>
  </si>
  <si>
    <t>007F_EB_012</t>
  </si>
  <si>
    <t>007G_EB_001</t>
  </si>
  <si>
    <t>007G_WB_001</t>
  </si>
  <si>
    <t>007F_WB_001</t>
  </si>
  <si>
    <t>007F_WB_002</t>
  </si>
  <si>
    <t>007B_EB_001</t>
  </si>
  <si>
    <t>007B_WB_001</t>
  </si>
  <si>
    <t>007C_EB_001</t>
  </si>
  <si>
    <t>007C_EB_007</t>
  </si>
  <si>
    <t>007C_WB_001</t>
  </si>
  <si>
    <t>007C_WB_023</t>
  </si>
  <si>
    <t>007D_EB_001</t>
  </si>
  <si>
    <t>007D_WB_003</t>
  </si>
  <si>
    <t>008B_EB_003</t>
  </si>
  <si>
    <t>008C_EB_001</t>
  </si>
  <si>
    <t>008C_EB_009</t>
  </si>
  <si>
    <t>008C_WB_001</t>
  </si>
  <si>
    <t>008C_WB_020</t>
  </si>
  <si>
    <t>008B_WB_001</t>
  </si>
  <si>
    <t>009A_NB_001</t>
  </si>
  <si>
    <t>009A_SB_001</t>
  </si>
  <si>
    <t>009B_NB_001</t>
  </si>
  <si>
    <t>009B_SB_001</t>
  </si>
  <si>
    <t>009C_NB_001</t>
  </si>
  <si>
    <t>009C_SB_002</t>
  </si>
  <si>
    <t>009D_NB_003</t>
  </si>
  <si>
    <t>009D_SB_001</t>
  </si>
  <si>
    <t>010A_EB_002</t>
  </si>
  <si>
    <t>010A_EB_012</t>
  </si>
  <si>
    <t>010A_EB_013</t>
  </si>
  <si>
    <t>010A_WB_001</t>
  </si>
  <si>
    <t>010A_WB_010</t>
  </si>
  <si>
    <t>010A_WB_011</t>
  </si>
  <si>
    <t>011A_NB_001</t>
  </si>
  <si>
    <t>011A_SB_002</t>
  </si>
  <si>
    <t>013A_NB_001</t>
  </si>
  <si>
    <t>013A_SB_001</t>
  </si>
  <si>
    <t>013B_NB_001</t>
  </si>
  <si>
    <t>013B_NB_003</t>
  </si>
  <si>
    <t>013B_SB_005</t>
  </si>
  <si>
    <t>013B_SB_020</t>
  </si>
  <si>
    <t>014A_EB_001</t>
  </si>
  <si>
    <t>014A_WB_001</t>
  </si>
  <si>
    <t>014B_EB_001</t>
  </si>
  <si>
    <t>014B_WB_001</t>
  </si>
  <si>
    <t>014D_EB_001</t>
  </si>
  <si>
    <t>014D_EB_022</t>
  </si>
  <si>
    <t>014D_EB_041</t>
  </si>
  <si>
    <t>014D_EB_048</t>
  </si>
  <si>
    <t>014E_EB_001</t>
  </si>
  <si>
    <t>014E_EB_003</t>
  </si>
  <si>
    <t>014E_EB_025</t>
  </si>
  <si>
    <t>014E_WB_001</t>
  </si>
  <si>
    <t>014E_WB_003</t>
  </si>
  <si>
    <t>014E_WB_025</t>
  </si>
  <si>
    <t>014D_WB_001</t>
  </si>
  <si>
    <t>014D_WB_007</t>
  </si>
  <si>
    <t>014D_WB_014</t>
  </si>
  <si>
    <t>014D_WB_039</t>
  </si>
  <si>
    <t>015A_NB_002</t>
  </si>
  <si>
    <t>015A_SB_001</t>
  </si>
  <si>
    <t>015B_EB_004</t>
  </si>
  <si>
    <t>015B_WB_001</t>
  </si>
  <si>
    <t>016A_EB_005</t>
  </si>
  <si>
    <t>016A_EB_010</t>
  </si>
  <si>
    <t>016A_WB_001</t>
  </si>
  <si>
    <t>016A_WB_011</t>
  </si>
  <si>
    <t>017A_EB_002</t>
  </si>
  <si>
    <t>017A_WB_001</t>
  </si>
  <si>
    <t>017B_NB_001</t>
  </si>
  <si>
    <t>017B_SB_001</t>
  </si>
  <si>
    <t>021A_NB_001</t>
  </si>
  <si>
    <t>021A_SB_001</t>
  </si>
  <si>
    <t>021B_NB_004</t>
  </si>
  <si>
    <t>021B_SB_001</t>
  </si>
  <si>
    <t>023A_NB_001</t>
  </si>
  <si>
    <t>023A_SB_007</t>
  </si>
  <si>
    <t>024J_EB_004</t>
  </si>
  <si>
    <t>024J_EB_017</t>
  </si>
  <si>
    <t>024K_EB_002</t>
  </si>
  <si>
    <t>024K_EB_010</t>
  </si>
  <si>
    <t>024K_EB_064</t>
  </si>
  <si>
    <t>024K_EB_076</t>
  </si>
  <si>
    <t>024K_WB_005</t>
  </si>
  <si>
    <t>024K_WB_015</t>
  </si>
  <si>
    <t>024K_WB_023</t>
  </si>
  <si>
    <t>024K_WB_081</t>
  </si>
  <si>
    <t>024J_WB_002</t>
  </si>
  <si>
    <t>024J_WB_039</t>
  </si>
  <si>
    <t>024D_EB_001</t>
  </si>
  <si>
    <t>024D_WB_005</t>
  </si>
  <si>
    <t>024F_EB_001</t>
  </si>
  <si>
    <t>024F_WB_002</t>
  </si>
  <si>
    <t>024L_EB_005</t>
  </si>
  <si>
    <t>024L_EB_013</t>
  </si>
  <si>
    <t>024L_EB_059</t>
  </si>
  <si>
    <t>024M_EB_001</t>
  </si>
  <si>
    <t>024L_EB_059; 024M_EB_001</t>
  </si>
  <si>
    <t>024M_WB_003</t>
  </si>
  <si>
    <t>024L_WB_001</t>
  </si>
  <si>
    <t>024M_WB_003; 024L_WB_001</t>
  </si>
  <si>
    <t>024L_WB_013</t>
  </si>
  <si>
    <t>024L_WB_059</t>
  </si>
  <si>
    <t>024H_EB_004</t>
  </si>
  <si>
    <t>024H_EB_028</t>
  </si>
  <si>
    <t>024H_WB_003</t>
  </si>
  <si>
    <t>024H_WB_010</t>
  </si>
  <si>
    <t>025F_NB_013</t>
  </si>
  <si>
    <t>025F_NB_039</t>
  </si>
  <si>
    <t>025F_NB_067</t>
  </si>
  <si>
    <t>025F_NB_070</t>
  </si>
  <si>
    <t>025A_NB_108</t>
  </si>
  <si>
    <t>025A_NB_150</t>
  </si>
  <si>
    <t>025A_NB_165</t>
  </si>
  <si>
    <t>025A_NB_175</t>
  </si>
  <si>
    <t>025A_NB_181</t>
  </si>
  <si>
    <t>025A_NB_223</t>
  </si>
  <si>
    <t>025A_NB_227</t>
  </si>
  <si>
    <t>025D_NB_003</t>
  </si>
  <si>
    <t>025D_NB_091</t>
  </si>
  <si>
    <t>025D_NB_108</t>
  </si>
  <si>
    <t>025D_NB_119</t>
  </si>
  <si>
    <t>025D_NB_121</t>
  </si>
  <si>
    <t>025D_NB_128</t>
  </si>
  <si>
    <t>025D_NB_139</t>
  </si>
  <si>
    <t>025D_NB_144</t>
  </si>
  <si>
    <t>025E_NB_003</t>
  </si>
  <si>
    <t>025E_NB_009</t>
  </si>
  <si>
    <t>025E_NB_027</t>
  </si>
  <si>
    <t>025E_NB_029</t>
  </si>
  <si>
    <t>025E_NB_033</t>
  </si>
  <si>
    <t>025E_NB_035</t>
  </si>
  <si>
    <t>025E_NB_037</t>
  </si>
  <si>
    <t>025E_NB_044</t>
  </si>
  <si>
    <t>025A_NB_443</t>
  </si>
  <si>
    <t>025A_NB_448</t>
  </si>
  <si>
    <t>025A_NB_452</t>
  </si>
  <si>
    <t>025A_NB_457</t>
  </si>
  <si>
    <t>025A_NB_468</t>
  </si>
  <si>
    <t>025A_NB_478</t>
  </si>
  <si>
    <t>025A_SB_005</t>
  </si>
  <si>
    <t>025A_SB_017</t>
  </si>
  <si>
    <t>025A_SB_029</t>
  </si>
  <si>
    <t>025A_SB_038</t>
  </si>
  <si>
    <t>025A_SB_045</t>
  </si>
  <si>
    <t>025A_SB_047</t>
  </si>
  <si>
    <t>025E_SB_002</t>
  </si>
  <si>
    <t>025E_SB_006</t>
  </si>
  <si>
    <t>025E_SB_014</t>
  </si>
  <si>
    <t>025E_SB_016</t>
  </si>
  <si>
    <t>025E_SB_018</t>
  </si>
  <si>
    <t>025E_SB_022</t>
  </si>
  <si>
    <t>025E_SB_024</t>
  </si>
  <si>
    <t>025E_SB_044</t>
  </si>
  <si>
    <t>025E_SB_046</t>
  </si>
  <si>
    <t>025D_SB_004</t>
  </si>
  <si>
    <t>025D_SB_013</t>
  </si>
  <si>
    <t>025D_SB_018</t>
  </si>
  <si>
    <t>025D_SB_022</t>
  </si>
  <si>
    <t>025D_SB_033</t>
  </si>
  <si>
    <t>025D_SB_037</t>
  </si>
  <si>
    <t>025D_SB_041</t>
  </si>
  <si>
    <t>025D_SB_052</t>
  </si>
  <si>
    <t>025D_SB_067</t>
  </si>
  <si>
    <t>025A_SB_248</t>
  </si>
  <si>
    <t>025A_SB_262</t>
  </si>
  <si>
    <t>025A_SB_264</t>
  </si>
  <si>
    <t>025A_SB_307</t>
  </si>
  <si>
    <t>025A_SB_313</t>
  </si>
  <si>
    <t>025A_SB_325</t>
  </si>
  <si>
    <t>025A_SB_339</t>
  </si>
  <si>
    <t>025F_SB_003</t>
  </si>
  <si>
    <t>025F_SB_006</t>
  </si>
  <si>
    <t>025F_SB_010</t>
  </si>
  <si>
    <t>025F_SB_039</t>
  </si>
  <si>
    <t>025G_NB_004</t>
  </si>
  <si>
    <t>025H_NB_001</t>
  </si>
  <si>
    <t>025I_NB_001</t>
  </si>
  <si>
    <t>025I_SB_003</t>
  </si>
  <si>
    <t>025H_SB_001</t>
  </si>
  <si>
    <t>025G_SB_001</t>
  </si>
  <si>
    <t>026B_EB_001</t>
  </si>
  <si>
    <t>026B_WB_002</t>
  </si>
  <si>
    <t>030B_EB_001</t>
  </si>
  <si>
    <t>030E_EB_003</t>
  </si>
  <si>
    <t>030E_WB_001</t>
  </si>
  <si>
    <t>030B_WB_001</t>
  </si>
  <si>
    <t>034G_EB_001</t>
  </si>
  <si>
    <t>034H_EB_001</t>
  </si>
  <si>
    <t>034I_EB_001</t>
  </si>
  <si>
    <t>034I_EB_004</t>
  </si>
  <si>
    <t>034I_EB_037</t>
  </si>
  <si>
    <t>034I_EB_038</t>
  </si>
  <si>
    <t>034J_EB_006</t>
  </si>
  <si>
    <t>034J_EB_019</t>
  </si>
  <si>
    <t>034J_EB_045</t>
  </si>
  <si>
    <t>034J_EB_059</t>
  </si>
  <si>
    <t>034J_WB_003</t>
  </si>
  <si>
    <t>034J_WB_007</t>
  </si>
  <si>
    <t>034J_WB_017</t>
  </si>
  <si>
    <t>034J_WB_027</t>
  </si>
  <si>
    <t>034J_WB_050</t>
  </si>
  <si>
    <t>034I_WB_006</t>
  </si>
  <si>
    <t>034I_WB_027</t>
  </si>
  <si>
    <t>034I_WB_028</t>
  </si>
  <si>
    <t>034I_WB_061</t>
  </si>
  <si>
    <t>034H_WB_001</t>
  </si>
  <si>
    <t>034G_WB_001</t>
  </si>
  <si>
    <t>034P_EB_001</t>
  </si>
  <si>
    <t>034P_EB_007</t>
  </si>
  <si>
    <t>034P_WB_007</t>
  </si>
  <si>
    <t>034P_WB_044</t>
  </si>
  <si>
    <t>034C_EB_001</t>
  </si>
  <si>
    <t>034C_WB_001</t>
  </si>
  <si>
    <t>034K_EB_002</t>
  </si>
  <si>
    <t>034K_EB_004</t>
  </si>
  <si>
    <t>034L_EB_001</t>
  </si>
  <si>
    <t>034L_EB_008</t>
  </si>
  <si>
    <t>034L_WB_001</t>
  </si>
  <si>
    <t>034L_WB_005</t>
  </si>
  <si>
    <t>034KZ_WB_001</t>
  </si>
  <si>
    <t>034KZ_WB_035</t>
  </si>
  <si>
    <t>see 034Z</t>
  </si>
  <si>
    <t>034E_EB_001</t>
  </si>
  <si>
    <t>034E_WB_004</t>
  </si>
  <si>
    <t>035A_NB_004</t>
  </si>
  <si>
    <t>035A_SB_007</t>
  </si>
  <si>
    <t>036A_EB_001</t>
  </si>
  <si>
    <t>036A_WB_001</t>
  </si>
  <si>
    <t>270DZ_WB_053</t>
  </si>
  <si>
    <t>see 036Z</t>
  </si>
  <si>
    <t>270D_EB_001</t>
  </si>
  <si>
    <t>270D_EB_020</t>
  </si>
  <si>
    <t>270D_EB_041</t>
  </si>
  <si>
    <t>270E_EB_002</t>
  </si>
  <si>
    <t>270E_WB_003</t>
  </si>
  <si>
    <t>270DZ_WB_004</t>
  </si>
  <si>
    <t>270DZ_WB_015</t>
  </si>
  <si>
    <t>270DZ_WB_022</t>
  </si>
  <si>
    <t>270DZ_WB_057</t>
  </si>
  <si>
    <t>036M_EB_001</t>
  </si>
  <si>
    <t>036M_WB_001</t>
  </si>
  <si>
    <t>036H_EB_001</t>
  </si>
  <si>
    <t>036I_EB_001</t>
  </si>
  <si>
    <t>036K_EB_001</t>
  </si>
  <si>
    <t>036K_EB_004</t>
  </si>
  <si>
    <t>036L_EB_001</t>
  </si>
  <si>
    <t>036L_WB_012</t>
  </si>
  <si>
    <t>036K_WB_001</t>
  </si>
  <si>
    <t>036K_WB_021</t>
  </si>
  <si>
    <t>036I_WB_001</t>
  </si>
  <si>
    <t>036H_WB_001</t>
  </si>
  <si>
    <t>036E_EB_001</t>
  </si>
  <si>
    <t>036E_WB_004</t>
  </si>
  <si>
    <t>039A_NB_005</t>
  </si>
  <si>
    <t>039A_SB_001</t>
  </si>
  <si>
    <t>see 040Z</t>
  </si>
  <si>
    <t>040I_EB_003</t>
  </si>
  <si>
    <t>040I_EB_004</t>
  </si>
  <si>
    <t>040I_EB_019</t>
  </si>
  <si>
    <t>040J_EB_001</t>
  </si>
  <si>
    <t>040J_EB_008</t>
  </si>
  <si>
    <t>040J_EB_029</t>
  </si>
  <si>
    <t>040K_EB_001</t>
  </si>
  <si>
    <t>040K_WB_001</t>
  </si>
  <si>
    <t>040J_WB_001</t>
  </si>
  <si>
    <t>040J_WB_002</t>
  </si>
  <si>
    <t>040J_WB_023</t>
  </si>
  <si>
    <t>040IZ_WB_001</t>
  </si>
  <si>
    <t>040IZ_WB_054</t>
  </si>
  <si>
    <t>040IZ_WB_069</t>
  </si>
  <si>
    <t>040L_EB_001</t>
  </si>
  <si>
    <t>040M_EB_001</t>
  </si>
  <si>
    <t>040O_EB_002</t>
  </si>
  <si>
    <t>040O_WB_001</t>
  </si>
  <si>
    <t>040M_WB_001</t>
  </si>
  <si>
    <t>040L_WB_001</t>
  </si>
  <si>
    <t>040S_EB_003</t>
  </si>
  <si>
    <t>Exit 263 Denver West Colorado Mills Pkwy</t>
  </si>
  <si>
    <t>040T_EB_006</t>
  </si>
  <si>
    <t>040T_EB_009</t>
  </si>
  <si>
    <t>040U_EB_001</t>
  </si>
  <si>
    <t>040V_EB_006</t>
  </si>
  <si>
    <t>040V_EB_013</t>
  </si>
  <si>
    <t>040X_EB_001</t>
  </si>
  <si>
    <t>040Y_EB_002</t>
  </si>
  <si>
    <t>040Y_WB_003</t>
  </si>
  <si>
    <t>040X_WB_002</t>
  </si>
  <si>
    <t>040V_WB_001</t>
  </si>
  <si>
    <t>040V_WB_053</t>
  </si>
  <si>
    <t>040U_WB_006</t>
  </si>
  <si>
    <t>040T_WB_001</t>
  </si>
  <si>
    <t>040T_WB_010</t>
  </si>
  <si>
    <t>040S_WB_006</t>
  </si>
  <si>
    <t>940A_EB_002</t>
  </si>
  <si>
    <t>940A_EB_030</t>
  </si>
  <si>
    <t>940B_EB_001</t>
  </si>
  <si>
    <t>940B_WB_009</t>
  </si>
  <si>
    <t>940A_WB_001</t>
  </si>
  <si>
    <t>940A_WB_002</t>
  </si>
  <si>
    <t>041A_NB_001</t>
  </si>
  <si>
    <t>041A_SB_003</t>
  </si>
  <si>
    <t>045B_NB_003</t>
  </si>
  <si>
    <t>045C_NB_001</t>
  </si>
  <si>
    <t>045C_SB_005</t>
  </si>
  <si>
    <t>045B_SB_001</t>
  </si>
  <si>
    <t>047A_EB_002</t>
  </si>
  <si>
    <t>047A_WB_003</t>
  </si>
  <si>
    <t>050E_EB_001</t>
  </si>
  <si>
    <t>050E_EB_002</t>
  </si>
  <si>
    <t>050E_EB_020</t>
  </si>
  <si>
    <t>050E_EB_040</t>
  </si>
  <si>
    <t>050E_EB_046</t>
  </si>
  <si>
    <t>050E_EB_060</t>
  </si>
  <si>
    <t>050E_EB_061</t>
  </si>
  <si>
    <t>050F_EB_001</t>
  </si>
  <si>
    <t>050F_EB_019</t>
  </si>
  <si>
    <t>050F_EB_042</t>
  </si>
  <si>
    <t>050F_EB_055</t>
  </si>
  <si>
    <t>050G_EB_003</t>
  </si>
  <si>
    <t>050G_EB_016</t>
  </si>
  <si>
    <t>050G_EB_023</t>
  </si>
  <si>
    <t>050G_EB_038</t>
  </si>
  <si>
    <t>050G_EB_052</t>
  </si>
  <si>
    <t>050G_EB_056</t>
  </si>
  <si>
    <t>050G_EB_071</t>
  </si>
  <si>
    <t>050G_WB_003</t>
  </si>
  <si>
    <t>050G_WB_014</t>
  </si>
  <si>
    <t>050G_WB_023</t>
  </si>
  <si>
    <t>050G_WB_029</t>
  </si>
  <si>
    <t>050G_WB_031</t>
  </si>
  <si>
    <t>050G_WB_060</t>
  </si>
  <si>
    <t>050G_WB_067</t>
  </si>
  <si>
    <t>050F_WB_002</t>
  </si>
  <si>
    <t>050F_WB_005</t>
  </si>
  <si>
    <t>050F_WB_018</t>
  </si>
  <si>
    <t>050F_WB_041</t>
  </si>
  <si>
    <t>050E_WB_001</t>
  </si>
  <si>
    <t>050E_WB_016</t>
  </si>
  <si>
    <t>050E_WB_017</t>
  </si>
  <si>
    <t>050E_WB_018</t>
  </si>
  <si>
    <t>050E_WB_038</t>
  </si>
  <si>
    <t>050E_WB_058</t>
  </si>
  <si>
    <t>050E_WB_075</t>
  </si>
  <si>
    <t>see 050Z</t>
  </si>
  <si>
    <t>050B_EB_003</t>
  </si>
  <si>
    <t>050B_EB_009</t>
  </si>
  <si>
    <t>050B_EB_016</t>
  </si>
  <si>
    <t>050B_EB_022</t>
  </si>
  <si>
    <t>050B_EB_026</t>
  </si>
  <si>
    <t>050B_EB_033</t>
  </si>
  <si>
    <t>050B_EB_042</t>
  </si>
  <si>
    <t>050B_EB_045</t>
  </si>
  <si>
    <t>050B_EB_053</t>
  </si>
  <si>
    <t>050B_EB_063</t>
  </si>
  <si>
    <t>050B_EB_065</t>
  </si>
  <si>
    <t>050B_EB_100</t>
  </si>
  <si>
    <t>050B_EB_106</t>
  </si>
  <si>
    <t>050BZ_WB_008</t>
  </si>
  <si>
    <t>050BZ_WB_049</t>
  </si>
  <si>
    <t>050BZ_WB_052</t>
  </si>
  <si>
    <t>050BZ_WB_061</t>
  </si>
  <si>
    <t>050BZ_WB_079</t>
  </si>
  <si>
    <t>Barnes Ave La Junta (local connection)</t>
  </si>
  <si>
    <t>050BZ_WB_086</t>
  </si>
  <si>
    <t>050BZ_WB_089</t>
  </si>
  <si>
    <t>050BZ_WB_108</t>
  </si>
  <si>
    <t>050BZ_WB_111</t>
  </si>
  <si>
    <t>050BZ_WB_120</t>
  </si>
  <si>
    <t>050BZ_WB_127</t>
  </si>
  <si>
    <t>050BZ_WB_131</t>
  </si>
  <si>
    <t>050BZ_WB_137</t>
  </si>
  <si>
    <t>050BZ_WB_146</t>
  </si>
  <si>
    <t>050H_EB_001</t>
  </si>
  <si>
    <t>050I_EB_003</t>
  </si>
  <si>
    <t>050J_EB_001</t>
  </si>
  <si>
    <t>050J_WB_001</t>
  </si>
  <si>
    <t>050I_WB_001</t>
  </si>
  <si>
    <t>050H_WB_001</t>
  </si>
  <si>
    <t>052C_EB_001</t>
  </si>
  <si>
    <t>052C_EB_022</t>
  </si>
  <si>
    <t>052C_EB_039</t>
  </si>
  <si>
    <t>052C_EB_046</t>
  </si>
  <si>
    <t>052D_EB_001</t>
  </si>
  <si>
    <t>052D_WB_001</t>
  </si>
  <si>
    <t>052C_WB_001</t>
  </si>
  <si>
    <t>052C_WB_009</t>
  </si>
  <si>
    <t>052C_WB_013</t>
  </si>
  <si>
    <t>052C_WB_035</t>
  </si>
  <si>
    <t>052B_NB_001</t>
  </si>
  <si>
    <t>052B_NB_007</t>
  </si>
  <si>
    <t>052B_NB_009</t>
  </si>
  <si>
    <t>052B_SB_001</t>
  </si>
  <si>
    <t>052B_SB_009</t>
  </si>
  <si>
    <t>052B_SB_010</t>
  </si>
  <si>
    <t>055A_SB_001</t>
  </si>
  <si>
    <t>055A_NB_003</t>
  </si>
  <si>
    <t>056B_EB_001</t>
  </si>
  <si>
    <t>056B_WB_003</t>
  </si>
  <si>
    <t>057A_NB_002</t>
  </si>
  <si>
    <t>057A_SB_001</t>
  </si>
  <si>
    <t>058A_EB_001</t>
  </si>
  <si>
    <t>058A_WB_005</t>
  </si>
  <si>
    <t>059A_NB_001</t>
  </si>
  <si>
    <t>059A_NB_009</t>
  </si>
  <si>
    <t>059A_NB_011</t>
  </si>
  <si>
    <t>059A_SB_001</t>
  </si>
  <si>
    <t>059A_SB_007</t>
  </si>
  <si>
    <t>059A_SB_011</t>
  </si>
  <si>
    <t>059B_NB_001</t>
  </si>
  <si>
    <t>059B_NB_035</t>
  </si>
  <si>
    <t>059B_SB_001</t>
  </si>
  <si>
    <t>059B_SB_003</t>
  </si>
  <si>
    <t>060A_EB_001</t>
  </si>
  <si>
    <t>060A_WB_001</t>
  </si>
  <si>
    <t>060B_EB_003</t>
  </si>
  <si>
    <t>060B_EB_014</t>
  </si>
  <si>
    <t>060B_WB_001</t>
  </si>
  <si>
    <t>062A_EB_001</t>
  </si>
  <si>
    <t>062A_WB_001</t>
  </si>
  <si>
    <t>063B_NB_001</t>
  </si>
  <si>
    <t>063C_NB_001</t>
  </si>
  <si>
    <t>063D_NB_002</t>
  </si>
  <si>
    <t>063D_SB_001</t>
  </si>
  <si>
    <t>063C_SB_002</t>
  </si>
  <si>
    <t>063B_SB_001</t>
  </si>
  <si>
    <t>064A_EB_001</t>
  </si>
  <si>
    <t>064A_WB_001</t>
  </si>
  <si>
    <t>065B_NB_001</t>
  </si>
  <si>
    <t>065C_NB_001</t>
  </si>
  <si>
    <t>065C_SB_002</t>
  </si>
  <si>
    <t>065B_SB_001</t>
  </si>
  <si>
    <t>066B_EB_001</t>
  </si>
  <si>
    <t>066B_EB_015</t>
  </si>
  <si>
    <t>066B_EB_025</t>
  </si>
  <si>
    <t>066B_EB_034</t>
  </si>
  <si>
    <t>066B_WB_001</t>
  </si>
  <si>
    <t>066B_WB_002</t>
  </si>
  <si>
    <t>066B_WB_012</t>
  </si>
  <si>
    <t>066B_WB_021</t>
  </si>
  <si>
    <t>067A_NB_001</t>
  </si>
  <si>
    <t>067A_SB_001</t>
  </si>
  <si>
    <t>067B_NB_001</t>
  </si>
  <si>
    <t>067B_SB_002</t>
  </si>
  <si>
    <t>069A_NB_001</t>
  </si>
  <si>
    <t>069A_SB_001</t>
  </si>
  <si>
    <t>070A_EB_004</t>
  </si>
  <si>
    <t>070A_EB_008</t>
  </si>
  <si>
    <t>070A_EB_010</t>
  </si>
  <si>
    <t>070A_EB_012</t>
  </si>
  <si>
    <t>070A_EB_017</t>
  </si>
  <si>
    <t>070A_EB_031</t>
  </si>
  <si>
    <t>070A_EB_034</t>
  </si>
  <si>
    <t>070A_EB_040</t>
  </si>
  <si>
    <t>070A_EB_044</t>
  </si>
  <si>
    <t>070A_EB_049</t>
  </si>
  <si>
    <t>070A_EB_053</t>
  </si>
  <si>
    <t>070A_EB_056</t>
  </si>
  <si>
    <t>070A_EB_064</t>
  </si>
  <si>
    <t>070A_EB_067</t>
  </si>
  <si>
    <t>070A_EB_080</t>
  </si>
  <si>
    <t>070A_EB_103</t>
  </si>
  <si>
    <t>070A_EB_107</t>
  </si>
  <si>
    <t>070A_EB_112</t>
  </si>
  <si>
    <t>070A_EB_116</t>
  </si>
  <si>
    <t>070A_EB_121</t>
  </si>
  <si>
    <t>070A_EB_126</t>
  </si>
  <si>
    <t>070A_EB_147</t>
  </si>
  <si>
    <t>070A_EB_160</t>
  </si>
  <si>
    <t>070A_EB_165</t>
  </si>
  <si>
    <t>070A_EB_192</t>
  </si>
  <si>
    <t>070A_EB_194</t>
  </si>
  <si>
    <t>070A_EB_196</t>
  </si>
  <si>
    <t>070A_EB_200</t>
  </si>
  <si>
    <t>070A_EB_202</t>
  </si>
  <si>
    <t>070A_EB_204</t>
  </si>
  <si>
    <t>070A_EB_207</t>
  </si>
  <si>
    <t>070A_EB_210</t>
  </si>
  <si>
    <t>070A_EB_212</t>
  </si>
  <si>
    <t>070A_EB_225</t>
  </si>
  <si>
    <t>070A_EB_253</t>
  </si>
  <si>
    <t>070A_EB_259</t>
  </si>
  <si>
    <t>070A_EB_272</t>
  </si>
  <si>
    <t>070A_EB_276</t>
  </si>
  <si>
    <t>070A_EB_278</t>
  </si>
  <si>
    <t>070A_EB_284</t>
  </si>
  <si>
    <t>070A_EB_286</t>
  </si>
  <si>
    <t>070A_EB_288</t>
  </si>
  <si>
    <t>070A_EB_292</t>
  </si>
  <si>
    <t>070A_EB_304</t>
  </si>
  <si>
    <t>070A_EB_311</t>
  </si>
  <si>
    <t>070A_EB_317</t>
  </si>
  <si>
    <t>070A_EB_321</t>
  </si>
  <si>
    <t>070A_EB_336</t>
  </si>
  <si>
    <t>070A_EB_339</t>
  </si>
  <si>
    <t>Exit 429 Bethune Kit Carson CR 40</t>
  </si>
  <si>
    <t>070A_EB_341</t>
  </si>
  <si>
    <t>070A_EB_344</t>
  </si>
  <si>
    <t>070A_EB_347</t>
  </si>
  <si>
    <t>070A_EB_353</t>
  </si>
  <si>
    <t>070A_WB_009</t>
  </si>
  <si>
    <t>070A_WB_013</t>
  </si>
  <si>
    <t>070A_WB_019</t>
  </si>
  <si>
    <t>070A_WB_022</t>
  </si>
  <si>
    <t>070A_WB_024</t>
  </si>
  <si>
    <t>070A_WB_027</t>
  </si>
  <si>
    <t>070A_WB_030</t>
  </si>
  <si>
    <t>070A_WB_047</t>
  </si>
  <si>
    <t>070A_WB_049</t>
  </si>
  <si>
    <t>070A_WB_054</t>
  </si>
  <si>
    <t>070A_WB_061</t>
  </si>
  <si>
    <t>070A_WB_070</t>
  </si>
  <si>
    <t>070A_WB_074</t>
  </si>
  <si>
    <t>070A_WB_076</t>
  </si>
  <si>
    <t>070A_WB_077</t>
  </si>
  <si>
    <t>070A_WB_079</t>
  </si>
  <si>
    <t>070A_WB_085</t>
  </si>
  <si>
    <t>070A_WB_093</t>
  </si>
  <si>
    <t>070A_WB_106</t>
  </si>
  <si>
    <t>070A_WB_111</t>
  </si>
  <si>
    <t>070A_WB_137</t>
  </si>
  <si>
    <t>070A_WB_141</t>
  </si>
  <si>
    <t>070A_WB_152</t>
  </si>
  <si>
    <t>070A_WB_154</t>
  </si>
  <si>
    <t>070A_WB_158</t>
  </si>
  <si>
    <t>070A_WB_160</t>
  </si>
  <si>
    <t>070A_WB_162</t>
  </si>
  <si>
    <t>070A_WB_164</t>
  </si>
  <si>
    <t>070A_WB_168</t>
  </si>
  <si>
    <t>070A_WB_170</t>
  </si>
  <si>
    <t>070A_WB_172</t>
  </si>
  <si>
    <t>070A_WB_198</t>
  </si>
  <si>
    <t>070A_WB_209</t>
  </si>
  <si>
    <t>070A_WB_220</t>
  </si>
  <si>
    <t>070A_WB_244</t>
  </si>
  <si>
    <t>070A_WB_245</t>
  </si>
  <si>
    <t>070A_WB_254</t>
  </si>
  <si>
    <t>070A_WB_257</t>
  </si>
  <si>
    <t>070A_WB_261</t>
  </si>
  <si>
    <t>070A_WB_266</t>
  </si>
  <si>
    <t>070A_WB_288</t>
  </si>
  <si>
    <t>070A_WB_300</t>
  </si>
  <si>
    <t>070A_WB_302</t>
  </si>
  <si>
    <t>070A_WB_306</t>
  </si>
  <si>
    <t>070A_WB_313</t>
  </si>
  <si>
    <t>070A_WB_316</t>
  </si>
  <si>
    <t>070A_WB_320</t>
  </si>
  <si>
    <t>070A_WB_324</t>
  </si>
  <si>
    <t>070A_WB_333</t>
  </si>
  <si>
    <t>070A_WB_337</t>
  </si>
  <si>
    <t>070A_WB_351</t>
  </si>
  <si>
    <t>070A_WB_356</t>
  </si>
  <si>
    <t>070A_WB_358</t>
  </si>
  <si>
    <t>070A_WB_360</t>
  </si>
  <si>
    <t>070S_EB_003</t>
  </si>
  <si>
    <t>070S_EB_023</t>
  </si>
  <si>
    <t>see 070Z</t>
  </si>
  <si>
    <t>070T_EB_001</t>
  </si>
  <si>
    <t>070T_EB_016</t>
  </si>
  <si>
    <t>070T_EB_024</t>
  </si>
  <si>
    <t>070TY_WB_004</t>
  </si>
  <si>
    <t>070TY_WB_006</t>
  </si>
  <si>
    <t>070SX_WB_001</t>
  </si>
  <si>
    <t>070SX_WB_013</t>
  </si>
  <si>
    <t>070E_NB_003</t>
  </si>
  <si>
    <t>070E_SB_001</t>
  </si>
  <si>
    <t>070F_NB_001</t>
  </si>
  <si>
    <t>070F_SB_002</t>
  </si>
  <si>
    <t>070G_NB_001</t>
  </si>
  <si>
    <t>070G_SB_004</t>
  </si>
  <si>
    <t>070L_NB_002</t>
  </si>
  <si>
    <t>070L_SB_001</t>
  </si>
  <si>
    <t>070M_NB_002</t>
  </si>
  <si>
    <t>070M_SB_001</t>
  </si>
  <si>
    <t>070P_NB_002</t>
  </si>
  <si>
    <t>070P_SB_001</t>
  </si>
  <si>
    <t>070Q_EB_001</t>
  </si>
  <si>
    <t>070Q_WB_003</t>
  </si>
  <si>
    <t>071A_NB_001</t>
  </si>
  <si>
    <t>071A_SB_001</t>
  </si>
  <si>
    <t>071B_NB_001</t>
  </si>
  <si>
    <t>071B_SB_001</t>
  </si>
  <si>
    <t>071C_NB_001</t>
  </si>
  <si>
    <t>071C_NB_005</t>
  </si>
  <si>
    <t>071C_NB_017</t>
  </si>
  <si>
    <t>071C_SB_001</t>
  </si>
  <si>
    <t>071C_SB_010</t>
  </si>
  <si>
    <t>071C_SB_022</t>
  </si>
  <si>
    <t>071D_NB_001</t>
  </si>
  <si>
    <t>071D_NB_009</t>
  </si>
  <si>
    <t>071D_SB_001</t>
  </si>
  <si>
    <t>071D_SB_013</t>
  </si>
  <si>
    <t>071E_NB_001</t>
  </si>
  <si>
    <t>071E_NB_010</t>
  </si>
  <si>
    <t>071E_SB_001</t>
  </si>
  <si>
    <t>071E_SB_017</t>
  </si>
  <si>
    <t>071F_NB_001</t>
  </si>
  <si>
    <t>071F_SB_002</t>
  </si>
  <si>
    <t>072A_WB_002</t>
  </si>
  <si>
    <t>072A_WB_029</t>
  </si>
  <si>
    <t>072B_WB_001</t>
  </si>
  <si>
    <t>072B_EB_001</t>
  </si>
  <si>
    <t>072A_EB_001</t>
  </si>
  <si>
    <t>072A_EB_009</t>
  </si>
  <si>
    <t>076A_EB_002</t>
  </si>
  <si>
    <t>076A_EB_004</t>
  </si>
  <si>
    <t>076A_EB_006</t>
  </si>
  <si>
    <t>076A_EB_010</t>
  </si>
  <si>
    <t>076A_EB_012</t>
  </si>
  <si>
    <t>076A_EB_013</t>
  </si>
  <si>
    <t>076A_EB_014</t>
  </si>
  <si>
    <t>076A_EB_019</t>
  </si>
  <si>
    <t>076A_EB_023</t>
  </si>
  <si>
    <t>076A_EB_033</t>
  </si>
  <si>
    <t>076A_EB_043</t>
  </si>
  <si>
    <t>076A_EB_047</t>
  </si>
  <si>
    <t>076A_EB_058</t>
  </si>
  <si>
    <t>076A_EB_062</t>
  </si>
  <si>
    <t>076A_EB_064</t>
  </si>
  <si>
    <t>076A_EB_078</t>
  </si>
  <si>
    <t>076A_EB_084</t>
  </si>
  <si>
    <t>076A_EB_093</t>
  </si>
  <si>
    <t>076A_EB_098</t>
  </si>
  <si>
    <t>076A_EB_106</t>
  </si>
  <si>
    <t>076A_EB_112</t>
  </si>
  <si>
    <t>076A_EB_118</t>
  </si>
  <si>
    <t>076A_WB_002</t>
  </si>
  <si>
    <t>076A_WB_004</t>
  </si>
  <si>
    <t>076A_WB_010</t>
  </si>
  <si>
    <t>076A_WB_016</t>
  </si>
  <si>
    <t>076A_WB_025</t>
  </si>
  <si>
    <t>076A_WB_028</t>
  </si>
  <si>
    <t>076A_WB_041</t>
  </si>
  <si>
    <t>076A_WB_045</t>
  </si>
  <si>
    <t>076A_WB_056</t>
  </si>
  <si>
    <t>076A_WB_059</t>
  </si>
  <si>
    <t>076A_WB_065</t>
  </si>
  <si>
    <t>076A_WB_074</t>
  </si>
  <si>
    <t>076A_WB_076</t>
  </si>
  <si>
    <t>076A_WB_085</t>
  </si>
  <si>
    <t>076A_WB_094</t>
  </si>
  <si>
    <t>076A_WB_099</t>
  </si>
  <si>
    <t>076A_WB_104</t>
  </si>
  <si>
    <t>076A_WB_105</t>
  </si>
  <si>
    <t>076A_WB_108</t>
  </si>
  <si>
    <t>076A_WB_110</t>
  </si>
  <si>
    <t>076A_WB_114</t>
  </si>
  <si>
    <t>078C_EB_001</t>
  </si>
  <si>
    <t>078D_EB_001</t>
  </si>
  <si>
    <t>078D_WB_002</t>
  </si>
  <si>
    <t>078C_WB_001</t>
  </si>
  <si>
    <t>079A_NB_003</t>
  </si>
  <si>
    <t>079A_SB_001</t>
  </si>
  <si>
    <t>079B_NB_001</t>
  </si>
  <si>
    <t>079B_SB_001</t>
  </si>
  <si>
    <t>082B_EB_002</t>
  </si>
  <si>
    <t>082C_EB_001</t>
  </si>
  <si>
    <t>082C_WB_001</t>
  </si>
  <si>
    <t>082B_WB_001</t>
  </si>
  <si>
    <t>083B_NB_003</t>
  </si>
  <si>
    <t>083B_NB_035</t>
  </si>
  <si>
    <t>083B_NB_063</t>
  </si>
  <si>
    <t>083C_NB_005</t>
  </si>
  <si>
    <t>083C_SB_001</t>
  </si>
  <si>
    <t>083B_SB_005</t>
  </si>
  <si>
    <t>083B_SB_036</t>
  </si>
  <si>
    <t>083B_SB_057</t>
  </si>
  <si>
    <t>084A_NB_002</t>
  </si>
  <si>
    <t>084A_SB_002</t>
  </si>
  <si>
    <t>085O_NB_003</t>
  </si>
  <si>
    <t>085M_NB_002</t>
  </si>
  <si>
    <t>085N_NB_006</t>
  </si>
  <si>
    <t>085N_NB_018</t>
  </si>
  <si>
    <t>085N_NB_028</t>
  </si>
  <si>
    <t>085N_SB_005</t>
  </si>
  <si>
    <t>085N_SB_025</t>
  </si>
  <si>
    <t>085N_SB_031</t>
  </si>
  <si>
    <t>085M_SB_006</t>
  </si>
  <si>
    <t>085O_SB_002</t>
  </si>
  <si>
    <t>085C_NB_002</t>
  </si>
  <si>
    <t>085C_NB_007</t>
  </si>
  <si>
    <t>085C_NB_022</t>
  </si>
  <si>
    <t>085C_NB_029</t>
  </si>
  <si>
    <t>085C_NB_030</t>
  </si>
  <si>
    <t>085C_SB_001</t>
  </si>
  <si>
    <t>085C_SB_017</t>
  </si>
  <si>
    <t>085C_SB_020</t>
  </si>
  <si>
    <t>085C_SB_021</t>
  </si>
  <si>
    <t>085C_SB_026</t>
  </si>
  <si>
    <t>085C_SB_029</t>
  </si>
  <si>
    <t>085C_SB_043</t>
  </si>
  <si>
    <t>085E_NB_001</t>
  </si>
  <si>
    <t>085E_SB_001</t>
  </si>
  <si>
    <t>085G_NB_005</t>
  </si>
  <si>
    <t>085G_SB_001</t>
  </si>
  <si>
    <t>085H_NB_001</t>
  </si>
  <si>
    <t>085H_SB_001</t>
  </si>
  <si>
    <t>085L_NB_003</t>
  </si>
  <si>
    <t>085L_NB_006</t>
  </si>
  <si>
    <t>085L_NB_014</t>
  </si>
  <si>
    <t>085L_SB_005</t>
  </si>
  <si>
    <t>085L_SB_031</t>
  </si>
  <si>
    <t>085L_SB_040</t>
  </si>
  <si>
    <t>086A_EB_001</t>
  </si>
  <si>
    <t>086A_WB_002</t>
  </si>
  <si>
    <t>086B_EB_004</t>
  </si>
  <si>
    <t>086B_WB_001</t>
  </si>
  <si>
    <t>088C_EB_003</t>
  </si>
  <si>
    <t>088C_EB_011</t>
  </si>
  <si>
    <t>088F_EB_001</t>
  </si>
  <si>
    <t>088E_EB_003</t>
  </si>
  <si>
    <t>088E_WB_002</t>
  </si>
  <si>
    <t>088F_WB_004</t>
  </si>
  <si>
    <t>088C_WB_001</t>
  </si>
  <si>
    <t>088C_WB_009</t>
  </si>
  <si>
    <t>088B_EB_004</t>
  </si>
  <si>
    <t>088B_WB_002</t>
  </si>
  <si>
    <t>089A_NB_001</t>
  </si>
  <si>
    <t>089A_SB_001</t>
  </si>
  <si>
    <t>090A_EB_002</t>
  </si>
  <si>
    <t>090A_WB_001</t>
  </si>
  <si>
    <t>091A_NB_001</t>
  </si>
  <si>
    <t>091A_SB_003</t>
  </si>
  <si>
    <t>092B_EB_001</t>
  </si>
  <si>
    <t>092B_EB_009</t>
  </si>
  <si>
    <t>092C_EB_001</t>
  </si>
  <si>
    <t>092C_WB_001</t>
  </si>
  <si>
    <t>092B_WB_001</t>
  </si>
  <si>
    <t>092B_WB_014</t>
  </si>
  <si>
    <t>093A_NB_001</t>
  </si>
  <si>
    <t>093A_NB_013</t>
  </si>
  <si>
    <t>093A_NB_031</t>
  </si>
  <si>
    <t>093A_SB_001</t>
  </si>
  <si>
    <t>093A_SB_011</t>
  </si>
  <si>
    <t>093A_SB_025</t>
  </si>
  <si>
    <t>093A_SB_029</t>
  </si>
  <si>
    <t>094A_EB_001</t>
  </si>
  <si>
    <t>094A_WB_001</t>
  </si>
  <si>
    <t>095A_NB_004</t>
  </si>
  <si>
    <t>095A_SB_003</t>
  </si>
  <si>
    <t>096A_EB_001</t>
  </si>
  <si>
    <t>096A_EB_015</t>
  </si>
  <si>
    <t>096A_EB_029</t>
  </si>
  <si>
    <t>096A_WB_002</t>
  </si>
  <si>
    <t>096A_WB_043</t>
  </si>
  <si>
    <t>096A_WB_057</t>
  </si>
  <si>
    <t>096B_EB_001</t>
  </si>
  <si>
    <t>096B_EB_007</t>
  </si>
  <si>
    <t>096B_EB_012</t>
  </si>
  <si>
    <t>096B_WB_001</t>
  </si>
  <si>
    <t>096B_WB_008</t>
  </si>
  <si>
    <t>096B_WB_013</t>
  </si>
  <si>
    <t>096C_EB_001</t>
  </si>
  <si>
    <t>096C_WB_001</t>
  </si>
  <si>
    <t>096D_EB_001</t>
  </si>
  <si>
    <t>096D_EB_008</t>
  </si>
  <si>
    <t>096D_WB_006</t>
  </si>
  <si>
    <t>096D_WB_009</t>
  </si>
  <si>
    <t>109A_NB_001</t>
  </si>
  <si>
    <t>109A_NB_019</t>
  </si>
  <si>
    <t>109A_SB_004</t>
  </si>
  <si>
    <t>109A_SB_012</t>
  </si>
  <si>
    <t>109B_NB_001</t>
  </si>
  <si>
    <t>109B_SB_001</t>
  </si>
  <si>
    <t>112A_EB_001</t>
  </si>
  <si>
    <t>112A_EB_010</t>
  </si>
  <si>
    <t>112A_WB_001</t>
  </si>
  <si>
    <t>112A_WB_013</t>
  </si>
  <si>
    <t>113A_NB_001</t>
  </si>
  <si>
    <t>113A_SB_003</t>
  </si>
  <si>
    <t>115D_NB_001</t>
  </si>
  <si>
    <t>115C_NB_001</t>
  </si>
  <si>
    <t>115C_NB_009</t>
  </si>
  <si>
    <t>115C_SB_002</t>
  </si>
  <si>
    <t>115C_SB_051</t>
  </si>
  <si>
    <t>115D_SB_001</t>
  </si>
  <si>
    <t>116A_EB_001</t>
  </si>
  <si>
    <t>116A_WB_003</t>
  </si>
  <si>
    <t>119D_NB_001</t>
  </si>
  <si>
    <t>119E_NB_001</t>
  </si>
  <si>
    <t>119F_NB_001</t>
  </si>
  <si>
    <t>119F_SB_001</t>
  </si>
  <si>
    <t>119E_SB_001</t>
  </si>
  <si>
    <t>119D_SB_001</t>
  </si>
  <si>
    <t>119B_EB_001</t>
  </si>
  <si>
    <t>119B_EB_009</t>
  </si>
  <si>
    <t>119B_EB_014</t>
  </si>
  <si>
    <t>119B_EB_033</t>
  </si>
  <si>
    <t>119B_WB_001</t>
  </si>
  <si>
    <t>119B_WB_008</t>
  </si>
  <si>
    <t>119B_WB_027</t>
  </si>
  <si>
    <t>119B_WB_036</t>
  </si>
  <si>
    <t>119C_EB_001</t>
  </si>
  <si>
    <t>119C_WB_002</t>
  </si>
  <si>
    <t>121C_NB_003</t>
  </si>
  <si>
    <t>121C_NB_025</t>
  </si>
  <si>
    <t>121D_NB_001</t>
  </si>
  <si>
    <t>121D_NB_020</t>
  </si>
  <si>
    <t>121D_NB_048</t>
  </si>
  <si>
    <t>121D_NB_090</t>
  </si>
  <si>
    <t>121D_SB_003</t>
  </si>
  <si>
    <t>121D_SB_008</t>
  </si>
  <si>
    <t>121D_SB_051</t>
  </si>
  <si>
    <t>121D_SB_077</t>
  </si>
  <si>
    <t>121C_SB_001</t>
  </si>
  <si>
    <t>121C_SB_011</t>
  </si>
  <si>
    <t>125A_NB_001</t>
  </si>
  <si>
    <t>125A_NB_011</t>
  </si>
  <si>
    <t>125A_NB_020</t>
  </si>
  <si>
    <t>125A_SB_005</t>
  </si>
  <si>
    <t>125A_SB_006</t>
  </si>
  <si>
    <t>125A_SB_015</t>
  </si>
  <si>
    <t>127A_NB_001</t>
  </si>
  <si>
    <t>127A_SB_006</t>
  </si>
  <si>
    <t>128A_EB_001</t>
  </si>
  <si>
    <t>128A_WB_004</t>
  </si>
  <si>
    <t>128B_EB_001</t>
  </si>
  <si>
    <t>128B_WB_004</t>
  </si>
  <si>
    <t>131A_NB_004</t>
  </si>
  <si>
    <t>131A_SB_001</t>
  </si>
  <si>
    <t>131B_NB_001</t>
  </si>
  <si>
    <t>131B_NB_009</t>
  </si>
  <si>
    <t>131B_SB_001</t>
  </si>
  <si>
    <t>133A_NB_001</t>
  </si>
  <si>
    <t>133A_NB_013</t>
  </si>
  <si>
    <t>133A_SB_001</t>
  </si>
  <si>
    <t>133A_SB_023</t>
  </si>
  <si>
    <t>134A_EB_001</t>
  </si>
  <si>
    <t>134A_WB_001</t>
  </si>
  <si>
    <t>see 138Z</t>
  </si>
  <si>
    <t>138B_EB_001</t>
  </si>
  <si>
    <t>138C_EB_001</t>
  </si>
  <si>
    <t>138E_EB_001</t>
  </si>
  <si>
    <t>138F_EB_001</t>
  </si>
  <si>
    <t>138F_EB_002</t>
  </si>
  <si>
    <t>138F_EB_009</t>
  </si>
  <si>
    <t>138F_WB_002</t>
  </si>
  <si>
    <t>138F_WB_011</t>
  </si>
  <si>
    <t>138E_WB_001</t>
  </si>
  <si>
    <t>138C_WB_001</t>
  </si>
  <si>
    <t>138BZ_WB_001</t>
  </si>
  <si>
    <t>139A_NB_002</t>
  </si>
  <si>
    <t>139A_NB_004</t>
  </si>
  <si>
    <t>139A_SB_001</t>
  </si>
  <si>
    <t>139A_SB_014</t>
  </si>
  <si>
    <t>140A_NB_004</t>
  </si>
  <si>
    <t>140A_SB_001</t>
  </si>
  <si>
    <t>141C_NB_001</t>
  </si>
  <si>
    <t>141D_NB_001</t>
  </si>
  <si>
    <t>141D_SB_001</t>
  </si>
  <si>
    <t>141C_SB_001</t>
  </si>
  <si>
    <t>141B_NB_001</t>
  </si>
  <si>
    <t>141B_SB_001</t>
  </si>
  <si>
    <t>142A_EB_001</t>
  </si>
  <si>
    <t>142A_WB_001</t>
  </si>
  <si>
    <t>144B_EB_001</t>
  </si>
  <si>
    <t>144B_WB_001</t>
  </si>
  <si>
    <t>145B_NB_001</t>
  </si>
  <si>
    <t>145B_NB_011</t>
  </si>
  <si>
    <t>145B_NB_013</t>
  </si>
  <si>
    <t>145C_NB_001</t>
  </si>
  <si>
    <t>145C_SB_001</t>
  </si>
  <si>
    <t>145B_SB_001</t>
  </si>
  <si>
    <t>145B_SB_021</t>
  </si>
  <si>
    <t>145B_SB_023</t>
  </si>
  <si>
    <t>149A_NB_001</t>
  </si>
  <si>
    <t>149A_SB_001</t>
  </si>
  <si>
    <t>151A_NB_001</t>
  </si>
  <si>
    <t>151A_SB_001</t>
  </si>
  <si>
    <t>157A_NB_003</t>
  </si>
  <si>
    <t>157A_NB_007</t>
  </si>
  <si>
    <t>157A_SB_004</t>
  </si>
  <si>
    <t>157A_SB_009</t>
  </si>
  <si>
    <t>159A_NB_003</t>
  </si>
  <si>
    <t>159A_SB_001</t>
  </si>
  <si>
    <t>160A_EB_004</t>
  </si>
  <si>
    <t>160A_EB_021</t>
  </si>
  <si>
    <t>160A_EB_047</t>
  </si>
  <si>
    <t>160A_EB_051</t>
  </si>
  <si>
    <t>160A_EB_075</t>
  </si>
  <si>
    <t>160A_EB_187</t>
  </si>
  <si>
    <t>160A_EB_211</t>
  </si>
  <si>
    <t>160AZ_WB_001</t>
  </si>
  <si>
    <t>see 160Z</t>
  </si>
  <si>
    <t>160AZ_WB_018</t>
  </si>
  <si>
    <t>160AZ_WB_041</t>
  </si>
  <si>
    <t>160AZ_WB_146</t>
  </si>
  <si>
    <t>160AZ_WB_177</t>
  </si>
  <si>
    <t>160AZ_WB_179</t>
  </si>
  <si>
    <t>160AZ_WB_205</t>
  </si>
  <si>
    <t>160B_EB_001</t>
  </si>
  <si>
    <t>160B_WB_003</t>
  </si>
  <si>
    <t>160C_EB_004</t>
  </si>
  <si>
    <t>160C_EB_009</t>
  </si>
  <si>
    <t>160C_WB_011</t>
  </si>
  <si>
    <t>160C_WB_043</t>
  </si>
  <si>
    <t>165A_EB_001</t>
  </si>
  <si>
    <t>165A_WB_003</t>
  </si>
  <si>
    <t>167A_SB_001</t>
  </si>
  <si>
    <t>167A_NB_007</t>
  </si>
  <si>
    <t>170A_EB_003</t>
  </si>
  <si>
    <t>170A_WB_004</t>
  </si>
  <si>
    <t>172B_NB_003</t>
  </si>
  <si>
    <t>172C_NB_001</t>
  </si>
  <si>
    <t>172C_SB_001</t>
  </si>
  <si>
    <t>172B_SB_001</t>
  </si>
  <si>
    <t>177A_NB_004</t>
  </si>
  <si>
    <t>177A_SB_001</t>
  </si>
  <si>
    <t>184A_EB_001</t>
  </si>
  <si>
    <t>184A_WB_001</t>
  </si>
  <si>
    <t>184D_EB_001</t>
  </si>
  <si>
    <t>184D_WB_001</t>
  </si>
  <si>
    <t>202A_WB_001</t>
  </si>
  <si>
    <t>202A_EB_004</t>
  </si>
  <si>
    <t>207A_NB_001</t>
  </si>
  <si>
    <t>207A_SB_001</t>
  </si>
  <si>
    <t>209A_NB_001</t>
  </si>
  <si>
    <t>209A_SB_001</t>
  </si>
  <si>
    <t>224B_EB_003</t>
  </si>
  <si>
    <t>224C_EB_001</t>
  </si>
  <si>
    <t>224C_EB_013</t>
  </si>
  <si>
    <t>224C_WB_001</t>
  </si>
  <si>
    <t>224C_WB_010</t>
  </si>
  <si>
    <t>224B_WB_001</t>
  </si>
  <si>
    <t>225A_NB_006</t>
  </si>
  <si>
    <t>225A_NB_008</t>
  </si>
  <si>
    <t>225A_NB_017</t>
  </si>
  <si>
    <t>225A_SB_002</t>
  </si>
  <si>
    <t>225A_SB_005</t>
  </si>
  <si>
    <t>225A_SB_007</t>
  </si>
  <si>
    <t>225A_SB_017</t>
  </si>
  <si>
    <t>231A_NB_001</t>
  </si>
  <si>
    <t>231A_SB_001</t>
  </si>
  <si>
    <t>257A_NB_001</t>
  </si>
  <si>
    <t>257A_SB_001</t>
  </si>
  <si>
    <t>266A_WB_001</t>
  </si>
  <si>
    <t>266A_EB_001</t>
  </si>
  <si>
    <t>266A_EB_002</t>
  </si>
  <si>
    <t>266A_WB_010</t>
  </si>
  <si>
    <t>270E_EB_003</t>
  </si>
  <si>
    <t>270E_EB_009</t>
  </si>
  <si>
    <t>270F_EB_009</t>
  </si>
  <si>
    <t>270F_EB_017</t>
  </si>
  <si>
    <t>270F_EB_018</t>
  </si>
  <si>
    <t>270F_WB_002</t>
  </si>
  <si>
    <t>270F_WB_004</t>
  </si>
  <si>
    <t>270F_WB_008</t>
  </si>
  <si>
    <t>270F_WB_015</t>
  </si>
  <si>
    <t>285A_NB_004</t>
  </si>
  <si>
    <t>285A_NB_013</t>
  </si>
  <si>
    <t>285A_NB_018</t>
  </si>
  <si>
    <t>285A_NB_022</t>
  </si>
  <si>
    <t>285A_NB_026</t>
  </si>
  <si>
    <t>285A_NB_035</t>
  </si>
  <si>
    <t>285A_SB_001</t>
  </si>
  <si>
    <t>285A_SB_002</t>
  </si>
  <si>
    <t>285A_SB_011</t>
  </si>
  <si>
    <t>285A_SB_015</t>
  </si>
  <si>
    <t>285A_SB_019</t>
  </si>
  <si>
    <t>285A_SB_024</t>
  </si>
  <si>
    <t>285B_NB_001</t>
  </si>
  <si>
    <t>285B_NB_013</t>
  </si>
  <si>
    <t>285B_NB_021</t>
  </si>
  <si>
    <t>285B_SB_002</t>
  </si>
  <si>
    <t>285B_SB_009</t>
  </si>
  <si>
    <t>285B_SB_017</t>
  </si>
  <si>
    <t>285C_NB_001</t>
  </si>
  <si>
    <t>285C_NB_007</t>
  </si>
  <si>
    <t>285C_SB_002</t>
  </si>
  <si>
    <t>285C_SB_006</t>
  </si>
  <si>
    <t>285D_NB_002</t>
  </si>
  <si>
    <t>285D_NB_006</t>
  </si>
  <si>
    <t>285D_NB_008</t>
  </si>
  <si>
    <t>285D_NB_066</t>
  </si>
  <si>
    <t>285D_NB_070</t>
  </si>
  <si>
    <t>285D_NB_074</t>
  </si>
  <si>
    <t>285D_NB_076</t>
  </si>
  <si>
    <t>285D_NB_083</t>
  </si>
  <si>
    <t>285D_NB_086</t>
  </si>
  <si>
    <t>285D_SB_004</t>
  </si>
  <si>
    <t>285D_SB_008</t>
  </si>
  <si>
    <t>285D_SB_027</t>
  </si>
  <si>
    <t>285D_SB_029</t>
  </si>
  <si>
    <t>285D_SB_036</t>
  </si>
  <si>
    <t>285D_SB_038</t>
  </si>
  <si>
    <t>285D_SB_044</t>
  </si>
  <si>
    <t>285D_SB_046</t>
  </si>
  <si>
    <t>287A_NB_002</t>
  </si>
  <si>
    <t>287A_NB_010</t>
  </si>
  <si>
    <t>287A_SB_001</t>
  </si>
  <si>
    <t>287A_SB_028</t>
  </si>
  <si>
    <t>287B_NB_004</t>
  </si>
  <si>
    <t>287B_NB_006</t>
  </si>
  <si>
    <t>287B_NB_010</t>
  </si>
  <si>
    <t>287B_SB_001</t>
  </si>
  <si>
    <t>287B_SB_008</t>
  </si>
  <si>
    <t>287B_SB_012</t>
  </si>
  <si>
    <t>287D_NB_002</t>
  </si>
  <si>
    <t>287E_NB_008</t>
  </si>
  <si>
    <t>287F_NB_001</t>
  </si>
  <si>
    <t>287F_NB_015</t>
  </si>
  <si>
    <t>287F_NB_022</t>
  </si>
  <si>
    <t>287F_NB_027</t>
  </si>
  <si>
    <t>287G_NB_001</t>
  </si>
  <si>
    <t>287G_NB_010</t>
  </si>
  <si>
    <t>287G_NB_021</t>
  </si>
  <si>
    <t>287H_NB_001</t>
  </si>
  <si>
    <t>287I_NB_001</t>
  </si>
  <si>
    <t>287I_SB_005</t>
  </si>
  <si>
    <t>see 287Z</t>
  </si>
  <si>
    <t>287HZ_SB_001</t>
  </si>
  <si>
    <t>287G_SB_001</t>
  </si>
  <si>
    <t>287G_SB_022</t>
  </si>
  <si>
    <t>287G_SB_033</t>
  </si>
  <si>
    <t>287F_SB_001</t>
  </si>
  <si>
    <t>287F_SB_004</t>
  </si>
  <si>
    <t>287F_SB_010</t>
  </si>
  <si>
    <t>287E_SB_001</t>
  </si>
  <si>
    <t>287D_SB_008</t>
  </si>
  <si>
    <t>291A_NB_001</t>
  </si>
  <si>
    <t>291A_SB_001</t>
  </si>
  <si>
    <t>340B_EB_001</t>
  </si>
  <si>
    <t>340B_WB_002</t>
  </si>
  <si>
    <t>348C_EB_001</t>
  </si>
  <si>
    <t>348C_WB_001</t>
  </si>
  <si>
    <t>350A_EB_001</t>
  </si>
  <si>
    <t>350A_EB_007</t>
  </si>
  <si>
    <t>350A_WB_001</t>
  </si>
  <si>
    <t>350A_WB_010</t>
  </si>
  <si>
    <t>368A_EB_001</t>
  </si>
  <si>
    <t>368A_WB_001</t>
  </si>
  <si>
    <t>370A_EB_001</t>
  </si>
  <si>
    <t>370A_EB_003</t>
  </si>
  <si>
    <t>370A_WB_001</t>
  </si>
  <si>
    <t>370A_WB_008</t>
  </si>
  <si>
    <t>371A_NB_001</t>
  </si>
  <si>
    <t>371A_SB_001</t>
  </si>
  <si>
    <t>385A_NB_001</t>
  </si>
  <si>
    <t>385A_SB_001</t>
  </si>
  <si>
    <t>385B_NB_001</t>
  </si>
  <si>
    <t>385B_SB_001</t>
  </si>
  <si>
    <t>385F_NB_001</t>
  </si>
  <si>
    <t>385F_NB_018</t>
  </si>
  <si>
    <t>385G_NB_001</t>
  </si>
  <si>
    <t>385G_NB_007</t>
  </si>
  <si>
    <t>385G_SB_001</t>
  </si>
  <si>
    <t>385G_SB_013</t>
  </si>
  <si>
    <t>385F_SB_001</t>
  </si>
  <si>
    <t>385F_SB_005</t>
  </si>
  <si>
    <t>385D_NB_001</t>
  </si>
  <si>
    <t>385D_NB_011</t>
  </si>
  <si>
    <t>385D_NB_028</t>
  </si>
  <si>
    <t>385D_NB_040</t>
  </si>
  <si>
    <t>385D_SB_002</t>
  </si>
  <si>
    <t>385D_SB_007</t>
  </si>
  <si>
    <t>385D_SB_018</t>
  </si>
  <si>
    <t>385D_SB_035</t>
  </si>
  <si>
    <t>385E_NB_001</t>
  </si>
  <si>
    <t>385E_SB_003</t>
  </si>
  <si>
    <t>389A_NB_005</t>
  </si>
  <si>
    <t>389A_SB_001</t>
  </si>
  <si>
    <t>391B_NB_003</t>
  </si>
  <si>
    <t>391B_NB_024</t>
  </si>
  <si>
    <t>391C_NB_001</t>
  </si>
  <si>
    <t>391C_SB_003</t>
  </si>
  <si>
    <t>391B_SB_001</t>
  </si>
  <si>
    <t>391B_SB_010</t>
  </si>
  <si>
    <t>392A_EB_001</t>
  </si>
  <si>
    <t>392A_EB_014</t>
  </si>
  <si>
    <t>392A_WB_001</t>
  </si>
  <si>
    <t>392A_WB_014</t>
  </si>
  <si>
    <t>392B_EB_001</t>
  </si>
  <si>
    <t>392B_EB_020</t>
  </si>
  <si>
    <t>392B_WB_001</t>
  </si>
  <si>
    <t>392B_WB_014</t>
  </si>
  <si>
    <t>394A_SB_001</t>
  </si>
  <si>
    <t>394A_NB_009</t>
  </si>
  <si>
    <t>402A_EB_001</t>
  </si>
  <si>
    <t>402A_WB_003</t>
  </si>
  <si>
    <t>470C_EB_002</t>
  </si>
  <si>
    <t>470C_WB_002</t>
  </si>
  <si>
    <t>470B_NB_004</t>
  </si>
  <si>
    <t>470B_NB_018</t>
  </si>
  <si>
    <t>470B_SB_002</t>
  </si>
  <si>
    <t>470B_SB_037</t>
  </si>
  <si>
    <t>470N_WB_003</t>
  </si>
  <si>
    <t>470N_WB_005</t>
  </si>
  <si>
    <t>470N_EB_001</t>
  </si>
  <si>
    <t>470N_EB_003</t>
  </si>
  <si>
    <t>491A_NB_003</t>
  </si>
  <si>
    <t>491A_SB_001</t>
  </si>
  <si>
    <t>491B_NB_001</t>
  </si>
  <si>
    <t>491B_NB_003</t>
  </si>
  <si>
    <t>491B_NB_014</t>
  </si>
  <si>
    <t>491B_SB_002</t>
  </si>
  <si>
    <t>491B_SB_018</t>
  </si>
  <si>
    <t>491B_SB_029</t>
  </si>
  <si>
    <t>491C_NB_001</t>
  </si>
  <si>
    <t>491C_SB_001</t>
  </si>
  <si>
    <t>550A_NB_006</t>
  </si>
  <si>
    <t>550A_SB_001</t>
  </si>
  <si>
    <t>550B_NB_002</t>
  </si>
  <si>
    <t>550B_NB_048</t>
  </si>
  <si>
    <t>550B_SB_001</t>
  </si>
  <si>
    <t>550B_SB_034</t>
  </si>
  <si>
    <t>Pri</t>
  </si>
  <si>
    <t>NB</t>
  </si>
  <si>
    <t>001A_NB</t>
  </si>
  <si>
    <t>287C, 014C, 025A</t>
  </si>
  <si>
    <t>Sec</t>
  </si>
  <si>
    <t>SB</t>
  </si>
  <si>
    <t>001A_SB</t>
  </si>
  <si>
    <t>025A, 014C, 287C</t>
  </si>
  <si>
    <t>002A_NB</t>
  </si>
  <si>
    <t>285D, 025A</t>
  </si>
  <si>
    <t>002A_NB_016</t>
  </si>
  <si>
    <t>025A, 070A, 006H</t>
  </si>
  <si>
    <t>070A, 006H</t>
  </si>
  <si>
    <t>002A_SB</t>
  </si>
  <si>
    <t>006H, 070A</t>
  </si>
  <si>
    <t>006H, 070A, 025A</t>
  </si>
  <si>
    <t>025A, 285D</t>
  </si>
  <si>
    <t>EB</t>
  </si>
  <si>
    <t>006A_EB</t>
  </si>
  <si>
    <t>070A, 139A</t>
  </si>
  <si>
    <t>139A, 070A, 340A</t>
  </si>
  <si>
    <t>WB</t>
  </si>
  <si>
    <t>006A_WB</t>
  </si>
  <si>
    <t>340A, 070A, 139A</t>
  </si>
  <si>
    <t>139A, 070A</t>
  </si>
  <si>
    <t>006E_EB</t>
  </si>
  <si>
    <t>070F, 070A, 131A</t>
  </si>
  <si>
    <t>lcAv, 070A, 024A, 070A</t>
  </si>
  <si>
    <t>006E_WB</t>
  </si>
  <si>
    <t>906M_WB_001</t>
  </si>
  <si>
    <t>070A, lcAv</t>
  </si>
  <si>
    <t>070A, 024A, 070A, lcAv</t>
  </si>
  <si>
    <t>131A, 070A, 070F</t>
  </si>
  <si>
    <t>006G_EB</t>
  </si>
  <si>
    <t>070A, lcHo, 040B</t>
  </si>
  <si>
    <t>070A, 470W</t>
  </si>
  <si>
    <t>058A, 070A, 025A</t>
  </si>
  <si>
    <t>470W, 070A, lcJu, 070A</t>
  </si>
  <si>
    <t>040C, 391A</t>
  </si>
  <si>
    <t>391A, 040C, 121A</t>
  </si>
  <si>
    <t>121A, 040C, 095A</t>
  </si>
  <si>
    <t>095A, 026B, 088A</t>
  </si>
  <si>
    <t>006G_WB</t>
  </si>
  <si>
    <t>025A, 040C, 095A</t>
  </si>
  <si>
    <t>095A, 040C, 121A</t>
  </si>
  <si>
    <t>121A, 040C, 391A</t>
  </si>
  <si>
    <t>391A, 040C</t>
  </si>
  <si>
    <t>070A, lcJu, 070A, 470W</t>
  </si>
  <si>
    <t>391A, 040C, lcDW, 070A, 058A</t>
  </si>
  <si>
    <t>470W, 070A</t>
  </si>
  <si>
    <t>040B, lcHo, 070A</t>
  </si>
  <si>
    <t>006H_EB</t>
  </si>
  <si>
    <t>070A, 002A</t>
  </si>
  <si>
    <t>070A, 025A, 076A</t>
  </si>
  <si>
    <t>270A, 076A</t>
  </si>
  <si>
    <t>006H_WB</t>
  </si>
  <si>
    <t>076A, 270A</t>
  </si>
  <si>
    <t>076A, 025A, 070A</t>
  </si>
  <si>
    <t>002A, 070A</t>
  </si>
  <si>
    <t>006J_EB</t>
  </si>
  <si>
    <t>063A, 076A</t>
  </si>
  <si>
    <t>076A, I-76NE, I-80NE, N-61, N-23, N-61, US6NE</t>
  </si>
  <si>
    <t>006J_WB</t>
  </si>
  <si>
    <t>US6NE, N-61, N-23, N-61, I-80NE, I-76NE, 076A</t>
  </si>
  <si>
    <t>076A, 063A</t>
  </si>
  <si>
    <t>138A, 138Z</t>
  </si>
  <si>
    <t>006L_EB</t>
  </si>
  <si>
    <t>006M, 070A, 013C, lcRi, lcCR</t>
  </si>
  <si>
    <t>006L_WB</t>
  </si>
  <si>
    <t>lcCR, lcRi, 070A</t>
  </si>
  <si>
    <t>007A_EB</t>
  </si>
  <si>
    <t>007A_WB</t>
  </si>
  <si>
    <t>007B_EB</t>
  </si>
  <si>
    <t>093A, 036E, 036B</t>
  </si>
  <si>
    <t>007B_WB</t>
  </si>
  <si>
    <t>036B, 036E, 093A</t>
  </si>
  <si>
    <t>007C_EB</t>
  </si>
  <si>
    <t>036B, 119B, 157A</t>
  </si>
  <si>
    <t>036B, lc96, 470N, 287C</t>
  </si>
  <si>
    <t>007C_WB</t>
  </si>
  <si>
    <t>287C, 470N, lc96, 036B</t>
  </si>
  <si>
    <t>157A, lcTM, 036B</t>
  </si>
  <si>
    <t>007D_EB</t>
  </si>
  <si>
    <t>287C, 470N, 470B, lc47, 085C</t>
  </si>
  <si>
    <t>007D_WB</t>
  </si>
  <si>
    <t>085C, lc47, 470B, 470N, 287C</t>
  </si>
  <si>
    <t>008A_EB</t>
  </si>
  <si>
    <t>285D, 470A</t>
  </si>
  <si>
    <t>285D, 121A</t>
  </si>
  <si>
    <t>470A, 285D, 121A</t>
  </si>
  <si>
    <t>008A_WB</t>
  </si>
  <si>
    <t>121A, 285D, 470A</t>
  </si>
  <si>
    <t>121A, 285D</t>
  </si>
  <si>
    <t>470A, 285D</t>
  </si>
  <si>
    <t>009A_NB</t>
  </si>
  <si>
    <t>050A, 291A, 285C, 024A</t>
  </si>
  <si>
    <t>009A_SB</t>
  </si>
  <si>
    <t>024A, 285C, 291A, 050A</t>
  </si>
  <si>
    <t>009B_NB</t>
  </si>
  <si>
    <t>024A, 285D</t>
  </si>
  <si>
    <t>009B_SB</t>
  </si>
  <si>
    <t>285D, 024A</t>
  </si>
  <si>
    <t>009C_NB</t>
  </si>
  <si>
    <t>285D, 024A, 091A, 070A</t>
  </si>
  <si>
    <t>009C_SB</t>
  </si>
  <si>
    <t>070A, 091A, 024A, 285D</t>
  </si>
  <si>
    <t>009D_NB</t>
  </si>
  <si>
    <t>006F, 070A, 040A</t>
  </si>
  <si>
    <t>009D_SB</t>
  </si>
  <si>
    <t>040A, 070A</t>
  </si>
  <si>
    <t>010A_EB</t>
  </si>
  <si>
    <t>025A, 050B</t>
  </si>
  <si>
    <t>071A, 350A, lc5J, lcBa, lc3J, 050B</t>
  </si>
  <si>
    <t>071B, 050B</t>
  </si>
  <si>
    <t>010A_WB</t>
  </si>
  <si>
    <t>050B, 050Z, 266A, 071B</t>
  </si>
  <si>
    <t>050B, lc3J, lcBa, lc5J, 350A, 071A</t>
  </si>
  <si>
    <t>050B, 050Z, 050B, 025A, 160B</t>
  </si>
  <si>
    <t>011A_NB</t>
  </si>
  <si>
    <t>138A, US138NE, I-80NE</t>
  </si>
  <si>
    <t>011A_SB</t>
  </si>
  <si>
    <t>I-80NE, US138NE, 138A</t>
  </si>
  <si>
    <t>013A_NB</t>
  </si>
  <si>
    <t>lcCR, lcRi, 013C, 070A, 131A, 006E, 131B, 040A, 040Z, 040A</t>
  </si>
  <si>
    <t>013A_SB</t>
  </si>
  <si>
    <t>040A, 131B, 006E, 131A, 070A, lcRi, lcCR</t>
  </si>
  <si>
    <t>013B_NB</t>
  </si>
  <si>
    <t>040A, 014A, 125A, WYO230, WYO130, I-80WY</t>
  </si>
  <si>
    <t>013B_SB</t>
  </si>
  <si>
    <t>I-80WY, WYO130, WYO230, 125A, 014A, 040A, 040Z</t>
  </si>
  <si>
    <t>014A_EB</t>
  </si>
  <si>
    <t>040A, 125A</t>
  </si>
  <si>
    <t>014A_WB</t>
  </si>
  <si>
    <t>125A, 040A</t>
  </si>
  <si>
    <t>014B_EB</t>
  </si>
  <si>
    <t>125A, 127A, WYO230, WYO130, I-80WY, US287WY, 287C</t>
  </si>
  <si>
    <t>014B_WB</t>
  </si>
  <si>
    <t>287C, US287WY, I-80WY, WYO130, WYO230, 127A, 125A</t>
  </si>
  <si>
    <t>014C_EB</t>
  </si>
  <si>
    <t>287C, 001A, 025A</t>
  </si>
  <si>
    <t>025A, 392A, 257A, 392B</t>
  </si>
  <si>
    <t>085L, 392B</t>
  </si>
  <si>
    <t>025A, 034A, 006I, 076A, 052B</t>
  </si>
  <si>
    <t>052B, 076A, 006J, 006Z</t>
  </si>
  <si>
    <t>071E, 076A, 006J, 006Z</t>
  </si>
  <si>
    <t>006Z, 006J</t>
  </si>
  <si>
    <t>014C_WB</t>
  </si>
  <si>
    <t>006J, 006Z</t>
  </si>
  <si>
    <t>006J, 076A, 071E</t>
  </si>
  <si>
    <t>006J, 076A, 052B</t>
  </si>
  <si>
    <t>052B, 076A, 034A, 025A</t>
  </si>
  <si>
    <t>392B, 085L</t>
  </si>
  <si>
    <t>392B, 257A, 392A, 025A</t>
  </si>
  <si>
    <t>025A, 001A, 287C</t>
  </si>
  <si>
    <t>015A_NB</t>
  </si>
  <si>
    <t>370A, 285A, 160Z, 160A</t>
  </si>
  <si>
    <t>015A_SB</t>
  </si>
  <si>
    <t>160A, 285A, 370A</t>
  </si>
  <si>
    <t>015B_EB</t>
  </si>
  <si>
    <t>371A, 368A, 285A</t>
  </si>
  <si>
    <t>015B_WB</t>
  </si>
  <si>
    <t>285A, 368A, 371A</t>
  </si>
  <si>
    <t>016A_EB</t>
  </si>
  <si>
    <t>025A, 085A</t>
  </si>
  <si>
    <t>025A, 024H, 021A</t>
  </si>
  <si>
    <t>016A_WB</t>
  </si>
  <si>
    <t>021A, 024H, 025A</t>
  </si>
  <si>
    <t>085A, 025A</t>
  </si>
  <si>
    <t>017A_EB</t>
  </si>
  <si>
    <t>US64NM, US285NM, 285A</t>
  </si>
  <si>
    <t>017A_WB</t>
  </si>
  <si>
    <t>285A, US285NM, US64NM</t>
  </si>
  <si>
    <t>017B_NB</t>
  </si>
  <si>
    <t>160A, 160Z, 160A, 285B</t>
  </si>
  <si>
    <t>017B_SB</t>
  </si>
  <si>
    <t>285B, 160A</t>
  </si>
  <si>
    <t>021A_NB</t>
  </si>
  <si>
    <t>016A, 025A, 024H</t>
  </si>
  <si>
    <t>021A_SB</t>
  </si>
  <si>
    <t>024H, 025A, 016A</t>
  </si>
  <si>
    <t>021B_NB</t>
  </si>
  <si>
    <t>024H, 025A, 086B, 086A, 083A</t>
  </si>
  <si>
    <t>021B_SB</t>
  </si>
  <si>
    <t>083A, 086A, 086B, 025A, 024H</t>
  </si>
  <si>
    <t>023A_NB</t>
  </si>
  <si>
    <t>385D, 076A, I-76NE, I-80NE, US83NE</t>
  </si>
  <si>
    <t>023A_SB</t>
  </si>
  <si>
    <t>US83NE, I-80NE, I-76NE, 076A, 385D</t>
  </si>
  <si>
    <t>024A_EB</t>
  </si>
  <si>
    <t>070A, 091A</t>
  </si>
  <si>
    <t>070A, 009C, 285D</t>
  </si>
  <si>
    <t>285C, 291A, 050A, 115A, 025A</t>
  </si>
  <si>
    <t>285D, 009B</t>
  </si>
  <si>
    <t>024A_WB</t>
  </si>
  <si>
    <t>025A, 115A, 050A, 291A, 285C</t>
  </si>
  <si>
    <t>009B, 285D</t>
  </si>
  <si>
    <t>285D, 009C, 070A, 006E</t>
  </si>
  <si>
    <t>091A, 070A, 006E</t>
  </si>
  <si>
    <t>024D_EB</t>
  </si>
  <si>
    <t>385C, 070A, 070Q</t>
  </si>
  <si>
    <t>024D_WB</t>
  </si>
  <si>
    <t>070Q, 070A, 385C</t>
  </si>
  <si>
    <t>024F_EB</t>
  </si>
  <si>
    <t>024G, 070A</t>
  </si>
  <si>
    <t>024F_WB</t>
  </si>
  <si>
    <t>070A, 024G</t>
  </si>
  <si>
    <t>024G_EB</t>
  </si>
  <si>
    <t>021B, 083A, 086A, 070A</t>
  </si>
  <si>
    <t>094A, 071C</t>
  </si>
  <si>
    <t>024F, 070A</t>
  </si>
  <si>
    <t>024G_WB</t>
  </si>
  <si>
    <t>070A, 024F</t>
  </si>
  <si>
    <t>071C, 094A</t>
  </si>
  <si>
    <t>070A, 086A, 083A, 021B</t>
  </si>
  <si>
    <t>024H_EB</t>
  </si>
  <si>
    <t>025A, 016A, 021A</t>
  </si>
  <si>
    <t>025A, 086B, 086A, 083A, 021B</t>
  </si>
  <si>
    <t>024H_WB</t>
  </si>
  <si>
    <t>021B, 083A, 086A, 086B, 025A</t>
  </si>
  <si>
    <t>021A, 016A, 025A</t>
  </si>
  <si>
    <t>024H_WB_033</t>
  </si>
  <si>
    <t>021A, 016A, 025A, 115A, 025A</t>
  </si>
  <si>
    <t>025A_NB</t>
  </si>
  <si>
    <t>I-25NM, US64NM, NM325, NM456, NM551, 389A, 160C, 239A</t>
  </si>
  <si>
    <t>024H, 021B, 083A, 470B</t>
  </si>
  <si>
    <t>086B, 085B</t>
  </si>
  <si>
    <t>470B, lcGC, 070A</t>
  </si>
  <si>
    <t>225A, 070A</t>
  </si>
  <si>
    <t>285D, 002A</t>
  </si>
  <si>
    <t>lcff, lcSF, lcAl, 026B, 088A, 006G</t>
  </si>
  <si>
    <t>lc8D, lcZu, 088A, 040C</t>
  </si>
  <si>
    <t>070A, 287C, 076A</t>
  </si>
  <si>
    <t>076A, 085C, lc47, 470B</t>
  </si>
  <si>
    <t>076A, 085C, 007D</t>
  </si>
  <si>
    <t>076A, 085C, 052A</t>
  </si>
  <si>
    <t>052A, 287C, 119B, 119C</t>
  </si>
  <si>
    <t>119C, 119B, 287C, 066B</t>
  </si>
  <si>
    <t>066B, 287C, 056B</t>
  </si>
  <si>
    <t>056B, 287C, 060A, lc25, 060B</t>
  </si>
  <si>
    <t>025A_SB</t>
  </si>
  <si>
    <t>060B, lc25, 060A, 287C, 056B</t>
  </si>
  <si>
    <t>056B, 287C, 066B</t>
  </si>
  <si>
    <t>066B, 287C, 119B, 119C</t>
  </si>
  <si>
    <t>119C, 119B, 287C, 052A</t>
  </si>
  <si>
    <t>052A, 085C, 076A</t>
  </si>
  <si>
    <t>007D, 085C, 076A</t>
  </si>
  <si>
    <t>470B, lc47, 085C, 076A</t>
  </si>
  <si>
    <t>224A, 053A</t>
  </si>
  <si>
    <t>076A, 287C, 070A</t>
  </si>
  <si>
    <t>070A, 287C, 088A, 040C</t>
  </si>
  <si>
    <t>040C, 088A, 006G</t>
  </si>
  <si>
    <t>088A, 026B, lcKa, 085B</t>
  </si>
  <si>
    <t>002A, 285D</t>
  </si>
  <si>
    <t>070A, 225A</t>
  </si>
  <si>
    <t>070A, lcGC, 470B</t>
  </si>
  <si>
    <t>470B, 083A, 021B, 024H</t>
  </si>
  <si>
    <t>160C, 389A, NM551, NM456, NM325, US64NM, I-25NM</t>
  </si>
  <si>
    <t>025C_NB</t>
  </si>
  <si>
    <t>025A, 010A, 160B</t>
  </si>
  <si>
    <t>160B, 025A</t>
  </si>
  <si>
    <t>025C_SB</t>
  </si>
  <si>
    <t>025A, 160B</t>
  </si>
  <si>
    <t>026B_EB</t>
  </si>
  <si>
    <t>095A, 006G, 025A</t>
  </si>
  <si>
    <t>026B_WB</t>
  </si>
  <si>
    <t>lcAl, lcSF, lcCD, 025A, 006G, 095A</t>
  </si>
  <si>
    <t>030A_EB</t>
  </si>
  <si>
    <t>285D, 025A, 225A, 083A</t>
  </si>
  <si>
    <t>225A, 040C, 070A, lcGC, 470B, lcJe</t>
  </si>
  <si>
    <t>030A_WB</t>
  </si>
  <si>
    <t>lcJe, 470B, lcGC, 070A, 040C, 225A</t>
  </si>
  <si>
    <t>083A, 225A, 025A</t>
  </si>
  <si>
    <t>034A_EB</t>
  </si>
  <si>
    <t>040A, 070A, 470W, 006G, 093A, 036E, 036B, 036Z, 036B, 034C, 036A</t>
  </si>
  <si>
    <t>036A, 034C</t>
  </si>
  <si>
    <t>036B, 066B, 025A</t>
  </si>
  <si>
    <t>287Z, 287C</t>
  </si>
  <si>
    <t>287Z, 287C, 402A, 025A</t>
  </si>
  <si>
    <t>025A, 052A, 076A, 039A, 006I</t>
  </si>
  <si>
    <t>034D, 085L</t>
  </si>
  <si>
    <t>085L, 034D</t>
  </si>
  <si>
    <t>144A, lc76, 006I</t>
  </si>
  <si>
    <t>034A_WB</t>
  </si>
  <si>
    <t>076A, 039A, 006I, lc76, 144A</t>
  </si>
  <si>
    <t>076A, 052A, 025A</t>
  </si>
  <si>
    <t>085G, 034D, 034Z, 034D</t>
  </si>
  <si>
    <t>257A, 392A, 025A</t>
  </si>
  <si>
    <t>025A, 402A, 287C</t>
  </si>
  <si>
    <t>287C, 287Z</t>
  </si>
  <si>
    <t>025A, 066B, 036B, 036Z, 036B</t>
  </si>
  <si>
    <t>034C, 036A</t>
  </si>
  <si>
    <t>036A, 034C, 036B, 036E, 093A, 006G, 470W, 070A, 040A</t>
  </si>
  <si>
    <t>034B_EB</t>
  </si>
  <si>
    <t>034B_WB</t>
  </si>
  <si>
    <t>034C_EB</t>
  </si>
  <si>
    <t>036A, 034A</t>
  </si>
  <si>
    <t>034C_WB</t>
  </si>
  <si>
    <t>034A, 036A</t>
  </si>
  <si>
    <t>034D_EB</t>
  </si>
  <si>
    <t>034A, 257A</t>
  </si>
  <si>
    <t>034A, 085G</t>
  </si>
  <si>
    <t>085H, 085L</t>
  </si>
  <si>
    <t>085G, 034A, 085L</t>
  </si>
  <si>
    <t>034D_WB</t>
  </si>
  <si>
    <t>085L, 034A, 085G</t>
  </si>
  <si>
    <t>085L, 085H</t>
  </si>
  <si>
    <t>085G, 034A, 257A</t>
  </si>
  <si>
    <t>257A, 034A</t>
  </si>
  <si>
    <t>034E_EB</t>
  </si>
  <si>
    <t>034B, 071E, 076A</t>
  </si>
  <si>
    <t>034E_WB</t>
  </si>
  <si>
    <t>006J, 076A, 071E, 034B</t>
  </si>
  <si>
    <t>035A_NB</t>
  </si>
  <si>
    <t>070A, 002A, 006H, 270A</t>
  </si>
  <si>
    <t>035A_SB</t>
  </si>
  <si>
    <t>270A, 006H, 002A, 070A</t>
  </si>
  <si>
    <t>036A_EB</t>
  </si>
  <si>
    <t>034A, 034C</t>
  </si>
  <si>
    <t>036A_WB</t>
  </si>
  <si>
    <t>034C, 034A</t>
  </si>
  <si>
    <t>036B_EB</t>
  </si>
  <si>
    <t>034A, 025A, 470N, lc96</t>
  </si>
  <si>
    <t>066B, 287C, 121A</t>
  </si>
  <si>
    <t>119B, 157A</t>
  </si>
  <si>
    <t>121A, 287C</t>
  </si>
  <si>
    <t>270F_EB_003</t>
  </si>
  <si>
    <t>287C, 076A, 270A</t>
  </si>
  <si>
    <t>036B_WB</t>
  </si>
  <si>
    <t>270A, 076A, 287C</t>
  </si>
  <si>
    <t>287C, 121A</t>
  </si>
  <si>
    <t>121A, 287C, 066B</t>
  </si>
  <si>
    <t>157A, 007C</t>
  </si>
  <si>
    <t>157A, 119B</t>
  </si>
  <si>
    <t>lc96, 470N, 025A, 034A</t>
  </si>
  <si>
    <t>036C_EB</t>
  </si>
  <si>
    <t>079A, 070A, 070M, 036D</t>
  </si>
  <si>
    <t>036C_WB</t>
  </si>
  <si>
    <t>036D, lc15, 070A, 079A</t>
  </si>
  <si>
    <t>036D_EB</t>
  </si>
  <si>
    <t>036C, 079A, 070A, lc15</t>
  </si>
  <si>
    <t>lc15, 070A, 079A, 070A, 070M</t>
  </si>
  <si>
    <t>070M, 070A</t>
  </si>
  <si>
    <t>070A, 059A</t>
  </si>
  <si>
    <t>036D_WB</t>
  </si>
  <si>
    <t>059A, 070A</t>
  </si>
  <si>
    <t>070A, 070M</t>
  </si>
  <si>
    <t>070M, 070A, 079A, 070A, lc15</t>
  </si>
  <si>
    <t>lc15, 070A, 079A, 036C</t>
  </si>
  <si>
    <t>036E_EB</t>
  </si>
  <si>
    <t>093A, 007B, 036B</t>
  </si>
  <si>
    <t>036E_WB</t>
  </si>
  <si>
    <t>036B, 007B, 093A</t>
  </si>
  <si>
    <t>039A_NB</t>
  </si>
  <si>
    <t>034A, 144A</t>
  </si>
  <si>
    <t>039A_SB</t>
  </si>
  <si>
    <t>144A, 034A</t>
  </si>
  <si>
    <t>040A_EB</t>
  </si>
  <si>
    <t>131B, 134A</t>
  </si>
  <si>
    <t>014A, 125A</t>
  </si>
  <si>
    <t>009D, 006F, 070A</t>
  </si>
  <si>
    <t>040A_WB</t>
  </si>
  <si>
    <t>070A, 009D</t>
  </si>
  <si>
    <t>125A, 014A</t>
  </si>
  <si>
    <t>134A, 131B</t>
  </si>
  <si>
    <t>040B_EB</t>
  </si>
  <si>
    <t>006G, 070A, lcHo</t>
  </si>
  <si>
    <t>lcHo, 070A, lcBB</t>
  </si>
  <si>
    <t>070A, 040C, 070A, 074A</t>
  </si>
  <si>
    <t>040B_WB</t>
  </si>
  <si>
    <t>070A, 040C, 070A</t>
  </si>
  <si>
    <t>070A, 006G</t>
  </si>
  <si>
    <t>lcHo, 070A, 006G</t>
  </si>
  <si>
    <t>040C_EB</t>
  </si>
  <si>
    <t>006G, 470W, 070A, lcJu, 070A</t>
  </si>
  <si>
    <t>070A, lcDW</t>
  </si>
  <si>
    <t>006G, 391A</t>
  </si>
  <si>
    <t>391A, 006G, 088A</t>
  </si>
  <si>
    <t>088A, 006G, 025A</t>
  </si>
  <si>
    <t>025A, 070A, 002A</t>
  </si>
  <si>
    <t>002A, 070A, 225A</t>
  </si>
  <si>
    <t>040C_WB</t>
  </si>
  <si>
    <t>225A, 070A, 002A</t>
  </si>
  <si>
    <t>002A, 070A, 025A</t>
  </si>
  <si>
    <t>025A, 088A</t>
  </si>
  <si>
    <t>088A, 006G, 391A</t>
  </si>
  <si>
    <t>391A, 006G</t>
  </si>
  <si>
    <t>lcDW, 070A</t>
  </si>
  <si>
    <t>070A, lcJu, 070A, 470W, 006G</t>
  </si>
  <si>
    <t>040H_EB</t>
  </si>
  <si>
    <t>070A, 385C</t>
  </si>
  <si>
    <t>070A, I-70KS, K-27, US40KS</t>
  </si>
  <si>
    <t>040H_WB</t>
  </si>
  <si>
    <t>US40KS, K-27, I-70KS, 070A</t>
  </si>
  <si>
    <t>385C, 070A</t>
  </si>
  <si>
    <t>041A_NB</t>
  </si>
  <si>
    <t>160A, US160NM, US160AZ, US191AZ, US191UT</t>
  </si>
  <si>
    <t>041A_SB</t>
  </si>
  <si>
    <t>US191UT, US191AZ, US160AZ, US160NM, 160A</t>
  </si>
  <si>
    <t>045A_NB</t>
  </si>
  <si>
    <t>025A, lcPu, 050C, 096A</t>
  </si>
  <si>
    <t>096A, 050C, lcPu, 025A, 050A</t>
  </si>
  <si>
    <t>045A_SB</t>
  </si>
  <si>
    <t>050A, 025A, 050C, 096A</t>
  </si>
  <si>
    <t>096A, 050C, 025A</t>
  </si>
  <si>
    <t>047A_EB</t>
  </si>
  <si>
    <t>047A_WB</t>
  </si>
  <si>
    <t>050B, 025A</t>
  </si>
  <si>
    <t>050A_EB</t>
  </si>
  <si>
    <t>070Z, 070B</t>
  </si>
  <si>
    <t>070B, 141B</t>
  </si>
  <si>
    <t>070B, 070A, 065A, 092A</t>
  </si>
  <si>
    <t>050D, 348A</t>
  </si>
  <si>
    <t>348A, 050D</t>
  </si>
  <si>
    <t>141B, 070B, 070A, 024A, 285C</t>
  </si>
  <si>
    <t>114A, 285B</t>
  </si>
  <si>
    <t>285C, 291A</t>
  </si>
  <si>
    <t>285C, 024A, 009A</t>
  </si>
  <si>
    <t>069A, 096A, 045A</t>
  </si>
  <si>
    <t>067B, 115A</t>
  </si>
  <si>
    <t>115A, 120A</t>
  </si>
  <si>
    <t>045A, 096A, 050C, lcPu, 025A</t>
  </si>
  <si>
    <t>050A_WB</t>
  </si>
  <si>
    <t>025A, 050C, 096A, 045A</t>
  </si>
  <si>
    <t>045A, 096A, 069A</t>
  </si>
  <si>
    <t>120A, 115A</t>
  </si>
  <si>
    <t>115A, 067B</t>
  </si>
  <si>
    <t>009A, 024A, 285C</t>
  </si>
  <si>
    <t>291A, 285C</t>
  </si>
  <si>
    <t>285B, 114A</t>
  </si>
  <si>
    <t>285C, 024A, 006E, 070A, 070B, 141B</t>
  </si>
  <si>
    <t>092A, 065A, 070A, 070B, 070Z</t>
  </si>
  <si>
    <t>141B, 070B, 070Z</t>
  </si>
  <si>
    <t>070B, 070Z</t>
  </si>
  <si>
    <t>050B_EB</t>
  </si>
  <si>
    <t>050B_EB_073</t>
  </si>
  <si>
    <t>050B_WB</t>
  </si>
  <si>
    <t>050C_EB</t>
  </si>
  <si>
    <t>096A, 047A, 050B, 025A</t>
  </si>
  <si>
    <t>lcPu, 025A, 050B, 231A</t>
  </si>
  <si>
    <t>231A, 050B</t>
  </si>
  <si>
    <t>050C_WB</t>
  </si>
  <si>
    <t>050B, 231A</t>
  </si>
  <si>
    <t>231A, 050B, 025A</t>
  </si>
  <si>
    <t>lcPu, 025A, 050B, 096A</t>
  </si>
  <si>
    <t>052A_EB</t>
  </si>
  <si>
    <t>119B, 119C, 025A</t>
  </si>
  <si>
    <t>025A, 470B, 076A</t>
  </si>
  <si>
    <t>085C, 085E</t>
  </si>
  <si>
    <t>025A, 470B, lcGC, 070A, 079A, 036C, 079B</t>
  </si>
  <si>
    <t>076A, 039A</t>
  </si>
  <si>
    <t>052A_WB</t>
  </si>
  <si>
    <t>039A, 076A</t>
  </si>
  <si>
    <t>079B, 036C, 079A, 070A, lcGC, 470B, 025A</t>
  </si>
  <si>
    <t>076A, 470B, 025A</t>
  </si>
  <si>
    <t>085E, 085C</t>
  </si>
  <si>
    <t>025A, 119C, 119B</t>
  </si>
  <si>
    <t>052B_NB</t>
  </si>
  <si>
    <t>034B, 076A</t>
  </si>
  <si>
    <t>144A, 076A</t>
  </si>
  <si>
    <t>076A, 071E, 014C</t>
  </si>
  <si>
    <t>052B_SB</t>
  </si>
  <si>
    <t>014C, 071E, 076A</t>
  </si>
  <si>
    <t>076A, 144A</t>
  </si>
  <si>
    <t>076A, 034B</t>
  </si>
  <si>
    <t>055A_NB</t>
  </si>
  <si>
    <t>076A, 059B, 138A</t>
  </si>
  <si>
    <t>055A_SB</t>
  </si>
  <si>
    <t>138A, 059B, 076A</t>
  </si>
  <si>
    <t>056B_EB</t>
  </si>
  <si>
    <t>287C, 060A, lc25, 060B, 025A</t>
  </si>
  <si>
    <t>056B_WB</t>
  </si>
  <si>
    <t>025A, 060B, lc25, 060A, 287C</t>
  </si>
  <si>
    <t>057A_NB</t>
  </si>
  <si>
    <t>070A, 070P, 024B</t>
  </si>
  <si>
    <t>057A_SB</t>
  </si>
  <si>
    <t>024B, 070P, 070A</t>
  </si>
  <si>
    <t>058A_EB</t>
  </si>
  <si>
    <t>006G, 040C, 070A</t>
  </si>
  <si>
    <t>058A_WB</t>
  </si>
  <si>
    <t>070A, 040C, 006G</t>
  </si>
  <si>
    <t>059A_NB</t>
  </si>
  <si>
    <t>040H, 385C, 070A</t>
  </si>
  <si>
    <t>040H, 385C, 070A, 070Q, 024D, 385C, 036D</t>
  </si>
  <si>
    <t>059A_SB</t>
  </si>
  <si>
    <t>036D, 385C, 024D, 070Q, 070A, 385C, 040H</t>
  </si>
  <si>
    <t>070A, 385C, 040H</t>
  </si>
  <si>
    <t>059B_NB</t>
  </si>
  <si>
    <t>036D, 385D, 076A</t>
  </si>
  <si>
    <t>076A, 385D, 138A</t>
  </si>
  <si>
    <t>059B_SB</t>
  </si>
  <si>
    <t>138A, 385D, 076A</t>
  </si>
  <si>
    <t>076A, 385D, 036D</t>
  </si>
  <si>
    <t>060A_EB</t>
  </si>
  <si>
    <t>287C, 402A, 025A, 060B, lc25</t>
  </si>
  <si>
    <t>060A_WB</t>
  </si>
  <si>
    <t>lc25, 060B, 025A, 402A, 287C</t>
  </si>
  <si>
    <t>060B_EB</t>
  </si>
  <si>
    <t>025A, 034A, 257A</t>
  </si>
  <si>
    <t>025A, 066B, 085C</t>
  </si>
  <si>
    <t>060B_WB</t>
  </si>
  <si>
    <t>085C, 066B, 025A</t>
  </si>
  <si>
    <t>062A_EB</t>
  </si>
  <si>
    <t>145A, 141A, 050A, 550B</t>
  </si>
  <si>
    <t>062A_WB</t>
  </si>
  <si>
    <t>550B, 050A, 141A, 145A</t>
  </si>
  <si>
    <t>063A_NB</t>
  </si>
  <si>
    <t>036D, 071D, 034B</t>
  </si>
  <si>
    <t>034B, 034E, 076A</t>
  </si>
  <si>
    <t>076A, 006J, 006Z, 006J</t>
  </si>
  <si>
    <t>063A_SB</t>
  </si>
  <si>
    <t>006J, 076A</t>
  </si>
  <si>
    <t>076A, 006J, 034E, 034B</t>
  </si>
  <si>
    <t>034B, 071D, 036D</t>
  </si>
  <si>
    <t>064A_EB</t>
  </si>
  <si>
    <t>040A, 013A</t>
  </si>
  <si>
    <t>064A_WB</t>
  </si>
  <si>
    <t>013A, 040A</t>
  </si>
  <si>
    <t>065A_NB</t>
  </si>
  <si>
    <t>092A, 050A, 141B, 070B, 070A</t>
  </si>
  <si>
    <t>065A_SB</t>
  </si>
  <si>
    <t>070A, 070B, 141B, 050A, 092A</t>
  </si>
  <si>
    <t>066B_EB</t>
  </si>
  <si>
    <t>036B, 119B, 119C, 025A</t>
  </si>
  <si>
    <t>287C, 119B, 119C, 025A</t>
  </si>
  <si>
    <t>025A, 052A, 085C</t>
  </si>
  <si>
    <t>085F, lcPl, 085C</t>
  </si>
  <si>
    <t>066B_WB</t>
  </si>
  <si>
    <t>085C, lcPl, 085F</t>
  </si>
  <si>
    <t>085C, 052A, 025A</t>
  </si>
  <si>
    <t>025A, 119C, 119B, 287C</t>
  </si>
  <si>
    <t>025A, 119C, 119B, 036B</t>
  </si>
  <si>
    <t>067A_NB</t>
  </si>
  <si>
    <t>096A, 045A, 050A, 115A</t>
  </si>
  <si>
    <t>067A_SB</t>
  </si>
  <si>
    <t>115A, 050A, 045A, 096A</t>
  </si>
  <si>
    <t>067B_NB</t>
  </si>
  <si>
    <t>115A, 050A</t>
  </si>
  <si>
    <t>067B_SB</t>
  </si>
  <si>
    <t>050A, 115A</t>
  </si>
  <si>
    <t>069A_NB</t>
  </si>
  <si>
    <t>025C, 025A, 050A</t>
  </si>
  <si>
    <t>069A_SB</t>
  </si>
  <si>
    <t>050A, 025A, 025C</t>
  </si>
  <si>
    <t>070A_EB</t>
  </si>
  <si>
    <t>070A_WB</t>
  </si>
  <si>
    <t>070B_EB</t>
  </si>
  <si>
    <t>070A, 070Z, 050A</t>
  </si>
  <si>
    <t>006B, 070Z, 050A</t>
  </si>
  <si>
    <t>050A, 070Z, 006B</t>
  </si>
  <si>
    <t>050A, 141B</t>
  </si>
  <si>
    <t>050A, 070Z, 070A</t>
  </si>
  <si>
    <t>070B_WB</t>
  </si>
  <si>
    <t>070A, 006A, 050A</t>
  </si>
  <si>
    <t>141B, 050A</t>
  </si>
  <si>
    <t>050A, 006B</t>
  </si>
  <si>
    <t>050A, 070A, 006A</t>
  </si>
  <si>
    <t>070E_NB</t>
  </si>
  <si>
    <t>070A, lcRi, lcWh, lcCR, 006D</t>
  </si>
  <si>
    <t>070E_SB</t>
  </si>
  <si>
    <t>006D, lcCR, lcWh, lcRi, 013C, 070A</t>
  </si>
  <si>
    <t>070F_NB</t>
  </si>
  <si>
    <t>006E, 131A, 070A</t>
  </si>
  <si>
    <t>070F_SB</t>
  </si>
  <si>
    <t>070A, 131A, 006E</t>
  </si>
  <si>
    <t>070G_NB</t>
  </si>
  <si>
    <t>006E, lcAv, 070A</t>
  </si>
  <si>
    <t>070G_SB</t>
  </si>
  <si>
    <t>070A, lcAv, 006E</t>
  </si>
  <si>
    <t>070L_NB</t>
  </si>
  <si>
    <t>070A, 036C</t>
  </si>
  <si>
    <t>070L_SB</t>
  </si>
  <si>
    <t>036C, 070A</t>
  </si>
  <si>
    <t>070M_NB</t>
  </si>
  <si>
    <t>070A, 036D</t>
  </si>
  <si>
    <t>070M_SB</t>
  </si>
  <si>
    <t>036D, lc15, 070A, 079A, 070A</t>
  </si>
  <si>
    <t>070N_EB</t>
  </si>
  <si>
    <t>070N_EB_001</t>
  </si>
  <si>
    <t>040E, lcPC, 070A</t>
  </si>
  <si>
    <t>070N_WB</t>
  </si>
  <si>
    <t>070N_WB_002</t>
  </si>
  <si>
    <t>070A, lcPC, 040E</t>
  </si>
  <si>
    <t>070P_NB</t>
  </si>
  <si>
    <t>070A, 059A, 024B</t>
  </si>
  <si>
    <t>070P_SB</t>
  </si>
  <si>
    <t>024B, 059A, 070A</t>
  </si>
  <si>
    <t>070Q_EB</t>
  </si>
  <si>
    <t>024D, 385C, 070A</t>
  </si>
  <si>
    <t>070Q_WB</t>
  </si>
  <si>
    <t>070A, 385C, 024D</t>
  </si>
  <si>
    <t>071A_NB</t>
  </si>
  <si>
    <t>350A, lc5J, lcBa, lc3J, 050B, 010A</t>
  </si>
  <si>
    <t>071A_SB</t>
  </si>
  <si>
    <t>010A, 050B, lc3J, lcBa, lc5J, 350A</t>
  </si>
  <si>
    <t>071B_NB</t>
  </si>
  <si>
    <t>010A, 050B, 050Z, 266A</t>
  </si>
  <si>
    <t>071B_SB</t>
  </si>
  <si>
    <t>050B, 010A</t>
  </si>
  <si>
    <t>071C_NB</t>
  </si>
  <si>
    <t>050B, 207A, 096B</t>
  </si>
  <si>
    <t>050B, 025A, 024H, 024G</t>
  </si>
  <si>
    <t>094A, 040H, 070A, 024G</t>
  </si>
  <si>
    <t>071C_SB</t>
  </si>
  <si>
    <t>024G, 070A, 040H, 094A</t>
  </si>
  <si>
    <t>024G, 021B, 024H, 025A, 050B</t>
  </si>
  <si>
    <t>096B, 207A, 050B</t>
  </si>
  <si>
    <t>071D_NB</t>
  </si>
  <si>
    <t>024G, 070A, 036D</t>
  </si>
  <si>
    <t>024G, 070A, lcGC, 470B, 076A, 034E, 034B</t>
  </si>
  <si>
    <t>071D_SB</t>
  </si>
  <si>
    <t>034B, 071E, 076A, 470B, lcGC, 070A, 024G</t>
  </si>
  <si>
    <t>036D, 070A, 024G</t>
  </si>
  <si>
    <t>071E_NB</t>
  </si>
  <si>
    <t>034B, 034E, 006J, 076A</t>
  </si>
  <si>
    <t>076A, 006J, 006Z, 014C</t>
  </si>
  <si>
    <t>071E_SB</t>
  </si>
  <si>
    <t>014C, 052B, 076A</t>
  </si>
  <si>
    <t>076A, 034E, 034B</t>
  </si>
  <si>
    <t>071F_NB</t>
  </si>
  <si>
    <t>014C, 006J, 138A, 113A, N-19, I-80NE</t>
  </si>
  <si>
    <t>071F_SB</t>
  </si>
  <si>
    <t>I-80NE, N-19, 113A, 138A, 138Z, 006Z, 014C</t>
  </si>
  <si>
    <t>072A_EB</t>
  </si>
  <si>
    <t>119A, 006G, 058A, 070A, lc44</t>
  </si>
  <si>
    <t>093A, 058A, 070A, lc44</t>
  </si>
  <si>
    <t>072A_WB</t>
  </si>
  <si>
    <t>070A, 058A, 093A</t>
  </si>
  <si>
    <t>070A, 058A, 006G, 119A</t>
  </si>
  <si>
    <t>072B_EB</t>
  </si>
  <si>
    <t>007A, 036B, 007B, 119A</t>
  </si>
  <si>
    <t>072B_WB</t>
  </si>
  <si>
    <t>119A, 007B, 036B, 036Z, 036B, 007A</t>
  </si>
  <si>
    <t>076A_EB</t>
  </si>
  <si>
    <t>059B, 138A, US138NE, I-80NE</t>
  </si>
  <si>
    <t>385D, 138A, US138NE, I-80NE</t>
  </si>
  <si>
    <t>076A_WB</t>
  </si>
  <si>
    <t>I-80NE, US138NE, 138A, 385D</t>
  </si>
  <si>
    <t>I-80NE, US138NE, 138A, 059B</t>
  </si>
  <si>
    <t>078A_EB</t>
  </si>
  <si>
    <t>165A, 025A, 045A</t>
  </si>
  <si>
    <t>078A_WB</t>
  </si>
  <si>
    <t>045A, 025A, 165A</t>
  </si>
  <si>
    <t>079A_NB</t>
  </si>
  <si>
    <t>070A, 070M, 036D, 036C</t>
  </si>
  <si>
    <t>079A_SB</t>
  </si>
  <si>
    <t>036C, 036D, lc15, 070A</t>
  </si>
  <si>
    <t>079B_NB</t>
  </si>
  <si>
    <t>036C, 079A, 070A, lcGC, 470B, 076A, 052A</t>
  </si>
  <si>
    <t>079B_SB</t>
  </si>
  <si>
    <t>052A, 076A, 470B, lcGC, 070A, 079A, 036C</t>
  </si>
  <si>
    <t>082A_EB</t>
  </si>
  <si>
    <t>070A, 070B, 141B, 050A, 092A, 133A</t>
  </si>
  <si>
    <t>070A, 024A</t>
  </si>
  <si>
    <t>082A_WB</t>
  </si>
  <si>
    <t>024A, 006E, 070A</t>
  </si>
  <si>
    <t>133A, 092A, 050A, 141B, 070B, 070A</t>
  </si>
  <si>
    <t>083A_NB</t>
  </si>
  <si>
    <t>021B, 024H, 025A, 225A</t>
  </si>
  <si>
    <t>086A, 086B, 025A, 225A</t>
  </si>
  <si>
    <t>470B, 025A, 225A</t>
  </si>
  <si>
    <t>225A, 025A, 002A</t>
  </si>
  <si>
    <t>083A_SB</t>
  </si>
  <si>
    <t>002A, 025A, 225A</t>
  </si>
  <si>
    <t>225A, 025A, 470B</t>
  </si>
  <si>
    <t>225A, 025A, 085B, 086B, 086A</t>
  </si>
  <si>
    <t>225A, 025A, 024H, 021B</t>
  </si>
  <si>
    <t>084A_NB</t>
  </si>
  <si>
    <t>084A_SB</t>
  </si>
  <si>
    <t>085B_NB</t>
  </si>
  <si>
    <t>086B, 025A, 470A</t>
  </si>
  <si>
    <t>470A, 025A, lcff</t>
  </si>
  <si>
    <t>088A, 285D</t>
  </si>
  <si>
    <t>285D, 088A, 026B, lcKa</t>
  </si>
  <si>
    <t>085B_SB</t>
  </si>
  <si>
    <t>lcSF, lcAl, 026B, 088A, 285D</t>
  </si>
  <si>
    <t>285D, 088A</t>
  </si>
  <si>
    <t>025A, 470A</t>
  </si>
  <si>
    <t>470A, 025A</t>
  </si>
  <si>
    <t>085C_NB</t>
  </si>
  <si>
    <t>076A, 052A, 085E</t>
  </si>
  <si>
    <t>lc47, 470B, 025A, 034A</t>
  </si>
  <si>
    <t>052A, 085E</t>
  </si>
  <si>
    <t>lcPl, 085F, 066B</t>
  </si>
  <si>
    <t>066B, 085F</t>
  </si>
  <si>
    <t>085C_SB</t>
  </si>
  <si>
    <t>085G, 034A, 025A, 470B, lc47</t>
  </si>
  <si>
    <t>085F, 066B</t>
  </si>
  <si>
    <t>066B, 085F, lcPl</t>
  </si>
  <si>
    <t>066B, 025A, 470B, lc47</t>
  </si>
  <si>
    <t>085E, 052A</t>
  </si>
  <si>
    <t>085E, 052A, 076A</t>
  </si>
  <si>
    <t>lc47, 470B, 076A</t>
  </si>
  <si>
    <t>085E_NB</t>
  </si>
  <si>
    <t>052A, 085C</t>
  </si>
  <si>
    <t>085E_SB</t>
  </si>
  <si>
    <t>085C, 052A</t>
  </si>
  <si>
    <t>085G_NB</t>
  </si>
  <si>
    <t>085C, 034A, 085L, 034D</t>
  </si>
  <si>
    <t>085G_SB</t>
  </si>
  <si>
    <t>034D, 085L, 034A</t>
  </si>
  <si>
    <t>085H_NB</t>
  </si>
  <si>
    <t>085H_SB</t>
  </si>
  <si>
    <t>085L_NB</t>
  </si>
  <si>
    <t>085L_NB_004</t>
  </si>
  <si>
    <t>085L_SB</t>
  </si>
  <si>
    <t>086A_EB</t>
  </si>
  <si>
    <t>086B, 025A, 470B, lcGC, 070A</t>
  </si>
  <si>
    <t>086A_WB</t>
  </si>
  <si>
    <t>070A, lcGC, 470B, 025A, 085B, 086B</t>
  </si>
  <si>
    <t>086B_EB</t>
  </si>
  <si>
    <t>025A, 470B, 083A, 086A</t>
  </si>
  <si>
    <t>086B_WB</t>
  </si>
  <si>
    <t>086A, 083A, 470B, 025A, 085B</t>
  </si>
  <si>
    <t>088A_EB</t>
  </si>
  <si>
    <t>040C, 025A</t>
  </si>
  <si>
    <t>040C, 025A, 026B</t>
  </si>
  <si>
    <t>026B, lcKa, 085B, 285D</t>
  </si>
  <si>
    <t>085B, 285D, 025A</t>
  </si>
  <si>
    <t>088A_WB</t>
  </si>
  <si>
    <t>025A, 285D, 085B</t>
  </si>
  <si>
    <t>285D, 085B, lcSF, lcAl, 026B</t>
  </si>
  <si>
    <t>026B, lcAl, lcSF, lcCD, 025A, 040C</t>
  </si>
  <si>
    <t>006G, 025A, 040C</t>
  </si>
  <si>
    <t>088B_EB</t>
  </si>
  <si>
    <t>025A, 470B, 083A, lcAr</t>
  </si>
  <si>
    <t>088B_WB</t>
  </si>
  <si>
    <t>083A, 470B, 025A</t>
  </si>
  <si>
    <t>089A_NB</t>
  </si>
  <si>
    <t>116A, 287A, 050B</t>
  </si>
  <si>
    <t>089A_SB</t>
  </si>
  <si>
    <t>050B, 287A, 116A</t>
  </si>
  <si>
    <t>090A_EB</t>
  </si>
  <si>
    <t>US191UT, US491UT, 491B, 141A</t>
  </si>
  <si>
    <t>090A_WB</t>
  </si>
  <si>
    <t>141A, 491B, US491UT, US191UT</t>
  </si>
  <si>
    <t>091A_NB</t>
  </si>
  <si>
    <t>024A, 070A</t>
  </si>
  <si>
    <t>091A_SB</t>
  </si>
  <si>
    <t>070A, 006E, 024A</t>
  </si>
  <si>
    <t>092A_EB</t>
  </si>
  <si>
    <t>050A, 141B, 070B, 070A, 065A</t>
  </si>
  <si>
    <t>092A_WB</t>
  </si>
  <si>
    <t>065A, 070A, 070B, 141B, 050A</t>
  </si>
  <si>
    <t>093A_NB</t>
  </si>
  <si>
    <t>058A, 070A, lc44, 072A</t>
  </si>
  <si>
    <t>058A, 070A, 121A, 036B, 036E</t>
  </si>
  <si>
    <t>036E, 036B, 007B</t>
  </si>
  <si>
    <t>093A_SB</t>
  </si>
  <si>
    <t>007B, 036B, 036E</t>
  </si>
  <si>
    <t>036E, 036B, 170A</t>
  </si>
  <si>
    <t>036E, 036B, 121A, 070A, 058A</t>
  </si>
  <si>
    <t>072A, 070A, 058A</t>
  </si>
  <si>
    <t>094A_EB</t>
  </si>
  <si>
    <t>024G, 024F, 070A, 040H</t>
  </si>
  <si>
    <t>094A_WB</t>
  </si>
  <si>
    <t>040H, 070A, 024F, 024G</t>
  </si>
  <si>
    <t>095A_NB</t>
  </si>
  <si>
    <t>285D, 085B, 025A, 036B</t>
  </si>
  <si>
    <t>095A_SB</t>
  </si>
  <si>
    <t>036B, 025A, 085B, 285D</t>
  </si>
  <si>
    <t>096A_EB</t>
  </si>
  <si>
    <t>069A, 050A, 047A</t>
  </si>
  <si>
    <t>067A, 115A, 050A, 047A</t>
  </si>
  <si>
    <t>045A, 050A, 047A</t>
  </si>
  <si>
    <t>096A_WB</t>
  </si>
  <si>
    <t>047A, 050A, 045A</t>
  </si>
  <si>
    <t>047A, 050A, 115A, 067A</t>
  </si>
  <si>
    <t>047A, 050A, 069A</t>
  </si>
  <si>
    <t>096B_EB</t>
  </si>
  <si>
    <t>050B, 167A</t>
  </si>
  <si>
    <t>050B, 207A</t>
  </si>
  <si>
    <t>050B, 071C</t>
  </si>
  <si>
    <t>096B_WB</t>
  </si>
  <si>
    <t>071C, 050B</t>
  </si>
  <si>
    <t>207A, 050B</t>
  </si>
  <si>
    <t>167A, 050B</t>
  </si>
  <si>
    <t>096C_EB</t>
  </si>
  <si>
    <t>071C, 050B, 287B</t>
  </si>
  <si>
    <t>096C_WB</t>
  </si>
  <si>
    <t>287B, 050B, 050Z, 071C</t>
  </si>
  <si>
    <t>096D_EB</t>
  </si>
  <si>
    <t>287B, 040H, US40KS, K-27, K-96</t>
  </si>
  <si>
    <t>096D_WB</t>
  </si>
  <si>
    <t>K-96, K-27, US40KS, 040H, 287B</t>
  </si>
  <si>
    <t>109A_NB</t>
  </si>
  <si>
    <t>160C, 350A, lc5J, lcBa, 050B, 109B</t>
  </si>
  <si>
    <t>109B, 050B, 050Z, 266A</t>
  </si>
  <si>
    <t>109A_SB</t>
  </si>
  <si>
    <t>266A, 050B, 109B</t>
  </si>
  <si>
    <t>109B, 050B, lcBa, lc5J, 350A, 160C</t>
  </si>
  <si>
    <t>109B_NB</t>
  </si>
  <si>
    <t>109A, 266A, 050B</t>
  </si>
  <si>
    <t>109B_SB</t>
  </si>
  <si>
    <t>050B, 050Z, 266A, 109A</t>
  </si>
  <si>
    <t>112A_EB</t>
  </si>
  <si>
    <t>160A, 285B</t>
  </si>
  <si>
    <t>160A, 017B</t>
  </si>
  <si>
    <t>112A_WB</t>
  </si>
  <si>
    <t>017B, 160A, 160Z, 160A</t>
  </si>
  <si>
    <t>113A_NB</t>
  </si>
  <si>
    <t>138A, 138Z, 006Z, 006J, 076A, 385D, 138A, 011A, N-27, I-80NE</t>
  </si>
  <si>
    <t>113A_SB</t>
  </si>
  <si>
    <t>I-80NE, N-27, 011A, 138A, 385D, 076A, 006J, 138A</t>
  </si>
  <si>
    <t>115A_NB</t>
  </si>
  <si>
    <t>067B, 050A</t>
  </si>
  <si>
    <t>050A, 025A</t>
  </si>
  <si>
    <t>115A_SB</t>
  </si>
  <si>
    <t>025A, 050A</t>
  </si>
  <si>
    <t>050A, 067B</t>
  </si>
  <si>
    <t>116A_EB</t>
  </si>
  <si>
    <t>287A, 050B, 089A</t>
  </si>
  <si>
    <t>116A_WB</t>
  </si>
  <si>
    <t>089A, 050B, 287A</t>
  </si>
  <si>
    <t>119A_NB</t>
  </si>
  <si>
    <t>006G, 093A, 072A</t>
  </si>
  <si>
    <t>072A, 093A</t>
  </si>
  <si>
    <t>119A_SB</t>
  </si>
  <si>
    <t>093A, 072A</t>
  </si>
  <si>
    <t>072A, 093A, 006G</t>
  </si>
  <si>
    <t>119B_EB</t>
  </si>
  <si>
    <t>036B, 007C, 157A</t>
  </si>
  <si>
    <t>157A, 007C, 287C</t>
  </si>
  <si>
    <t>052A, 287C</t>
  </si>
  <si>
    <t>052A, 025A, 119C</t>
  </si>
  <si>
    <t>119B_WB</t>
  </si>
  <si>
    <t>119C, 025A, 052A</t>
  </si>
  <si>
    <t>287C, 052A</t>
  </si>
  <si>
    <t>287C, 007C, 036B</t>
  </si>
  <si>
    <t>157A, 007C, 036B</t>
  </si>
  <si>
    <t>119C_EB</t>
  </si>
  <si>
    <t>119B, 287C, 066B, 025A</t>
  </si>
  <si>
    <t>119C_WB</t>
  </si>
  <si>
    <t>025A, 066B, 287C, 119B</t>
  </si>
  <si>
    <t>121A_NB</t>
  </si>
  <si>
    <t>470A, 285D, 391A, 008A</t>
  </si>
  <si>
    <t>008A, 391A, 070A</t>
  </si>
  <si>
    <t>006G, 095A, 036B</t>
  </si>
  <si>
    <t>076A, 095A, 036B</t>
  </si>
  <si>
    <t>006G, 025A, 128B, 287C</t>
  </si>
  <si>
    <t>121A_SB</t>
  </si>
  <si>
    <t>287C, 128B, 025A, 006G</t>
  </si>
  <si>
    <t>036B, 095A, 076A</t>
  </si>
  <si>
    <t>036B, 095A, 006G</t>
  </si>
  <si>
    <t>070A, 391A, 008A</t>
  </si>
  <si>
    <t>008A, 391A, 285D, 470A</t>
  </si>
  <si>
    <t>125A_NB</t>
  </si>
  <si>
    <t>040A, 040Z, 013B, WYO789, I-80WY</t>
  </si>
  <si>
    <t>127A, WYO230, WYO130, I-80WY</t>
  </si>
  <si>
    <t>125A_SB</t>
  </si>
  <si>
    <t>I-80WY, WYO130, WYO230, 127A</t>
  </si>
  <si>
    <t>I-80WY, WYO789, 013B, 040A</t>
  </si>
  <si>
    <t>127A_NB</t>
  </si>
  <si>
    <t>125A, WYO230, WYO130</t>
  </si>
  <si>
    <t>127A_SB</t>
  </si>
  <si>
    <t>WYO130, WYO230, 125A</t>
  </si>
  <si>
    <t>128A_EB</t>
  </si>
  <si>
    <t>093A, 170A, 036B, 121A</t>
  </si>
  <si>
    <t>128A_WB</t>
  </si>
  <si>
    <t>121A, 036B, 170A, 093A</t>
  </si>
  <si>
    <t>128B_EB</t>
  </si>
  <si>
    <t>287C, 470N, 025A</t>
  </si>
  <si>
    <t>128B_WB</t>
  </si>
  <si>
    <t>025A, 036B, 287C</t>
  </si>
  <si>
    <t>131A_NB</t>
  </si>
  <si>
    <t>070A, 070G, 006E</t>
  </si>
  <si>
    <t>131A_SB</t>
  </si>
  <si>
    <t>006E, 070G, 070A</t>
  </si>
  <si>
    <t>131B_NB</t>
  </si>
  <si>
    <t>006E, 131A, 070A, 006F, 009D, 040A</t>
  </si>
  <si>
    <t>134A, 040A</t>
  </si>
  <si>
    <t>131B_SB</t>
  </si>
  <si>
    <t>040A, 009D, 070A, 131A, 006E</t>
  </si>
  <si>
    <t>133A_NB</t>
  </si>
  <si>
    <t>092A, 050A, 141B, 070B, 070A, 082A</t>
  </si>
  <si>
    <t>133A_SB</t>
  </si>
  <si>
    <t>082A, 070A, 070B, 141B, 050A, 092A</t>
  </si>
  <si>
    <t>134A_EB</t>
  </si>
  <si>
    <t>131B, 040A</t>
  </si>
  <si>
    <t>134A_WB</t>
  </si>
  <si>
    <t>040A, 131B</t>
  </si>
  <si>
    <t>138A_EB</t>
  </si>
  <si>
    <t>006J, 076A, 055A</t>
  </si>
  <si>
    <t>138Z, 006Z, 006J, 076A, 055A</t>
  </si>
  <si>
    <t>059B, 076A, 385D</t>
  </si>
  <si>
    <t>138A_WB</t>
  </si>
  <si>
    <t>385D, 076A, 059B</t>
  </si>
  <si>
    <t>055A, 076A, 006J</t>
  </si>
  <si>
    <t>055A, 076A, 006J, 006Z</t>
  </si>
  <si>
    <t>139A_NB</t>
  </si>
  <si>
    <t>070A, 006A</t>
  </si>
  <si>
    <t>070A, 013C, lcRi, lcCR, 013A, 064A</t>
  </si>
  <si>
    <t>139A_SB</t>
  </si>
  <si>
    <t>064A, 013A, lcCR, lcRi, 070A</t>
  </si>
  <si>
    <t>006A, 070A</t>
  </si>
  <si>
    <t>140A_NB</t>
  </si>
  <si>
    <t>US64NM, NM516, US550NM, 550A, 160A</t>
  </si>
  <si>
    <t>140A_SB</t>
  </si>
  <si>
    <t>160A, 550A, US550NM, NM516, US64NM</t>
  </si>
  <si>
    <t>141A_NB</t>
  </si>
  <si>
    <t>491B, US491UT, US191UT, UT46, 090A</t>
  </si>
  <si>
    <t>145A, 062A, 550B, 050A</t>
  </si>
  <si>
    <t>141A_SB</t>
  </si>
  <si>
    <t>050A, 550B, 062A, 145A</t>
  </si>
  <si>
    <t>090A, UT46, US191UT, US491UT, 491B</t>
  </si>
  <si>
    <t>141B_NB</t>
  </si>
  <si>
    <t>050A, 070B</t>
  </si>
  <si>
    <t>141B_SB</t>
  </si>
  <si>
    <t>070B, 070Z, 050A</t>
  </si>
  <si>
    <t>142A_EB</t>
  </si>
  <si>
    <t>285A, 160A, 159A</t>
  </si>
  <si>
    <t>142A_WB</t>
  </si>
  <si>
    <t>159A, 160A, 160Z, 285A</t>
  </si>
  <si>
    <t>144A_EB</t>
  </si>
  <si>
    <t>lc76, 006I, 039A</t>
  </si>
  <si>
    <t>144A_WB</t>
  </si>
  <si>
    <t>039A, 006I, lc76</t>
  </si>
  <si>
    <t>145A_NB</t>
  </si>
  <si>
    <t>160A, 491C, 491B, 184A</t>
  </si>
  <si>
    <t>160A, 184B</t>
  </si>
  <si>
    <t>160A, 550B, 062A</t>
  </si>
  <si>
    <t>184A, 491B, 141A</t>
  </si>
  <si>
    <t>145A_SB</t>
  </si>
  <si>
    <t>141A, 491B, 184A</t>
  </si>
  <si>
    <t>062A, 550B, 160A</t>
  </si>
  <si>
    <t>184B, 160A</t>
  </si>
  <si>
    <t>184A, 491B, 491C, 160A</t>
  </si>
  <si>
    <t>149A_NB</t>
  </si>
  <si>
    <t>160A, 112A, 285B, 050A</t>
  </si>
  <si>
    <t>149A_SB</t>
  </si>
  <si>
    <t>050A, 285B, 112A, 160A</t>
  </si>
  <si>
    <t>151A_NB</t>
  </si>
  <si>
    <t>172A, 160A</t>
  </si>
  <si>
    <t>151A_SB</t>
  </si>
  <si>
    <t>160A, 172A</t>
  </si>
  <si>
    <t>157A_NB</t>
  </si>
  <si>
    <t>036B, 007C</t>
  </si>
  <si>
    <t>036B, 119B</t>
  </si>
  <si>
    <t>157A_SB</t>
  </si>
  <si>
    <t>119B, 036B, 007C</t>
  </si>
  <si>
    <t>007C, 036B, lcTM</t>
  </si>
  <si>
    <t>159A_NB</t>
  </si>
  <si>
    <t>US64NM, US285NM, 285A, 160A</t>
  </si>
  <si>
    <t>159A_SB</t>
  </si>
  <si>
    <t>160A, 160Z, 285A, US285NM, US64NM</t>
  </si>
  <si>
    <t>160A_EB</t>
  </si>
  <si>
    <t>160A_WB</t>
  </si>
  <si>
    <t>160B_EB</t>
  </si>
  <si>
    <t>025C, 025A, 010A</t>
  </si>
  <si>
    <t>160B_WB</t>
  </si>
  <si>
    <t>025A, 025C</t>
  </si>
  <si>
    <t>160C_EB</t>
  </si>
  <si>
    <t>025A, I-25NM, US64NM, US56NM, US56OK, US287OK, 287A, US160KS</t>
  </si>
  <si>
    <t>350A, lc5J, lcBa, 050B, US50KS, K-27, US160KS</t>
  </si>
  <si>
    <t>160C_WB</t>
  </si>
  <si>
    <t>US160KS, K-27, US50KS, 050B, lcBa, lc5J, 350A</t>
  </si>
  <si>
    <t>US160KS, 287A, US287OK, US56OK, US56NM, US64NM, I-25NM, 025A</t>
  </si>
  <si>
    <t>165A_EB</t>
  </si>
  <si>
    <t>096A, 045A, 025A</t>
  </si>
  <si>
    <t>165A_WB</t>
  </si>
  <si>
    <t>025A, 045A, 096A</t>
  </si>
  <si>
    <t>167A_NB</t>
  </si>
  <si>
    <t>167A_SB</t>
  </si>
  <si>
    <t>170A_EB</t>
  </si>
  <si>
    <t>170A_WB</t>
  </si>
  <si>
    <t>036B, 121A, 128A, 093A</t>
  </si>
  <si>
    <t>172A_NB</t>
  </si>
  <si>
    <t>US64NM, US550NM, 550A, 160A</t>
  </si>
  <si>
    <t>151A, 160A</t>
  </si>
  <si>
    <t>172A_SB</t>
  </si>
  <si>
    <t>160A, 151A</t>
  </si>
  <si>
    <t>160A, 550A, US550NM, US64NM</t>
  </si>
  <si>
    <t>177A_NB</t>
  </si>
  <si>
    <t>470A, 025A, 285D</t>
  </si>
  <si>
    <t>177A_SB</t>
  </si>
  <si>
    <t>285D, 025A, 470A</t>
  </si>
  <si>
    <t>184A_EB</t>
  </si>
  <si>
    <t>491B, 491C, 160A, 145A</t>
  </si>
  <si>
    <t>184A_WB</t>
  </si>
  <si>
    <t>145A, 160A, 491C, 491B</t>
  </si>
  <si>
    <t>184B_EB</t>
  </si>
  <si>
    <t>160A, 160D</t>
  </si>
  <si>
    <t>184B_WB</t>
  </si>
  <si>
    <t>160D, 160A</t>
  </si>
  <si>
    <t>202A_EB</t>
  </si>
  <si>
    <t>050B, 266A, 050Z</t>
  </si>
  <si>
    <t>202A_WB</t>
  </si>
  <si>
    <t>050Z, 050B</t>
  </si>
  <si>
    <t>207A_NB</t>
  </si>
  <si>
    <t>050B, 167A, 096B</t>
  </si>
  <si>
    <t>207A_SB</t>
  </si>
  <si>
    <t>096B, 167A, 050B</t>
  </si>
  <si>
    <t>209A_NB</t>
  </si>
  <si>
    <t>050B, 096B</t>
  </si>
  <si>
    <t>209A_SB</t>
  </si>
  <si>
    <t>096B, 050B</t>
  </si>
  <si>
    <t>224A_EB</t>
  </si>
  <si>
    <t>036B, 025A, 053A, 025A</t>
  </si>
  <si>
    <t>036B, 270B, 076A</t>
  </si>
  <si>
    <t>036B, 270B, 076A, 006H</t>
  </si>
  <si>
    <t>224A_WB</t>
  </si>
  <si>
    <t>006H, 270A, 270B, 036B</t>
  </si>
  <si>
    <t>076A, 270B, 036B</t>
  </si>
  <si>
    <t>225A_NB</t>
  </si>
  <si>
    <t>025A, 030A, 083A</t>
  </si>
  <si>
    <t>083A, 030A</t>
  </si>
  <si>
    <t>025A, 002A, 070A</t>
  </si>
  <si>
    <t>225A_SB</t>
  </si>
  <si>
    <t>070A, 040C</t>
  </si>
  <si>
    <t>070A, 002A, 025A</t>
  </si>
  <si>
    <t>030A, 083A</t>
  </si>
  <si>
    <t>083A, 030A, 285D, 025A</t>
  </si>
  <si>
    <t>231A_NB</t>
  </si>
  <si>
    <t>050C, 050B</t>
  </si>
  <si>
    <t>231A_SB</t>
  </si>
  <si>
    <t>050B, 050C</t>
  </si>
  <si>
    <t>257A_NB</t>
  </si>
  <si>
    <t>060B, 025A, 014C</t>
  </si>
  <si>
    <t>257A_SB</t>
  </si>
  <si>
    <t>014C, 025A, 060B</t>
  </si>
  <si>
    <t>266A_EB</t>
  </si>
  <si>
    <t>050B, 050Z</t>
  </si>
  <si>
    <t>050B, 109B, 109A</t>
  </si>
  <si>
    <t>266A_WB</t>
  </si>
  <si>
    <t>109A, 109B, 050B, 050Z</t>
  </si>
  <si>
    <t>050Z, 202A, 050B</t>
  </si>
  <si>
    <t>036B, 025A, 070A</t>
  </si>
  <si>
    <t>036B, 270B, 270A, 006H, 002A, 070A</t>
  </si>
  <si>
    <t>036B, 270B, 270A, 035A, 070A</t>
  </si>
  <si>
    <t>070A, 035A, 270A, 270B, 036B</t>
  </si>
  <si>
    <t>070A, 002A, 006H, 270A, 270B, 036B</t>
  </si>
  <si>
    <t>070A, 025A, 036B</t>
  </si>
  <si>
    <t>285A_NB</t>
  </si>
  <si>
    <t>285A_SB</t>
  </si>
  <si>
    <t>285B_NB</t>
  </si>
  <si>
    <t>160A, 112A</t>
  </si>
  <si>
    <t>112A, 017B</t>
  </si>
  <si>
    <t>114A, 050A</t>
  </si>
  <si>
    <t>285B_SB</t>
  </si>
  <si>
    <t>050A, 114A</t>
  </si>
  <si>
    <t>017B, 112A</t>
  </si>
  <si>
    <t>112A, 160A</t>
  </si>
  <si>
    <t>285C_NB</t>
  </si>
  <si>
    <t>050A, 291A</t>
  </si>
  <si>
    <t>050A, 009A, 024A</t>
  </si>
  <si>
    <t>285C_SB</t>
  </si>
  <si>
    <t>024A, 009A, 050A</t>
  </si>
  <si>
    <t>291A, 050A</t>
  </si>
  <si>
    <t>285D_NB</t>
  </si>
  <si>
    <t>024A, 009B</t>
  </si>
  <si>
    <t>024A, 025A</t>
  </si>
  <si>
    <t>009C, 070A, 006G, 025A</t>
  </si>
  <si>
    <t>008A, 470A</t>
  </si>
  <si>
    <t>470A, 008A, 391A</t>
  </si>
  <si>
    <t>391A, 008A, 121A</t>
  </si>
  <si>
    <t>470A, 070A, 006G, 025A</t>
  </si>
  <si>
    <t>088A, 085B</t>
  </si>
  <si>
    <t>085B, 025A</t>
  </si>
  <si>
    <t>285D_SB</t>
  </si>
  <si>
    <t>025A, 002A</t>
  </si>
  <si>
    <t>025A, lcff, 085B</t>
  </si>
  <si>
    <t>085B, 088A</t>
  </si>
  <si>
    <t>025A, 006G, 070A, 470A</t>
  </si>
  <si>
    <t>121A, 008A, 391A</t>
  </si>
  <si>
    <t>391A, 008A, 470A</t>
  </si>
  <si>
    <t>470A, 008A</t>
  </si>
  <si>
    <t>025A, 006G, 070A, 009C</t>
  </si>
  <si>
    <t>285D_SB_104</t>
  </si>
  <si>
    <t>025A, 024A</t>
  </si>
  <si>
    <t>285D_SB_106</t>
  </si>
  <si>
    <t>009B, 024A</t>
  </si>
  <si>
    <t>287A_NB</t>
  </si>
  <si>
    <t>287A_SB</t>
  </si>
  <si>
    <t>287B_NB</t>
  </si>
  <si>
    <t>050B, 196A</t>
  </si>
  <si>
    <t>050B, 385A, 096D</t>
  </si>
  <si>
    <t>096D, 385B, 040H</t>
  </si>
  <si>
    <t>287B_SB</t>
  </si>
  <si>
    <t>040H, 385B, 096D</t>
  </si>
  <si>
    <t>096D, 385A, 050B</t>
  </si>
  <si>
    <t>196A, 050B</t>
  </si>
  <si>
    <t>287C_NB</t>
  </si>
  <si>
    <t>088A, 040C, 025A, 036B</t>
  </si>
  <si>
    <t>036B, 025A, 128B</t>
  </si>
  <si>
    <t>128B, 025A, 470N</t>
  </si>
  <si>
    <t>121A, 036B, lc96, 470N</t>
  </si>
  <si>
    <t>128B, 025A, 007D</t>
  </si>
  <si>
    <t>042A, 007C</t>
  </si>
  <si>
    <t>007D, 025A, 066B</t>
  </si>
  <si>
    <t>052A, 119B</t>
  </si>
  <si>
    <t>052A, 025A, 066B</t>
  </si>
  <si>
    <t>066B, 025A, 392A</t>
  </si>
  <si>
    <t>287C_SB</t>
  </si>
  <si>
    <t>392A, 025A, 066B</t>
  </si>
  <si>
    <t>066B, 025A, 052A</t>
  </si>
  <si>
    <t>119B, 052A</t>
  </si>
  <si>
    <t>066B, 025A, 007D</t>
  </si>
  <si>
    <t>007C, 042A</t>
  </si>
  <si>
    <t>007D, 025A, 128B</t>
  </si>
  <si>
    <t>470N, 025A, 128B</t>
  </si>
  <si>
    <t>128B, 025A, 036B</t>
  </si>
  <si>
    <t>036B, 025A, 040C</t>
  </si>
  <si>
    <t>291A_NB</t>
  </si>
  <si>
    <t>050A, 285C</t>
  </si>
  <si>
    <t>291A_SB</t>
  </si>
  <si>
    <t>285C, 050A</t>
  </si>
  <si>
    <t>340A_EB</t>
  </si>
  <si>
    <t>006A, 139A, 070A</t>
  </si>
  <si>
    <t>340A_WB</t>
  </si>
  <si>
    <t>070A, 139A, 006A</t>
  </si>
  <si>
    <t>348A_EB</t>
  </si>
  <si>
    <t>050D, 050A</t>
  </si>
  <si>
    <t>348A_WB</t>
  </si>
  <si>
    <t>050A, 050D</t>
  </si>
  <si>
    <t>350A_EB</t>
  </si>
  <si>
    <t>160C, 239A, 025A, 010A, 050B, lc3J, lcBa, lc5J</t>
  </si>
  <si>
    <t>071A, 010A, 050B, lc3J, lcBa, lc5J</t>
  </si>
  <si>
    <t>350A_WB</t>
  </si>
  <si>
    <t>lc5J, lcBa, lc3J, 050B, 010A, 071A</t>
  </si>
  <si>
    <t>lc5J, lcBa, lc3J, 050B, 010A, 160B, 025A, 160C</t>
  </si>
  <si>
    <t>368A_EB</t>
  </si>
  <si>
    <t>370A, 285A</t>
  </si>
  <si>
    <t>368A_WB</t>
  </si>
  <si>
    <t>285A, 370A</t>
  </si>
  <si>
    <t>370A_EB</t>
  </si>
  <si>
    <t>015A, 160A, 285A</t>
  </si>
  <si>
    <t>368A, 285A</t>
  </si>
  <si>
    <t>370A_WB</t>
  </si>
  <si>
    <t>285A, 368A</t>
  </si>
  <si>
    <t>285A, 160Z, 160A, 015A</t>
  </si>
  <si>
    <t>371A_NB</t>
  </si>
  <si>
    <t>015B, 285A, 368A</t>
  </si>
  <si>
    <t>371A_SB</t>
  </si>
  <si>
    <t>368A, 285A, 015B</t>
  </si>
  <si>
    <t>385A_NB</t>
  </si>
  <si>
    <t>050B, 287B, 096D</t>
  </si>
  <si>
    <t>385A_SB</t>
  </si>
  <si>
    <t>096D, 287B, 050B</t>
  </si>
  <si>
    <t>385B_NB</t>
  </si>
  <si>
    <t>096D, 287B, 040H</t>
  </si>
  <si>
    <t>385B_SB</t>
  </si>
  <si>
    <t>040H, 287B, 096D</t>
  </si>
  <si>
    <t>385C_NB</t>
  </si>
  <si>
    <t>040H, US40KS, K-27, I-70KS, 070A</t>
  </si>
  <si>
    <t>070A, 070Q, 024D</t>
  </si>
  <si>
    <t>070A, I-70KS, K-27, US36KS, 036D</t>
  </si>
  <si>
    <t>385C_SB</t>
  </si>
  <si>
    <t>036D, US36KS, K-27, I-70KS, 070A</t>
  </si>
  <si>
    <t>024D, 070Q, 070A</t>
  </si>
  <si>
    <t>070A, I-70KS, K-27, US40KS, 040H</t>
  </si>
  <si>
    <t>385D_NB</t>
  </si>
  <si>
    <t>036D, US36KS, K-27, N-27, US34NE, 034B</t>
  </si>
  <si>
    <t>034B, 059B, 076A</t>
  </si>
  <si>
    <t>006J, 059B, 076A</t>
  </si>
  <si>
    <t>076A, I-76NE, I-80NE, US138NE, 138A</t>
  </si>
  <si>
    <t>385D_SB</t>
  </si>
  <si>
    <t>138A, US138NE, I-80NE, I-76NE, 076A</t>
  </si>
  <si>
    <t>076A, 059B, 006J</t>
  </si>
  <si>
    <t>076A, 059B, 034B</t>
  </si>
  <si>
    <t>034B, US34NE, N-27, K-27, US36KS, 036D</t>
  </si>
  <si>
    <t>385E_NB</t>
  </si>
  <si>
    <t>385E_SB</t>
  </si>
  <si>
    <t>389A_NB</t>
  </si>
  <si>
    <t>US64NM, I-25NM, 025A, 160C</t>
  </si>
  <si>
    <t>389A_SB</t>
  </si>
  <si>
    <t>160C, 025A, I-25NM, US64NM</t>
  </si>
  <si>
    <t>391A_NB</t>
  </si>
  <si>
    <t>285D, 121A, 006G</t>
  </si>
  <si>
    <t>006G, 121A, 040C</t>
  </si>
  <si>
    <t>040C, lcDW, 070A</t>
  </si>
  <si>
    <t>391A_SB</t>
  </si>
  <si>
    <t>070A, lcDW, 040C</t>
  </si>
  <si>
    <t>040C, 121A, 285D</t>
  </si>
  <si>
    <t>006G, 121A, 285D</t>
  </si>
  <si>
    <t>392A_EB</t>
  </si>
  <si>
    <t>287C, 287Z, 034A, 025A</t>
  </si>
  <si>
    <t>392A_WB</t>
  </si>
  <si>
    <t>257A, 034A, 025A</t>
  </si>
  <si>
    <t>025A, 034A, 287C</t>
  </si>
  <si>
    <t>392B_EB</t>
  </si>
  <si>
    <t>257A, 014C</t>
  </si>
  <si>
    <t>085L, 014C</t>
  </si>
  <si>
    <t>392B_WB</t>
  </si>
  <si>
    <t>014C, 085L</t>
  </si>
  <si>
    <t>014C, 257A</t>
  </si>
  <si>
    <t>394A_NB</t>
  </si>
  <si>
    <t>040A, 013B, 040Z</t>
  </si>
  <si>
    <t>394A_SB</t>
  </si>
  <si>
    <t>040Z, 040A</t>
  </si>
  <si>
    <t>402A_EB</t>
  </si>
  <si>
    <t>287C, 034A, 025A</t>
  </si>
  <si>
    <t>402A_WB</t>
  </si>
  <si>
    <t>025A, 034A, 287Z, 287C</t>
  </si>
  <si>
    <t>006G, 025A</t>
  </si>
  <si>
    <t>025A, 006G</t>
  </si>
  <si>
    <t>470B_NB</t>
  </si>
  <si>
    <t>lcQE, 030A, lcJe</t>
  </si>
  <si>
    <t>470B_SB</t>
  </si>
  <si>
    <t>lcJe, 030A, lcQE</t>
  </si>
  <si>
    <t>470N_EB</t>
  </si>
  <si>
    <t>lc96, 036B, 121A, 287C</t>
  </si>
  <si>
    <t>287C, 007D, 025A</t>
  </si>
  <si>
    <t>470N_WB</t>
  </si>
  <si>
    <t>025A, 128B, 287C, 121A, 036B, lc96</t>
  </si>
  <si>
    <t>287C, 121A, 036B, lc96</t>
  </si>
  <si>
    <t>491A_NB</t>
  </si>
  <si>
    <t>491A_SB</t>
  </si>
  <si>
    <t>491B_NB</t>
  </si>
  <si>
    <t>160A, 041A, UT162, UT262, US191UT</t>
  </si>
  <si>
    <t>491B_SB</t>
  </si>
  <si>
    <t>US191UT, UT262, UT162, 041A, 160A</t>
  </si>
  <si>
    <t>491C_NB</t>
  </si>
  <si>
    <t>160A, 491B</t>
  </si>
  <si>
    <t>491C_SB</t>
  </si>
  <si>
    <t>491B, 160A</t>
  </si>
  <si>
    <t>550A_NB</t>
  </si>
  <si>
    <t>US550NM, NM516, NM547, NM170, 140A, 160A</t>
  </si>
  <si>
    <t>550A_SB</t>
  </si>
  <si>
    <t>160A, 140A, NM170, NM547, NM516, US550NM</t>
  </si>
  <si>
    <t>550B_NB</t>
  </si>
  <si>
    <t>160A, 145A, 062A</t>
  </si>
  <si>
    <t>160A, 149A, 050A</t>
  </si>
  <si>
    <t>550B_SB</t>
  </si>
  <si>
    <t>050A, 149A, 160A</t>
  </si>
  <si>
    <t>062A, 145A, 160A</t>
  </si>
  <si>
    <t>MPDirection</t>
  </si>
  <si>
    <t>CardinalDir</t>
  </si>
  <si>
    <t>RoutePlusDir</t>
  </si>
  <si>
    <t>DetourSequence</t>
  </si>
  <si>
    <t>AlgSequence</t>
  </si>
  <si>
    <t>NameInRouteSystem</t>
  </si>
  <si>
    <t>RouteSystemFileBase</t>
  </si>
  <si>
    <t>StartMP</t>
  </si>
  <si>
    <t>EndMP</t>
  </si>
  <si>
    <t>AddedTime</t>
  </si>
  <si>
    <t>AddedDist</t>
  </si>
  <si>
    <t>RoutesUsedOnDetour</t>
  </si>
  <si>
    <t>MPSort</t>
  </si>
  <si>
    <t>(historic Gypsum, EGE), Post Blvd</t>
  </si>
  <si>
    <t>(historic Broadway St)</t>
  </si>
  <si>
    <t>(historic Bridge St Brighton)</t>
  </si>
  <si>
    <t>(historic Academy Blvd)</t>
  </si>
  <si>
    <t>(historic Colorado Ave COS)</t>
  </si>
  <si>
    <t>(historic Circle Dr, Nevada Ave)</t>
  </si>
  <si>
    <t>EngrRegion</t>
  </si>
  <si>
    <t>InsetMap</t>
  </si>
  <si>
    <t>070B, 050A, 115A, 025A, 024H, 024G, 024F</t>
  </si>
  <si>
    <t>024F, 024G, 021B, 024H, 025A, 115A, 050A, 070Z, 070B, 006A</t>
  </si>
  <si>
    <t>Detour_070A_GWC</t>
  </si>
  <si>
    <t>006A, 139A</t>
  </si>
  <si>
    <t>006A, 340A</t>
  </si>
  <si>
    <t>340A, 006A</t>
  </si>
  <si>
    <t>070B, 006C</t>
  </si>
  <si>
    <t>070B, 050A, 092A, 133A, 082A</t>
  </si>
  <si>
    <t>006M, lcPa</t>
  </si>
  <si>
    <t>lcPa, 006M, lcRu</t>
  </si>
  <si>
    <t>lcRu, 006M</t>
  </si>
  <si>
    <t>006M, 006L, lcCR, lcRi, 013C</t>
  </si>
  <si>
    <t>013C, lcRi, lcWh, lcCR, 006D, 070E</t>
  </si>
  <si>
    <t>070E, 006D, lcCV</t>
  </si>
  <si>
    <t>lcCV, 006D</t>
  </si>
  <si>
    <t>070F, 006E, 131A</t>
  </si>
  <si>
    <t>131A, 006E, 070G</t>
  </si>
  <si>
    <t>070G, 006E, lcAv</t>
  </si>
  <si>
    <t>lcAv, 006E</t>
  </si>
  <si>
    <t>024A, 091A</t>
  </si>
  <si>
    <t>131A, 006E, 131B, 134A, 040A, 009D, 006F</t>
  </si>
  <si>
    <t>009C, 285D, 470A, 470B, lcGC</t>
  </si>
  <si>
    <t>006G, 040B</t>
  </si>
  <si>
    <t>lcBB, 040B</t>
  </si>
  <si>
    <t>006G, 058A</t>
  </si>
  <si>
    <t>040C, lcGr</t>
  </si>
  <si>
    <t>lcGr, 040C, lcJu</t>
  </si>
  <si>
    <t>lcJu, 040C</t>
  </si>
  <si>
    <t>470W, 006G, 040C</t>
  </si>
  <si>
    <t>040C, lcDW</t>
  </si>
  <si>
    <t>225A, 040C</t>
  </si>
  <si>
    <t>470A, 470B, 083A, 086A</t>
  </si>
  <si>
    <t>036C, 070L</t>
  </si>
  <si>
    <t>070L, 036C, 079A</t>
  </si>
  <si>
    <t>079A, 036C, 036D, 070M</t>
  </si>
  <si>
    <t>lc15, 036D, 070M</t>
  </si>
  <si>
    <t>070M, 036D</t>
  </si>
  <si>
    <t>lcPC, 040E, 070N</t>
  </si>
  <si>
    <t>036D, 071D, 024G</t>
  </si>
  <si>
    <t>024F, 024G</t>
  </si>
  <si>
    <t>024G, 040H</t>
  </si>
  <si>
    <t>036D, 059A</t>
  </si>
  <si>
    <t>059A, 024B, 070P</t>
  </si>
  <si>
    <t>070P, 024B, 057A</t>
  </si>
  <si>
    <t>057A, 024C, lcBe</t>
  </si>
  <si>
    <t>lcBe, 024C, 385C</t>
  </si>
  <si>
    <t>385C, 024D, 070Q</t>
  </si>
  <si>
    <t>070Q, 024D, 385C</t>
  </si>
  <si>
    <t>385C, 024C, lcBe</t>
  </si>
  <si>
    <t>lcBe, 024C, 057A</t>
  </si>
  <si>
    <t>057A, 024B, 070P</t>
  </si>
  <si>
    <t>070P, 024B, 059A</t>
  </si>
  <si>
    <t>059A, 036D</t>
  </si>
  <si>
    <t>024G, 024F</t>
  </si>
  <si>
    <t>024G, 071D, 036D</t>
  </si>
  <si>
    <t>086A, 083A, 470B, 470A, 470W</t>
  </si>
  <si>
    <t>070N, 040E, lcPC</t>
  </si>
  <si>
    <t>036D, 070M</t>
  </si>
  <si>
    <t>070M, 036D, lc15</t>
  </si>
  <si>
    <t>070M, 036D, 036C, 079A</t>
  </si>
  <si>
    <t>079A, 036C, 070L</t>
  </si>
  <si>
    <t>070L, 036C</t>
  </si>
  <si>
    <t>040C, 225A</t>
  </si>
  <si>
    <t>040C, 025A, 006G</t>
  </si>
  <si>
    <t>095A, 076A</t>
  </si>
  <si>
    <t>lcDW, 040C</t>
  </si>
  <si>
    <t>040C, 006G, 470W</t>
  </si>
  <si>
    <t>040C, lcJu</t>
  </si>
  <si>
    <t>lcJu, 040C, lcGr</t>
  </si>
  <si>
    <t>lcGr, 040C</t>
  </si>
  <si>
    <t>058A, 006G</t>
  </si>
  <si>
    <t>074A, 040B, lcHo</t>
  </si>
  <si>
    <t>040B, 006G</t>
  </si>
  <si>
    <t>lcGC, 470B, 470A, 285D, 009C</t>
  </si>
  <si>
    <t>006F, 009D</t>
  </si>
  <si>
    <t>009D, 040A, 134A, 131B, 006E, 131A</t>
  </si>
  <si>
    <t>091A, 024A, 006E</t>
  </si>
  <si>
    <t>006E, lcAv</t>
  </si>
  <si>
    <t>lcAv, 006E, 070G</t>
  </si>
  <si>
    <t>070G, 006E, 131A</t>
  </si>
  <si>
    <t>131A, 006E, 070F</t>
  </si>
  <si>
    <t>082A, 133A, 092A, 050A, 070Z, 070B, 006A</t>
  </si>
  <si>
    <t>006D, lcCV</t>
  </si>
  <si>
    <t>lcCV, 006D, 070E</t>
  </si>
  <si>
    <t>070E, 006D, lcCR, lcWh, lcRi</t>
  </si>
  <si>
    <t>lcRi, lcCR, 006L</t>
  </si>
  <si>
    <t>006L, 006M, lcRu</t>
  </si>
  <si>
    <t>lcRu, 006M, lcPa</t>
  </si>
  <si>
    <t>lcPa, 006M</t>
  </si>
  <si>
    <t>006C, 070B</t>
  </si>
  <si>
    <t>070B, 070Z, 070B, 006A</t>
  </si>
  <si>
    <t>139A, 006A</t>
  </si>
  <si>
    <t>Bethune</t>
  </si>
  <si>
    <t>ClosureMiles</t>
  </si>
  <si>
    <t>PrimaryMatch</t>
  </si>
  <si>
    <t>SecondaryMatch</t>
  </si>
  <si>
    <t>Example: 070A</t>
  </si>
  <si>
    <t>Milepost</t>
  </si>
  <si>
    <t>Min MP</t>
  </si>
  <si>
    <t>Max MP</t>
  </si>
  <si>
    <t>Miles</t>
  </si>
  <si>
    <t>002B</t>
  </si>
  <si>
    <t>263A</t>
  </si>
  <si>
    <t>Enter the closure location in the blue highlighted cells</t>
  </si>
  <si>
    <t>TwoWayMatch</t>
  </si>
  <si>
    <t>(Unless there are errors,) The PrimaryMatch, SecondaryMatch, and TwoWayMatch fields of the DetourInfo tab may be used to filter for detours</t>
  </si>
  <si>
    <t>NB only; within interchange</t>
  </si>
  <si>
    <t>Bennett</t>
  </si>
  <si>
    <t>Greeley</t>
  </si>
  <si>
    <t>Rifle</t>
  </si>
  <si>
    <t>La Junta</t>
  </si>
  <si>
    <t>New Castle</t>
  </si>
  <si>
    <t>Denver West</t>
  </si>
  <si>
    <t>Harlan</t>
  </si>
  <si>
    <t>Burnham</t>
  </si>
  <si>
    <t>Flatiron</t>
  </si>
  <si>
    <t>Denver Industrial</t>
  </si>
  <si>
    <t>Arapahoe Crossing</t>
  </si>
  <si>
    <t>Avon</t>
  </si>
  <si>
    <t>Conifer</t>
  </si>
  <si>
    <t>Venetucci</t>
  </si>
  <si>
    <t>Henderson</t>
  </si>
  <si>
    <t>Coalbank</t>
  </si>
  <si>
    <t>Fisher</t>
  </si>
  <si>
    <t>Parachute</t>
  </si>
  <si>
    <t>Rulison</t>
  </si>
  <si>
    <t>Mount Vernon</t>
  </si>
  <si>
    <t>Gun Club</t>
  </si>
  <si>
    <t>Floyd Hill</t>
  </si>
  <si>
    <t>Johnsons Corner</t>
  </si>
  <si>
    <t>Wiggins</t>
  </si>
  <si>
    <t>Parmalee</t>
  </si>
  <si>
    <t>Roselawn</t>
  </si>
  <si>
    <t>Deer Trail</t>
  </si>
  <si>
    <t>Ken Caryl</t>
  </si>
  <si>
    <t>Downtown Pueblo</t>
  </si>
  <si>
    <t>Table Mesa</t>
  </si>
  <si>
    <t>Highlands Ranch</t>
  </si>
  <si>
    <t>Peterson</t>
  </si>
  <si>
    <t>Sedalia</t>
  </si>
  <si>
    <t>Platteville</t>
  </si>
  <si>
    <t>Map Count</t>
  </si>
  <si>
    <t>Average of EngrRegion</t>
  </si>
  <si>
    <t>Santa Fe</t>
  </si>
  <si>
    <t>Faster by US 160A</t>
  </si>
  <si>
    <t>Faster by I-70A</t>
  </si>
  <si>
    <t>Faster by I-70BZ</t>
  </si>
  <si>
    <t>Faster by I-76A</t>
  </si>
  <si>
    <t>Faster by SH 7A</t>
  </si>
  <si>
    <t>Faster by US 160A, I-70C, I-70A</t>
  </si>
  <si>
    <t>Faster by US 24A</t>
  </si>
  <si>
    <t>Faster by SH 83A I-225A</t>
  </si>
  <si>
    <t>Faster by US 85L &amp; US 34A</t>
  </si>
  <si>
    <t>Faster by I-70A &amp; I-70L</t>
  </si>
  <si>
    <t>Faster by I-70L, I-70A &amp; SH 79A</t>
  </si>
  <si>
    <t>Faster by SH 7C &amp; US 287C</t>
  </si>
  <si>
    <t>Faster by US 50A</t>
  </si>
  <si>
    <t>Faster by I-25A &amp; SH 224A</t>
  </si>
  <si>
    <t>Faster by US 34B, SH 63A &amp; I-76A</t>
  </si>
  <si>
    <t>Faster by I-70A &amp; C-470A</t>
  </si>
  <si>
    <t>Faster by I-25A</t>
  </si>
  <si>
    <t>Faster by US 85C</t>
  </si>
  <si>
    <t>Faster by US 50A US 285B</t>
  </si>
  <si>
    <t>Faster by SH 115A US 50A</t>
  </si>
  <si>
    <t>Faster by SH 113A</t>
  </si>
  <si>
    <t>Faster by SH 39A &amp; I-76A</t>
  </si>
  <si>
    <t>Faster by SH 145A &amp; US 160A</t>
  </si>
  <si>
    <t>Faster by SH 109 &amp; US 50B</t>
  </si>
  <si>
    <t>Faster by US 50B &amp; US 287B</t>
  </si>
  <si>
    <t>Faster by I-70A &amp; I-70B</t>
  </si>
  <si>
    <t>Faster EB by I-76A</t>
  </si>
  <si>
    <t>NWB faster by E-470B</t>
  </si>
  <si>
    <t>Spur - no detour possible; 
SB faster by CD ramps</t>
  </si>
  <si>
    <t>Faster WB by US 85A US 285D</t>
  </si>
  <si>
    <t>Condition</t>
  </si>
  <si>
    <t xml:space="preserve">Default Value for Added Time (minutes) </t>
  </si>
  <si>
    <t xml:space="preserve">Default Value for Added Distance (miles) </t>
  </si>
  <si>
    <t xml:space="preserve">Note in RoutesUsedOnDetour </t>
  </si>
  <si>
    <t xml:space="preserve">No detour is possible because fewer than two segment endpoints connect to the rest of the state highway network </t>
  </si>
  <si>
    <t>Algorithm fails because the subject segment isn't the fastest path between its endpoints</t>
  </si>
  <si>
    <t xml:space="preserve">- Detour not possible - </t>
  </si>
  <si>
    <t xml:space="preserve">- Within interchange - </t>
  </si>
  <si>
    <t xml:space="preserve">Detour was not constructed because model link is within an interchange (or a complex at-grade intersection) </t>
  </si>
  <si>
    <t>002B_NB</t>
  </si>
  <si>
    <t>002B_SB</t>
  </si>
  <si>
    <t>002D_NB</t>
  </si>
  <si>
    <t>002D_SB</t>
  </si>
  <si>
    <t>006B_EB</t>
  </si>
  <si>
    <t>006B_WB</t>
  </si>
  <si>
    <t>006C_WB</t>
  </si>
  <si>
    <t>006D_EB</t>
  </si>
  <si>
    <t>006D_WB</t>
  </si>
  <si>
    <t>006F_EB</t>
  </si>
  <si>
    <t>006F_WB</t>
  </si>
  <si>
    <t>006I_EB</t>
  </si>
  <si>
    <t>006I_WB</t>
  </si>
  <si>
    <t>006M_EB</t>
  </si>
  <si>
    <t>006M_WB</t>
  </si>
  <si>
    <t>006N_EB</t>
  </si>
  <si>
    <t>006N_WB</t>
  </si>
  <si>
    <t>012A_EB</t>
  </si>
  <si>
    <t>012A_WB</t>
  </si>
  <si>
    <t>013C_NB</t>
  </si>
  <si>
    <t>013C_SB</t>
  </si>
  <si>
    <t>024E_EB</t>
  </si>
  <si>
    <t>024E_WB</t>
  </si>
  <si>
    <t>025B_WB</t>
  </si>
  <si>
    <t>025B_EB</t>
  </si>
  <si>
    <t>053A_NB</t>
  </si>
  <si>
    <t>053A_SB</t>
  </si>
  <si>
    <t>067D_NB</t>
  </si>
  <si>
    <t>067D_SB</t>
  </si>
  <si>
    <t>067E_NB</t>
  </si>
  <si>
    <t>067E_SB</t>
  </si>
  <si>
    <t>070K_EB</t>
  </si>
  <si>
    <t>070K_WB</t>
  </si>
  <si>
    <t>070O_EB</t>
  </si>
  <si>
    <t>070O_WB</t>
  </si>
  <si>
    <t>070R_EB</t>
  </si>
  <si>
    <t>070R_WB</t>
  </si>
  <si>
    <t>074A_EB</t>
  </si>
  <si>
    <t>076B_SB</t>
  </si>
  <si>
    <t>076B_NB</t>
  </si>
  <si>
    <t>085A_NB</t>
  </si>
  <si>
    <t>085A_SB</t>
  </si>
  <si>
    <t>103A_SB</t>
  </si>
  <si>
    <t>103A_NB</t>
  </si>
  <si>
    <t>105A_WB</t>
  </si>
  <si>
    <t>105A_EB</t>
  </si>
  <si>
    <t>121B_NB</t>
  </si>
  <si>
    <t>121B_SB</t>
  </si>
  <si>
    <t>194A_EB</t>
  </si>
  <si>
    <t>194A_WB</t>
  </si>
  <si>
    <t>227A_NB</t>
  </si>
  <si>
    <t>227A_SB</t>
  </si>
  <si>
    <t>257B_EB</t>
  </si>
  <si>
    <t>257B_WB</t>
  </si>
  <si>
    <t>265B_NB</t>
  </si>
  <si>
    <t>265B_SB</t>
  </si>
  <si>
    <t>270A_EB</t>
  </si>
  <si>
    <t>270A_WB</t>
  </si>
  <si>
    <t>270B_EB</t>
  </si>
  <si>
    <t>270B_WB</t>
  </si>
  <si>
    <t>470A_EB</t>
  </si>
  <si>
    <t>470A_WB</t>
  </si>
  <si>
    <t>470W_WB</t>
  </si>
  <si>
    <t>470W_EB</t>
  </si>
  <si>
    <t>003A_NB</t>
  </si>
  <si>
    <t>003A_SB</t>
  </si>
  <si>
    <t>340A, 070A</t>
  </si>
  <si>
    <t>070A, 340A</t>
  </si>
  <si>
    <t>070B, 070Z, 070B</t>
  </si>
  <si>
    <t>006C_EB</t>
  </si>
  <si>
    <t>070B, 070A</t>
  </si>
  <si>
    <t>070A, 070B</t>
  </si>
  <si>
    <t>lcRi, 070A, 070E</t>
  </si>
  <si>
    <t>070E, 070A, lcRi</t>
  </si>
  <si>
    <t>070E, 070A, lcCV</t>
  </si>
  <si>
    <t>lcCV, 070A, 070E</t>
  </si>
  <si>
    <t>lcCV, 070A</t>
  </si>
  <si>
    <t>070A, lcCV</t>
  </si>
  <si>
    <t>131A, 070A, 070G</t>
  </si>
  <si>
    <t>070G, 070A, 131A</t>
  </si>
  <si>
    <t>070G, 070A, lcAv</t>
  </si>
  <si>
    <t>lcAV, 070A, 070G</t>
  </si>
  <si>
    <t>034E, 076A, 063A</t>
  </si>
  <si>
    <t>070A, lcPa</t>
  </si>
  <si>
    <t>lcPa, 070A</t>
  </si>
  <si>
    <t>lcPa, 070A, lcRu</t>
  </si>
  <si>
    <t>lcRu, 070A, lcPa</t>
  </si>
  <si>
    <t>lcRu, 070A</t>
  </si>
  <si>
    <t>006L, 070A, lcRu</t>
  </si>
  <si>
    <t>007E_EB</t>
  </si>
  <si>
    <t>007E_WB</t>
  </si>
  <si>
    <t>160A, 025C, 025A</t>
  </si>
  <si>
    <t>025A, 025C, 160A</t>
  </si>
  <si>
    <t>024B_EB</t>
  </si>
  <si>
    <t>024B_WB</t>
  </si>
  <si>
    <t>059A, 070A, 070P</t>
  </si>
  <si>
    <t>070P, 070A, 059A</t>
  </si>
  <si>
    <t>070P, 070A, 057A</t>
  </si>
  <si>
    <t>057A, 070A, 070P</t>
  </si>
  <si>
    <t>024C_WB</t>
  </si>
  <si>
    <t>024C_EB</t>
  </si>
  <si>
    <t>057A, 070A, lcBe</t>
  </si>
  <si>
    <t>lcBe, 070A, 385C</t>
  </si>
  <si>
    <t>lcBe, 070A, 057A</t>
  </si>
  <si>
    <t>385C, 070A, lcBe</t>
  </si>
  <si>
    <t>[Detour comments about what route is faster]</t>
  </si>
  <si>
    <t>070A, 040H</t>
  </si>
  <si>
    <t>083A, 225A</t>
  </si>
  <si>
    <t>225A, 083A</t>
  </si>
  <si>
    <t>lcJe, 470B, lcQE</t>
  </si>
  <si>
    <t>lcQE, 470B, lcJe</t>
  </si>
  <si>
    <t>076A, 052B</t>
  </si>
  <si>
    <t>052B, 076A</t>
  </si>
  <si>
    <t>052B, 076A, 071E</t>
  </si>
  <si>
    <t>071E, 076A, 052B</t>
  </si>
  <si>
    <t>085L, 034A</t>
  </si>
  <si>
    <t>034A, 085L</t>
  </si>
  <si>
    <t>070A, 070L</t>
  </si>
  <si>
    <t>070L, 070A</t>
  </si>
  <si>
    <t>070L, 070A, 079A</t>
  </si>
  <si>
    <t>079A, 070A, 070L</t>
  </si>
  <si>
    <t>lcBB, 070A</t>
  </si>
  <si>
    <t>070A, lcBB</t>
  </si>
  <si>
    <t>070A lcGr</t>
  </si>
  <si>
    <t>lcGr, 070A</t>
  </si>
  <si>
    <t>lcGr, 070A, lcJu</t>
  </si>
  <si>
    <t>lcJu, 070A, lcGr</t>
  </si>
  <si>
    <t>lcJu, 070A</t>
  </si>
  <si>
    <t>070A, lcJu</t>
  </si>
  <si>
    <t>040E_EB</t>
  </si>
  <si>
    <t>040E_WB</t>
  </si>
  <si>
    <t>lcPC, 070A, 070N</t>
  </si>
  <si>
    <t>070N, 070A, lcPC</t>
  </si>
  <si>
    <t>042A_EB</t>
  </si>
  <si>
    <t>042A_WB</t>
  </si>
  <si>
    <t>007C, 287C</t>
  </si>
  <si>
    <t>287C, 007C</t>
  </si>
  <si>
    <t>050D_EB</t>
  </si>
  <si>
    <t>050D_WB</t>
  </si>
  <si>
    <t>050A, 348A</t>
  </si>
  <si>
    <t>348A, 050A</t>
  </si>
  <si>
    <t>025A, 224A</t>
  </si>
  <si>
    <t>224A, 025A</t>
  </si>
  <si>
    <t>061A_NB</t>
  </si>
  <si>
    <t>061A_SB</t>
  </si>
  <si>
    <t>034B, 063A, 076A, 006J</t>
  </si>
  <si>
    <t>006J, 076A, 063A, 034B</t>
  </si>
  <si>
    <t>074A_WB</t>
  </si>
  <si>
    <t>070A, 470A, 008A</t>
  </si>
  <si>
    <t>008A, 470A, 070A</t>
  </si>
  <si>
    <t>025A, 016A</t>
  </si>
  <si>
    <t>016A, 025A</t>
  </si>
  <si>
    <t>085F_NB</t>
  </si>
  <si>
    <t>085F_SB</t>
  </si>
  <si>
    <t>066B, 085C, lcPl</t>
  </si>
  <si>
    <t>lcPl, 085C, 066B</t>
  </si>
  <si>
    <t>066B, 085C</t>
  </si>
  <si>
    <t>085C, 066B</t>
  </si>
  <si>
    <t>088G_EB_004</t>
  </si>
  <si>
    <t>285D, 085B</t>
  </si>
  <si>
    <t>085B, 285D</t>
  </si>
  <si>
    <t>114A_EB</t>
  </si>
  <si>
    <t>114A_WB</t>
  </si>
  <si>
    <t>050A, 285B</t>
  </si>
  <si>
    <t>285B, 050A</t>
  </si>
  <si>
    <t>120A_EB</t>
  </si>
  <si>
    <t>120A_WB</t>
  </si>
  <si>
    <t>113B_NB</t>
  </si>
  <si>
    <t>113B_SB</t>
  </si>
  <si>
    <t>055A, 076A, 059B</t>
  </si>
  <si>
    <t>059B, 076A, 055A</t>
  </si>
  <si>
    <t>160D_WB</t>
  </si>
  <si>
    <t>160D_EB</t>
  </si>
  <si>
    <t>145A, 160A</t>
  </si>
  <si>
    <t>160A, 145A</t>
  </si>
  <si>
    <t>196A_EB</t>
  </si>
  <si>
    <t>196A_WB</t>
  </si>
  <si>
    <t>050B, 287B</t>
  </si>
  <si>
    <t>109A, 109B, 050B</t>
  </si>
  <si>
    <t>287B, 050B</t>
  </si>
  <si>
    <t>005A_SB</t>
  </si>
  <si>
    <t>005A_NB</t>
  </si>
  <si>
    <t>006K_EB</t>
  </si>
  <si>
    <t>006K_WB</t>
  </si>
  <si>
    <t>022A_WB</t>
  </si>
  <si>
    <t>022A_EB</t>
  </si>
  <si>
    <t>024I_EB</t>
  </si>
  <si>
    <t>024I_WB</t>
  </si>
  <si>
    <t>034F_EB</t>
  </si>
  <si>
    <t>034F_WB</t>
  </si>
  <si>
    <t>040D_EB</t>
  </si>
  <si>
    <t>040D_WB</t>
  </si>
  <si>
    <t>040F_EB</t>
  </si>
  <si>
    <t>040F_WB</t>
  </si>
  <si>
    <t>040G_EB</t>
  </si>
  <si>
    <t>040G_WB</t>
  </si>
  <si>
    <t>044A_EB</t>
  </si>
  <si>
    <t>044A_WB</t>
  </si>
  <si>
    <t>046A_EB</t>
  </si>
  <si>
    <t>046A_WB</t>
  </si>
  <si>
    <t>067C_NB</t>
  </si>
  <si>
    <t>067C_SB</t>
  </si>
  <si>
    <t>067F_NB</t>
  </si>
  <si>
    <t>067F_SB</t>
  </si>
  <si>
    <t>075B_SB</t>
  </si>
  <si>
    <t>075B_NB</t>
  </si>
  <si>
    <t>078B_WB</t>
  </si>
  <si>
    <t>078B_EB</t>
  </si>
  <si>
    <t>090B_EB</t>
  </si>
  <si>
    <t>090B_WB</t>
  </si>
  <si>
    <t>097A_NB</t>
  </si>
  <si>
    <t>097A_SB</t>
  </si>
  <si>
    <t>100A_SB</t>
  </si>
  <si>
    <t>100A_NB</t>
  </si>
  <si>
    <t>101A_SB</t>
  </si>
  <si>
    <t>101A_NB</t>
  </si>
  <si>
    <t>105A_NB</t>
  </si>
  <si>
    <t>105A_SB</t>
  </si>
  <si>
    <t>105B_NB</t>
  </si>
  <si>
    <t>105B_SB</t>
  </si>
  <si>
    <t>110A_NB</t>
  </si>
  <si>
    <t>110A_SB</t>
  </si>
  <si>
    <t>135A_NB</t>
  </si>
  <si>
    <t>135A_SB</t>
  </si>
  <si>
    <t>136A_EB</t>
  </si>
  <si>
    <t>136A_WB</t>
  </si>
  <si>
    <t>150A_NB</t>
  </si>
  <si>
    <t>150A_SB</t>
  </si>
  <si>
    <t>183A_SB</t>
  </si>
  <si>
    <t>183A_NB</t>
  </si>
  <si>
    <t>239A_NB</t>
  </si>
  <si>
    <t>239A_SB</t>
  </si>
  <si>
    <t>265A_NB</t>
  </si>
  <si>
    <t>265A_SB</t>
  </si>
  <si>
    <t>300A_WB</t>
  </si>
  <si>
    <t>300A_EB</t>
  </si>
  <si>
    <t>317A_EB</t>
  </si>
  <si>
    <t>317A_WB</t>
  </si>
  <si>
    <t>318A_EB</t>
  </si>
  <si>
    <t>318A_WB</t>
  </si>
  <si>
    <t>325A_NB</t>
  </si>
  <si>
    <t>325A_SB</t>
  </si>
  <si>
    <t>330A_EB</t>
  </si>
  <si>
    <t>330A_WB</t>
  </si>
  <si>
    <t>347A_NB</t>
  </si>
  <si>
    <t>347A_SB</t>
  </si>
  <si>
    <t>394A_EB</t>
  </si>
  <si>
    <t>394A_WB</t>
  </si>
  <si>
    <t>012A, 160A, 025C, 160B</t>
  </si>
  <si>
    <t>025C, 160B</t>
  </si>
  <si>
    <t>010A, 160B, 025C</t>
  </si>
  <si>
    <t>045A, 050A</t>
  </si>
  <si>
    <t>I-25NM, NM599, US84NM, US285NM, 285A, 160A, 017B, 285B, 050A, 285C, 024A, 285D, 470A, 070A, 076A</t>
  </si>
  <si>
    <t>lcPu, 050C, 096A, 047A, 050B</t>
  </si>
  <si>
    <t>050B, 047A</t>
  </si>
  <si>
    <t>085A, 016A</t>
  </si>
  <si>
    <t>016A, 021A, 024H</t>
  </si>
  <si>
    <t xml:space="preserve"> 060B, lc25, 060A, 287C, 402A</t>
  </si>
  <si>
    <t>402A, 287C, 034A</t>
  </si>
  <si>
    <t>034A, 287C, 392A</t>
  </si>
  <si>
    <t>392A, 257A, 014C</t>
  </si>
  <si>
    <t>014C, 287C, 001A</t>
  </si>
  <si>
    <t>470B, lc47, 085C, 034A, 085L, US85WY, I-80WY</t>
  </si>
  <si>
    <t>I-80WY, US85WY, 085L, 034A, 085C, lc47, 470B</t>
  </si>
  <si>
    <t>001A, 287C, 014C</t>
  </si>
  <si>
    <t>014C, 257A, 392A</t>
  </si>
  <si>
    <t>392A, 287C, 287Z, 034A</t>
  </si>
  <si>
    <t>034A, 287Z, 287C, 402A</t>
  </si>
  <si>
    <t>402A, 287C, 060A, lc25, 060B</t>
  </si>
  <si>
    <t>024H, 021A, 016A</t>
  </si>
  <si>
    <t>016A, 085A</t>
  </si>
  <si>
    <t>047A, 050B</t>
  </si>
  <si>
    <t>050B, 096A, 050C</t>
  </si>
  <si>
    <t>050A, 045A</t>
  </si>
  <si>
    <t>076A, 070A, 470A, 285D, 024A, 285C, 050A, 285B, 017B, 160A, 160Z, 285A, US285NM, US84NM, NM599, I-25NM</t>
  </si>
  <si>
    <t>160B, 025C</t>
  </si>
  <si>
    <t>160B, 025C, 160A, 012A</t>
  </si>
  <si>
    <t>071E, 076A, 034E</t>
  </si>
  <si>
    <t>071E, 076A, 006J, US6NE, US34NE</t>
  </si>
  <si>
    <t>US34NE, US6NE, 006J, 076A, 071E</t>
  </si>
  <si>
    <t>034E, 006J, 076A, 071E</t>
  </si>
  <si>
    <t>059A, 070A, I-70KS, US24KS, US83KS, US36KS</t>
  </si>
  <si>
    <t>US36KS, US83KS, US24KS, I-70KS, 070A, 059A</t>
  </si>
  <si>
    <t>US40UT, US191UT, I-80WY, WYO789, 013B</t>
  </si>
  <si>
    <t>064A, 013A</t>
  </si>
  <si>
    <t>064A, 013A, lcCR, lcRi, 013C, 070A, 131A, 006E, 131B</t>
  </si>
  <si>
    <t>131B, 006E, 131A, 070A, lcRi, lcCR, 013A, 064A</t>
  </si>
  <si>
    <t>013A, 064A</t>
  </si>
  <si>
    <t>013B, WYO789, I-80WY, US191UT, US40UT</t>
  </si>
  <si>
    <t>385C, 070A, I-70KS, US40KS</t>
  </si>
  <si>
    <t>US40KS, I-70KS, 070A, 385C</t>
  </si>
  <si>
    <t>025A, 047A</t>
  </si>
  <si>
    <t>025A, 050C</t>
  </si>
  <si>
    <t>231A, 050C</t>
  </si>
  <si>
    <t>096B, 209A</t>
  </si>
  <si>
    <t>096B, 167A</t>
  </si>
  <si>
    <t>096B, 207A</t>
  </si>
  <si>
    <t>096B, 071C</t>
  </si>
  <si>
    <t>096B, 071C, 096C, 287B</t>
  </si>
  <si>
    <t>071B, 010A</t>
  </si>
  <si>
    <t>266A, 109A, 109B</t>
  </si>
  <si>
    <t>lc3J, lcBa</t>
  </si>
  <si>
    <t>109B, 109A, 194A</t>
  </si>
  <si>
    <t>196A, 287B</t>
  </si>
  <si>
    <t>096B, 071C, 096C, 287B, 096D, K-96, US83KS, US50KS</t>
  </si>
  <si>
    <t>US50KS, US83KS, K-96, 096D, 287B, 096C, 071C, 096B</t>
  </si>
  <si>
    <t>287B, 196A</t>
  </si>
  <si>
    <t>287B, 096C, 071C, 096B</t>
  </si>
  <si>
    <t>194A, 109A, 109B</t>
  </si>
  <si>
    <t>109B, 109A, 266A</t>
  </si>
  <si>
    <t>lcBa, lc3J</t>
  </si>
  <si>
    <t>010A, 071B, 266A</t>
  </si>
  <si>
    <t>071C, 096B</t>
  </si>
  <si>
    <t>207A, 096B</t>
  </si>
  <si>
    <t>167A, 096B</t>
  </si>
  <si>
    <t>209A, 096B</t>
  </si>
  <si>
    <t>050C, 231A</t>
  </si>
  <si>
    <t>050C, lcPu, 025A</t>
  </si>
  <si>
    <t>047A, 025A</t>
  </si>
  <si>
    <t>070A, 095A</t>
  </si>
  <si>
    <t>070A, 287C</t>
  </si>
  <si>
    <t>070A, 025A</t>
  </si>
  <si>
    <t>287C, 036B, 270B</t>
  </si>
  <si>
    <t>270A, 006H</t>
  </si>
  <si>
    <t>224A, 006H</t>
  </si>
  <si>
    <t>025A, 470B</t>
  </si>
  <si>
    <t>085C, lc47, 470B [u-turn, 470B]</t>
  </si>
  <si>
    <t>085C, 034A, 006I</t>
  </si>
  <si>
    <t>039A, 144A</t>
  </si>
  <si>
    <t>034B, 052B</t>
  </si>
  <si>
    <t>144A, 052B</t>
  </si>
  <si>
    <t>052B, 034B, 071E</t>
  </si>
  <si>
    <t>I-70UT, US191UT, UT46, 090A, 141A, 050A, 141B, 070B</t>
  </si>
  <si>
    <t>070B, 141B, 050A, 141A, 090A, UT46, US191UT, I-70UT</t>
  </si>
  <si>
    <t>040H, US40KS, US83KS, I-70KS</t>
  </si>
  <si>
    <t>I-70KS, US83KS, US40KS, 040H</t>
  </si>
  <si>
    <t>071E, 034B, 034E</t>
  </si>
  <si>
    <t>071E, 014C, 006J</t>
  </si>
  <si>
    <t>063A, 006J</t>
  </si>
  <si>
    <t>006J, 138A, 055A</t>
  </si>
  <si>
    <t>055A, 138A, 059B</t>
  </si>
  <si>
    <t>059B, 138A, 055A</t>
  </si>
  <si>
    <t>055A, 138A, 138Z, 006Z, 006J</t>
  </si>
  <si>
    <t>006J, 006Z, 006J, 063A</t>
  </si>
  <si>
    <t>006J, 006Z, 014C, 071E</t>
  </si>
  <si>
    <t>006J, 034E, 034B, 071E</t>
  </si>
  <si>
    <t>071E, 034B, 052B</t>
  </si>
  <si>
    <t>052B, 144A</t>
  </si>
  <si>
    <t>052B, 034B</t>
  </si>
  <si>
    <t>144A, 039A</t>
  </si>
  <si>
    <t>039A, 006I</t>
  </si>
  <si>
    <t>034A, 085C</t>
  </si>
  <si>
    <t>470B, 025A</t>
  </si>
  <si>
    <t>006H, 224A</t>
  </si>
  <si>
    <t>006H, 270A</t>
  </si>
  <si>
    <t>270B, 036B, 224A, 025A, 070A</t>
  </si>
  <si>
    <t>025A, 070A</t>
  </si>
  <si>
    <t>287C, 070A</t>
  </si>
  <si>
    <t>US84NM, US64NM, NM539, NM511, 172A, 151A, 160A</t>
  </si>
  <si>
    <t>160A, 151A, 172A, NM511, NM539, US64NM, US84NM</t>
  </si>
  <si>
    <t>034A, 085G, 034D, 085H</t>
  </si>
  <si>
    <t>034D, 085H</t>
  </si>
  <si>
    <t>034A, 025A, I-25WY, I-80WY, US85WY</t>
  </si>
  <si>
    <t>US85WY, I-80WY, I-25WY, 025A, 034A</t>
  </si>
  <si>
    <t>085H, 034D, 085G, 034A</t>
  </si>
  <si>
    <t>085H, 034D</t>
  </si>
  <si>
    <t>385E, US385NE, N-25A, I-80NE, US138NE</t>
  </si>
  <si>
    <t>011A, N-27, I-80NE, US138NE</t>
  </si>
  <si>
    <t>385D, 076A, I-76NE, I-80NE, US138NE</t>
  </si>
  <si>
    <t>US138NE, I-80NE, N-27, 011A</t>
  </si>
  <si>
    <t>US138NE, I-80NE, N-25A, US385NE, 385E</t>
  </si>
  <si>
    <t>491B, 491C</t>
  </si>
  <si>
    <t>US160AZ, US64AZ, US64NM, NM017, 017A, 285A</t>
  </si>
  <si>
    <t>160D, 184B</t>
  </si>
  <si>
    <t>184B, 160D</t>
  </si>
  <si>
    <t>US160AZ, US64AZ, US64NM, NM017, 017A, 285A, 142A, 159A</t>
  </si>
  <si>
    <t>US160AZ, US64AZ, US64NM, US550NM, I-25NM, 025A, 025C</t>
  </si>
  <si>
    <t>025C, 025A, I-25NM, US550NM, US64NM, US64AZ, US160AZ</t>
  </si>
  <si>
    <t>159A, 142A, 285A, 017A, NM017, US64NM, US64AZ, US160AZ</t>
  </si>
  <si>
    <t>491C, 491B</t>
  </si>
  <si>
    <t>285A, 017A, NM017, US64NM, US64AZ, US160AZ</t>
  </si>
  <si>
    <t>142A, 159A, 160A, 160Z</t>
  </si>
  <si>
    <t>US285NM, US64NM, NM522, 159A, 160A, 160Z</t>
  </si>
  <si>
    <t>015B, 371A, 368A</t>
  </si>
  <si>
    <t>015B, 371A, 368A, 370A</t>
  </si>
  <si>
    <t>015B, 371A, 368A, 370A, 015A, 160A</t>
  </si>
  <si>
    <t>160A, 160Z</t>
  </si>
  <si>
    <t>160Z, 160A</t>
  </si>
  <si>
    <t>160Z, 160A, 015A, 370A, 368A, 371A, 015B</t>
  </si>
  <si>
    <t>370A, 368A, 371A, 015B</t>
  </si>
  <si>
    <t>368A, 371A, 015B</t>
  </si>
  <si>
    <t>160A, 159A, 142A</t>
  </si>
  <si>
    <t>160A, 159A, NM522, US64NM, US285NM</t>
  </si>
  <si>
    <t>US287OK, US56OK, US56NM, US64NM, NM325, NM456, NM551, 389A, 160C</t>
  </si>
  <si>
    <t>160C, US160KS, K-27, US50KS, 050B</t>
  </si>
  <si>
    <t>050B, US50KS, K-27, US160KS, 160C</t>
  </si>
  <si>
    <t>160C, 389A, NM551, NM456, NM325, US64NM, US56NM, US56OK, US287OK</t>
  </si>
  <si>
    <t>392A, 025A, I-25WY, I-80WY, US287WY</t>
  </si>
  <si>
    <t>US287WY, I-80WY, I-25WY, 025A, 392A</t>
  </si>
  <si>
    <t>138A, 011A, N-27, I-80NE, US385NE</t>
  </si>
  <si>
    <t>US385NE, I-80NE, N-27, 011A, 138A</t>
  </si>
  <si>
    <t>US491NM, US64NM, US64AZ, US160AZ, US160NM, 160A</t>
  </si>
  <si>
    <t>160A, US160NM, US160AZ, US64AZ, US64NM, US491NM</t>
  </si>
  <si>
    <t>160A, 491C</t>
  </si>
  <si>
    <t>160A, 145A, 184A</t>
  </si>
  <si>
    <t>184A, 145A, 160A</t>
  </si>
  <si>
    <t>491C, 160A</t>
  </si>
  <si>
    <t>006Z, 063A, 076A</t>
  </si>
  <si>
    <t>040A, 040Z</t>
  </si>
  <si>
    <t>040Z, 394A, 040A</t>
  </si>
  <si>
    <t>470B, [u-turn, 470B] lc47, 085C</t>
  </si>
  <si>
    <t>287B, 040H, 385B</t>
  </si>
  <si>
    <t>385B, 040H, 287B</t>
  </si>
  <si>
    <t>040A, 014A</t>
  </si>
  <si>
    <t>014A, 040A</t>
  </si>
  <si>
    <t>Raritan Way</t>
  </si>
  <si>
    <t>How to use this tool:</t>
  </si>
  <si>
    <t>Go to Closure Location tab.  Enter Route and MP of the closure location.</t>
  </si>
  <si>
    <t xml:space="preserve">Go to Detour Info tab -- clear all filters using the Data tab in the Ribbon / Toolbar at the top of the screen.  </t>
  </si>
  <si>
    <t>In the Detour Info tab -- go to columns P, Q or R to select the types of detours you desire.  Then within one of those columns select filter and filter to "yes"</t>
  </si>
  <si>
    <t xml:space="preserve">The appropriate detours for the selected Route and MP will be shown.  </t>
  </si>
  <si>
    <t>Primary Match</t>
  </si>
  <si>
    <t>Secondary Match</t>
  </si>
  <si>
    <t>Two/Way Match</t>
  </si>
  <si>
    <t>Column</t>
  </si>
  <si>
    <t>P</t>
  </si>
  <si>
    <t>Q</t>
  </si>
  <si>
    <t>R</t>
  </si>
  <si>
    <t>How to decide which kind of detour you want?</t>
  </si>
  <si>
    <t>Type of Detour</t>
  </si>
  <si>
    <t>Definition of type of detour</t>
  </si>
  <si>
    <t>Choose this if you need to find a detour for both directions of travel.</t>
  </si>
  <si>
    <t>Choose this if you need a detour for roadway's primary direction, typically northbound or eastbound. In this direction, mileposts increase in number.</t>
  </si>
  <si>
    <t>Choose this if you need a detour for roadway's secondary direction, typically southbound or westbound. In this direction, mileposts decrease in number.</t>
  </si>
  <si>
    <t>Go to columns P, Q or R and filter for "yes".</t>
  </si>
  <si>
    <t>A statewide map of the amount of  time added for detours is available in the State Detour Map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</si>
</sst>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5" fontId="0" fillId="0" borderId="0" xfId="0" applyNumberFormat="1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 applyFill="1"/>
    <xf numFmtId="0" fontId="0" fillId="3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5" borderId="0" xfId="0" applyFill="1"/>
    <xf numFmtId="0" fontId="0" fillId="6" borderId="0" xfId="0" applyFill="1"/>
    <xf numFmtId="0" fontId="4" fillId="7" borderId="0" xfId="0" applyFont="1" applyFill="1"/>
    <xf numFmtId="0" fontId="0" fillId="5" borderId="0" xfId="0" applyFill="1" applyAlignment="1">
      <alignment horizontal="center"/>
    </xf>
    <xf numFmtId="166" fontId="0" fillId="0" borderId="0" xfId="0" applyNumberFormat="1"/>
    <xf numFmtId="0" fontId="0" fillId="6" borderId="0" xfId="0" applyFill="1" applyAlignment="1">
      <alignment horizontal="center"/>
    </xf>
    <xf numFmtId="0" fontId="0" fillId="0" borderId="0" xfId="0" applyFont="1"/>
    <xf numFmtId="0" fontId="0" fillId="6" borderId="0" xfId="0" applyNumberFormat="1" applyFill="1"/>
    <xf numFmtId="164" fontId="0" fillId="4" borderId="0" xfId="0" applyNumberFormat="1" applyFill="1"/>
    <xf numFmtId="0" fontId="0" fillId="4" borderId="0" xfId="0" applyFill="1"/>
    <xf numFmtId="0" fontId="0" fillId="6" borderId="0" xfId="0" applyFill="1" applyAlignment="1">
      <alignment wrapText="1"/>
    </xf>
    <xf numFmtId="0" fontId="0" fillId="6" borderId="0" xfId="0" applyFill="1" applyAlignment="1">
      <alignment horizontal="left"/>
    </xf>
    <xf numFmtId="2" fontId="0" fillId="6" borderId="0" xfId="0" applyNumberFormat="1" applyFill="1"/>
    <xf numFmtId="166" fontId="0" fillId="6" borderId="0" xfId="0" applyNumberFormat="1" applyFill="1"/>
    <xf numFmtId="9" fontId="0" fillId="0" borderId="0" xfId="1" applyFont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ill="1" applyAlignment="1">
      <alignment wrapText="1"/>
    </xf>
    <xf numFmtId="0" fontId="0" fillId="11" borderId="0" xfId="0" applyFill="1"/>
    <xf numFmtId="2" fontId="0" fillId="0" borderId="0" xfId="0" applyNumberFormat="1"/>
    <xf numFmtId="0" fontId="7" fillId="0" borderId="0" xfId="0" applyFont="1"/>
    <xf numFmtId="0" fontId="0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164" fontId="0" fillId="13" borderId="0" xfId="0" applyNumberFormat="1" applyFill="1"/>
    <xf numFmtId="0" fontId="0" fillId="13" borderId="0" xfId="0" applyFill="1"/>
    <xf numFmtId="0" fontId="0" fillId="13" borderId="0" xfId="0" applyNumberFormat="1" applyFont="1" applyFill="1"/>
    <xf numFmtId="164" fontId="0" fillId="7" borderId="0" xfId="0" applyNumberFormat="1" applyFill="1"/>
    <xf numFmtId="0" fontId="0" fillId="7" borderId="0" xfId="0" applyFill="1"/>
    <xf numFmtId="0" fontId="0" fillId="7" borderId="0" xfId="0" applyNumberFormat="1" applyFont="1" applyFill="1"/>
    <xf numFmtId="164" fontId="0" fillId="12" borderId="0" xfId="0" applyNumberFormat="1" applyFill="1"/>
    <xf numFmtId="0" fontId="0" fillId="12" borderId="0" xfId="0" applyFill="1"/>
    <xf numFmtId="0" fontId="0" fillId="12" borderId="0" xfId="0" applyNumberFormat="1" applyFont="1" applyFill="1"/>
    <xf numFmtId="164" fontId="0" fillId="6" borderId="0" xfId="0" applyNumberFormat="1" applyFill="1"/>
    <xf numFmtId="0" fontId="8" fillId="0" borderId="0" xfId="0" applyFont="1"/>
    <xf numFmtId="0" fontId="0" fillId="0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164" fontId="0" fillId="3" borderId="0" xfId="0" applyNumberFormat="1" applyFill="1"/>
    <xf numFmtId="164" fontId="0" fillId="3" borderId="0" xfId="0" applyNumberFormat="1" applyFill="1" applyAlignment="1">
      <alignment wrapText="1"/>
    </xf>
    <xf numFmtId="0" fontId="9" fillId="0" borderId="0" xfId="0" applyFont="1"/>
    <xf numFmtId="0" fontId="10" fillId="0" borderId="0" xfId="0" applyFont="1"/>
  </cellXfs>
  <cellStyles count="2">
    <cellStyle name="Normal" xfId="0" builtinId="0"/>
    <cellStyle name="Percent" xfId="1" builtinId="5"/>
  </cellStyles>
  <dxfs count="42"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alignment horizontal="general" vertical="bottom" textRotation="0" wrapText="1" indent="0" justifyLastLine="0" shrinkToFit="0" readingOrder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"/>
    </dxf>
    <dxf>
      <font>
        <b/>
      </font>
    </dxf>
    <dxf>
      <numFmt numFmtId="165" formatCode="#,##0.000"/>
    </dxf>
    <dxf>
      <font>
        <i/>
      </font>
    </dxf>
    <dxf>
      <numFmt numFmtId="165" formatCode="#,##0.000"/>
    </dxf>
    <dxf>
      <font>
        <i/>
      </font>
    </dxf>
    <dxf>
      <numFmt numFmtId="164" formatCode="0.000"/>
    </dxf>
    <dxf>
      <numFmt numFmtId="164" formatCode="0.000"/>
    </dxf>
    <dxf>
      <font>
        <i/>
      </font>
    </dxf>
    <dxf>
      <font>
        <b/>
      </font>
      <numFmt numFmtId="0" formatCode="General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164" formatCode="0.000"/>
    </dxf>
    <dxf>
      <numFmt numFmtId="164" formatCode="0.00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171797</xdr:colOff>
      <xdr:row>25</xdr:row>
      <xdr:rowOff>171451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597" cy="493395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mming, M" refreshedDate="44076.737076157406" createdVersion="6" refreshedVersion="6" minRefreshableVersion="3" recordCount="979">
  <cacheSource type="worksheet">
    <worksheetSource name="Table1"/>
  </cacheSource>
  <cacheFields count="11">
    <cacheField name="StatewideID" numFmtId="0">
      <sharedItems/>
    </cacheField>
    <cacheField name="Route" numFmtId="0">
      <sharedItems count="294">
        <s v="001A"/>
        <s v="002A"/>
        <s v="002D"/>
        <s v="003A"/>
        <s v="005A"/>
        <s v="006A"/>
        <s v="006B"/>
        <s v="006C"/>
        <s v="006D"/>
        <s v="006E"/>
        <s v="006F"/>
        <s v="006G"/>
        <s v="006H"/>
        <s v="006I"/>
        <s v="006J"/>
        <s v="006K"/>
        <s v="006L"/>
        <s v="006M"/>
        <s v="006N"/>
        <s v="006Z"/>
        <s v="007A"/>
        <s v="007B"/>
        <s v="007C"/>
        <s v="007D"/>
        <s v="007E"/>
        <s v="008A"/>
        <s v="009A"/>
        <s v="009B"/>
        <s v="009C"/>
        <s v="009D"/>
        <s v="010A"/>
        <s v="011A"/>
        <s v="012A"/>
        <s v="013A"/>
        <s v="013B"/>
        <s v="013C"/>
        <s v="014A"/>
        <s v="014B"/>
        <s v="014C"/>
        <s v="015A"/>
        <s v="015B"/>
        <s v="016A"/>
        <s v="017A"/>
        <s v="017B"/>
        <s v="021A"/>
        <s v="021B"/>
        <s v="022A"/>
        <s v="023A"/>
        <s v="024A"/>
        <s v="024B"/>
        <s v="024C"/>
        <s v="024D"/>
        <s v="024E"/>
        <s v="024F"/>
        <s v="024G"/>
        <s v="024H"/>
        <s v="024I"/>
        <s v="025A"/>
        <s v="025B"/>
        <s v="025C"/>
        <s v="026B"/>
        <s v="030A"/>
        <s v="034A"/>
        <s v="034B"/>
        <s v="034C"/>
        <s v="034D"/>
        <s v="034E"/>
        <s v="034F"/>
        <s v="034Z"/>
        <s v="035A"/>
        <s v="036A"/>
        <s v="036B"/>
        <s v="036C"/>
        <s v="036D"/>
        <s v="036E"/>
        <s v="036Z"/>
        <s v="039A"/>
        <s v="040A"/>
        <s v="040B"/>
        <s v="040C"/>
        <s v="040D"/>
        <s v="040E"/>
        <s v="040F"/>
        <s v="040G"/>
        <s v="040H"/>
        <s v="040Z"/>
        <s v="041A"/>
        <s v="042A"/>
        <s v="044A"/>
        <s v="045A"/>
        <s v="046A"/>
        <s v="047A"/>
        <s v="050A"/>
        <s v="050B"/>
        <s v="050C"/>
        <s v="050D"/>
        <s v="050Z"/>
        <s v="052A"/>
        <s v="052B"/>
        <s v="053A"/>
        <s v="055A"/>
        <s v="056B"/>
        <s v="057A"/>
        <s v="058A"/>
        <s v="059A"/>
        <s v="059B"/>
        <s v="060A"/>
        <s v="060B"/>
        <s v="061A"/>
        <s v="062A"/>
        <s v="063A"/>
        <s v="064A"/>
        <s v="065A"/>
        <s v="066B"/>
        <s v="067A"/>
        <s v="067B"/>
        <s v="067C"/>
        <s v="067D"/>
        <s v="067E"/>
        <s v="067F"/>
        <s v="069A"/>
        <s v="070A"/>
        <s v="070B"/>
        <s v="070E"/>
        <s v="070F"/>
        <s v="070G"/>
        <s v="070K"/>
        <s v="070L"/>
        <s v="070M"/>
        <s v="070N"/>
        <s v="070O"/>
        <s v="070P"/>
        <s v="070Q"/>
        <s v="070R"/>
        <s v="070Z"/>
        <s v="071A"/>
        <s v="071B"/>
        <s v="071C"/>
        <s v="071D"/>
        <s v="071E"/>
        <s v="071F"/>
        <s v="072A"/>
        <s v="072B"/>
        <s v="074A"/>
        <s v="075B"/>
        <s v="076A"/>
        <s v="076B"/>
        <s v="078A"/>
        <s v="078B"/>
        <s v="079A"/>
        <s v="079B"/>
        <s v="082A"/>
        <s v="083A"/>
        <s v="084A"/>
        <s v="085A"/>
        <s v="085B"/>
        <s v="085C"/>
        <s v="085E"/>
        <s v="085F"/>
        <s v="085G"/>
        <s v="085H"/>
        <s v="085L"/>
        <s v="086A"/>
        <s v="086B"/>
        <s v="088A"/>
        <s v="088B"/>
        <s v="089A"/>
        <s v="090A"/>
        <s v="090B"/>
        <s v="091A"/>
        <s v="092A"/>
        <s v="093A"/>
        <s v="094A"/>
        <s v="095A"/>
        <s v="096A"/>
        <s v="096B"/>
        <s v="096C"/>
        <s v="096D"/>
        <s v="097A"/>
        <s v="100A"/>
        <s v="101A"/>
        <s v="103A"/>
        <s v="105A"/>
        <s v="105B"/>
        <s v="109A"/>
        <s v="109B"/>
        <s v="110A"/>
        <s v="112A"/>
        <s v="113A"/>
        <s v="114A"/>
        <s v="115A"/>
        <s v="116A"/>
        <s v="119A"/>
        <s v="119B"/>
        <s v="119C"/>
        <s v="120A"/>
        <s v="121A"/>
        <s v="121B"/>
        <s v="125A"/>
        <s v="127A"/>
        <s v="128A"/>
        <s v="128B"/>
        <s v="131A"/>
        <s v="131B"/>
        <s v="133A"/>
        <s v="133B"/>
        <s v="134A"/>
        <s v="135A"/>
        <s v="136A"/>
        <s v="138A"/>
        <s v="138Z"/>
        <s v="139A"/>
        <s v="140A"/>
        <s v="141A"/>
        <s v="141B"/>
        <s v="142A"/>
        <s v="144A"/>
        <s v="145A"/>
        <s v="149A"/>
        <s v="150A"/>
        <s v="151A"/>
        <s v="157A"/>
        <s v="159A"/>
        <s v="160A"/>
        <s v="160B"/>
        <s v="160C"/>
        <s v="160D"/>
        <s v="160Z"/>
        <s v="165A"/>
        <s v="167A"/>
        <s v="170A"/>
        <s v="172A"/>
        <s v="177A"/>
        <s v="183A"/>
        <s v="184A"/>
        <s v="184B"/>
        <s v="194A"/>
        <s v="196A"/>
        <s v="202A"/>
        <s v="207A"/>
        <s v="209A"/>
        <s v="224A"/>
        <s v="225A"/>
        <s v="227A"/>
        <s v="231A"/>
        <s v="239A"/>
        <s v="257A"/>
        <s v="257B"/>
        <s v="265A"/>
        <s v="265B"/>
        <s v="266A"/>
        <s v="270A"/>
        <s v="270B"/>
        <s v="285A"/>
        <s v="285B"/>
        <s v="285C"/>
        <s v="285D"/>
        <s v="287A"/>
        <s v="287B"/>
        <s v="287C"/>
        <s v="287Z"/>
        <s v="291A"/>
        <s v="300A"/>
        <s v="317A"/>
        <s v="318A"/>
        <s v="325A"/>
        <s v="330A"/>
        <s v="340A"/>
        <s v="347A"/>
        <s v="348A"/>
        <s v="350A"/>
        <s v="368A"/>
        <s v="370A"/>
        <s v="371A"/>
        <s v="385A"/>
        <s v="385B"/>
        <s v="385C"/>
        <s v="385D"/>
        <s v="385E"/>
        <s v="389A"/>
        <s v="391A"/>
        <s v="392A"/>
        <s v="392B"/>
        <s v="394A"/>
        <s v="402A"/>
        <s v="470A"/>
        <s v="470B"/>
        <s v="470N"/>
        <s v="470W"/>
        <s v="491A"/>
        <s v="491B"/>
        <s v="491C"/>
        <s v="550A"/>
        <s v="550B"/>
      </sharedItems>
    </cacheField>
    <cacheField name="Virtual Route" numFmtId="0">
      <sharedItems containsBlank="1"/>
    </cacheField>
    <cacheField name="SegmentID" numFmtId="0">
      <sharedItems containsSemiMixedTypes="0" containsString="0" containsNumber="1" containsInteger="1" minValue="1" maxValue="75"/>
    </cacheField>
    <cacheField name="FromMP" numFmtId="164">
      <sharedItems containsString="0" containsBlank="1" containsNumber="1" minValue="0" maxValue="473.654"/>
    </cacheField>
    <cacheField name="FromDesc" numFmtId="0">
      <sharedItems/>
    </cacheField>
    <cacheField name="ToMP" numFmtId="164">
      <sharedItems containsString="0" containsBlank="1" containsNumber="1" minValue="3.1E-2" maxValue="497.22300000000001"/>
    </cacheField>
    <cacheField name="ToDesc" numFmtId="0">
      <sharedItems/>
    </cacheField>
    <cacheField name="DetourComments" numFmtId="0">
      <sharedItems containsBlank="1"/>
    </cacheField>
    <cacheField name="DetourRouteFile" numFmtId="0">
      <sharedItems containsBlank="1"/>
    </cacheField>
    <cacheField name="NearbyStrea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mming, M" refreshedDate="44125.498791319442" createdVersion="6" refreshedVersion="6" minRefreshableVersion="3" recordCount="63">
  <cacheSource type="worksheet">
    <worksheetSource name="Table3"/>
  </cacheSource>
  <cacheFields count="13">
    <cacheField name="StatewideSegmentID" numFmtId="0">
      <sharedItems containsNonDate="0" containsString="0" containsBlank="1"/>
    </cacheField>
    <cacheField name="RouteID" numFmtId="0">
      <sharedItems/>
    </cacheField>
    <cacheField name="SegmentIDwithinRoute" numFmtId="0">
      <sharedItems containsNonDate="0" containsString="0" containsBlank="1"/>
    </cacheField>
    <cacheField name="RouteDescription" numFmtId="0">
      <sharedItems/>
    </cacheField>
    <cacheField name="From" numFmtId="0">
      <sharedItems/>
    </cacheField>
    <cacheField name="To" numFmtId="0">
      <sharedItems/>
    </cacheField>
    <cacheField name="TCDistance" numFmtId="164">
      <sharedItems containsSemiMixedTypes="0" containsString="0" containsNumber="1" minValue="1.2999999999999999E-2" maxValue="2.0009999999999999"/>
    </cacheField>
    <cacheField name="InterchangeOfSH" numFmtId="0">
      <sharedItems containsBlank="1"/>
    </cacheField>
    <cacheField name="ExitNumber" numFmtId="0">
      <sharedItems containsBlank="1" containsMixedTypes="1" containsNumber="1" containsInteger="1" minValue="6" maxValue="429"/>
    </cacheField>
    <cacheField name="FormerStateHighways?" numFmtId="0">
      <sharedItems containsBlank="1" containsMixedTypes="1" containsNumber="1" containsInteger="1" minValue="13" maxValue="13"/>
    </cacheField>
    <cacheField name="OtherNearbyCurrentStateHighways" numFmtId="0">
      <sharedItems containsBlank="1"/>
    </cacheField>
    <cacheField name="EngrRegion" numFmtId="0">
      <sharedItems containsSemiMixedTypes="0" containsString="0" containsNumber="1" containsInteger="1" minValue="1" maxValue="4"/>
    </cacheField>
    <cacheField name="InsetMap" numFmtId="0">
      <sharedItems count="36">
        <s v="Bennett"/>
        <s v="La Junta"/>
        <s v="Denver West"/>
        <s v="Harlan"/>
        <s v="Denver Industrial"/>
        <s v="Burnham"/>
        <s v="Greeley"/>
        <s v="Flatiron"/>
        <s v="Santa Fe"/>
        <s v="Arapahoe Crossing"/>
        <s v="Avon"/>
        <s v="Venetucci"/>
        <s v="New Castle"/>
        <s v="Rifle"/>
        <s v="Conifer"/>
        <s v="Henderson"/>
        <s v="Coalbank"/>
        <s v="Fisher"/>
        <s v="Parachute"/>
        <s v="Rulison"/>
        <s v="Mount Vernon"/>
        <s v="Gun Club"/>
        <s v="Floyd Hill"/>
        <s v="Johnsons Corner"/>
        <s v="Wiggins"/>
        <s v="Downtown Pueblo"/>
        <s v="Bethune"/>
        <s v="Parmalee"/>
        <s v="Deer Trail"/>
        <s v="Ken Caryl"/>
        <s v="Roselawn"/>
        <s v="Peterson"/>
        <s v="Table Mesa"/>
        <s v="Highlands Ranch"/>
        <s v="Sedalia"/>
        <s v="Plattevil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9">
  <r>
    <s v="001A01"/>
    <x v="0"/>
    <m/>
    <n v="1"/>
    <n v="0"/>
    <s v="US 287C"/>
    <n v="10.053000000000001"/>
    <s v="I-25A"/>
    <m/>
    <s v="Detour_Intra02x1"/>
    <m/>
  </r>
  <r>
    <s v="002A01"/>
    <x v="1"/>
    <m/>
    <n v="1"/>
    <n v="0"/>
    <s v="US 285D"/>
    <n v="2.121"/>
    <s v="I-25A"/>
    <m/>
    <s v="Detour_Intra02x1"/>
    <m/>
  </r>
  <r>
    <s v="002A02"/>
    <x v="1"/>
    <m/>
    <n v="2"/>
    <n v="2.121"/>
    <s v="I-25A"/>
    <n v="4.3769999999999998"/>
    <s v="SH 83A"/>
    <m/>
    <s v="Detour_Intra02x1"/>
    <m/>
  </r>
  <r>
    <s v="002A03"/>
    <x v="1"/>
    <m/>
    <n v="3"/>
    <n v="4.3769999999999998"/>
    <s v="SH 83A"/>
    <n v="5.9930000000000003"/>
    <s v="US 40C"/>
    <m/>
    <s v="Detour_Intra02x1"/>
    <m/>
  </r>
  <r>
    <s v="002A04"/>
    <x v="1"/>
    <m/>
    <n v="4"/>
    <n v="5.9930000000000003"/>
    <s v="US 40C"/>
    <n v="8.7249999999999996"/>
    <s v="I-70A"/>
    <m/>
    <s v="Detour_Intra02x1"/>
    <m/>
  </r>
  <r>
    <s v="002A05"/>
    <x v="1"/>
    <m/>
    <n v="5"/>
    <n v="8.7249999999999996"/>
    <s v="I-70A"/>
    <n v="9.8420000000000005"/>
    <s v="US 6H"/>
    <m/>
    <s v="Detour_Intra02x1"/>
    <m/>
  </r>
  <r>
    <s v="002D01"/>
    <x v="2"/>
    <m/>
    <n v="1"/>
    <n v="19.506"/>
    <s v="start"/>
    <n v="19.943999999999999"/>
    <s v="I-76A WB ramps"/>
    <s v="Spur - no detour possible"/>
    <s v="not created"/>
    <s v="First Creek"/>
  </r>
  <r>
    <s v="003A01"/>
    <x v="3"/>
    <m/>
    <n v="1"/>
    <n v="0"/>
    <s v="US 160A"/>
    <n v="2.444"/>
    <s v="US 160A"/>
    <s v="Dom by US 160A"/>
    <s v="Detour_Intra02x1"/>
    <s v="Animas River"/>
  </r>
  <r>
    <s v="005A01"/>
    <x v="4"/>
    <m/>
    <n v="1"/>
    <n v="0"/>
    <s v="SH 103A"/>
    <n v="14.894"/>
    <s v="Mount Evans"/>
    <s v="Spur - no detour possible"/>
    <s v="not in network"/>
    <m/>
  </r>
  <r>
    <s v="006A01"/>
    <x v="5"/>
    <s v="006O"/>
    <n v="1"/>
    <n v="11.08"/>
    <s v="I-70A Mack"/>
    <n v="15.132"/>
    <s v="SH 139A"/>
    <m/>
    <s v="Detour_Virt3x1"/>
    <m/>
  </r>
  <r>
    <s v="006A02"/>
    <x v="5"/>
    <s v="006P"/>
    <n v="2"/>
    <n v="15.132"/>
    <s v="SH 139A"/>
    <n v="19.954999999999998"/>
    <s v="SH 340A"/>
    <m/>
    <s v="Detour_Virt3x1"/>
    <m/>
  </r>
  <r>
    <s v="006A03"/>
    <x v="5"/>
    <s v="006Q"/>
    <n v="3"/>
    <n v="19.954999999999998"/>
    <s v="SH 340A"/>
    <n v="26.08"/>
    <s v="I-70A, I-70B"/>
    <s v="Dom by I-70A"/>
    <s v="Detour_Virt3x1"/>
    <m/>
  </r>
  <r>
    <s v="006B01"/>
    <x v="6"/>
    <m/>
    <n v="1"/>
    <n v="30.123000000000001"/>
    <s v="I-70B"/>
    <n v="34.534999999999997"/>
    <s v="I-70B Clifton"/>
    <m/>
    <s v="Detour_Intra02x1"/>
    <m/>
  </r>
  <r>
    <s v="006C01"/>
    <x v="7"/>
    <m/>
    <n v="1"/>
    <n v="37.161000000000001"/>
    <s v="I-70B Clifton"/>
    <n v="46.058"/>
    <s v="I-70A Palisade"/>
    <m/>
    <s v="Detour_Intra02x1"/>
    <s v="Colorado River"/>
  </r>
  <r>
    <s v="006D01"/>
    <x v="8"/>
    <s v="006R"/>
    <n v="1"/>
    <n v="92.275000000000006"/>
    <s v="Railroad Av, Rifle near I-70A, SH 13C"/>
    <n v="99.231999999999999"/>
    <s v="I-70E spur Silt"/>
    <s v="Dom by I-70A"/>
    <s v="Detour_Virt3x1"/>
    <s v="Colorado River"/>
  </r>
  <r>
    <s v="006D02"/>
    <x v="8"/>
    <s v="006S"/>
    <n v="2"/>
    <n v="99.231999999999999"/>
    <s v="I-70E spur Silt"/>
    <n v="107.21"/>
    <s v="I-70A New Castle"/>
    <s v="Dom by I-70A"/>
    <s v="Detour_Virt3x1"/>
    <s v="Colorado River (across I-70A)"/>
  </r>
  <r>
    <s v="006D03"/>
    <x v="8"/>
    <s v="006S"/>
    <n v="3"/>
    <n v="107.21"/>
    <s v="I-70A New Castle"/>
    <n v="110.806"/>
    <s v="I-70A Chacra Canyon Creek"/>
    <s v="Dom by I-70A"/>
    <s v="Detour_Virt3x1"/>
    <s v="Colorado River (across I-70A)"/>
  </r>
  <r>
    <s v="006E01"/>
    <x v="9"/>
    <s v="006T"/>
    <n v="1"/>
    <n v="149.71799999999999"/>
    <s v="Jct I-70F spur Eagle"/>
    <n v="159.184"/>
    <s v="Jct SH 131B Wolcott"/>
    <s v="Dom by I-70A"/>
    <s v="Detour_Virt3x1"/>
    <s v="Eagle River"/>
  </r>
  <r>
    <s v="006E02"/>
    <x v="9"/>
    <s v="006U"/>
    <n v="2"/>
    <n v="159.184"/>
    <s v="Jct SH 131B Wolcott"/>
    <n v="159.57300000000001"/>
    <s v="Jct SH 131A EO Wolcott"/>
    <s v="Dom by I-70A"/>
    <s v="Detour_Virt3x1"/>
    <s v="Eagle River"/>
  </r>
  <r>
    <s v="006E03"/>
    <x v="9"/>
    <s v="006U"/>
    <n v="3"/>
    <n v="159.57300000000001"/>
    <s v="Jct SH 131A EO Wolcott"/>
    <n v="165.995"/>
    <s v="Jct I-70G spur Edwards"/>
    <s v="Dom by I-70A"/>
    <s v="Detour_Virt3x1"/>
    <s v="Eagle River"/>
  </r>
  <r>
    <s v="006E04"/>
    <x v="9"/>
    <s v="006V"/>
    <n v="4"/>
    <n v="165.995"/>
    <s v="Jct I-70G spur Edwards"/>
    <m/>
    <s v="Avon Rd (former I-70H)"/>
    <s v="Dom by I-70A"/>
    <s v="Detour_Virt3x1"/>
    <s v="Eagle River"/>
  </r>
  <r>
    <s v="006E05"/>
    <x v="9"/>
    <s v="006V"/>
    <n v="5"/>
    <m/>
    <s v="Avon Rd (former I-70H)"/>
    <n v="172.167"/>
    <s v="I-70A Eagle-Vail half diamond"/>
    <s v="Dom by I-70A"/>
    <m/>
    <m/>
  </r>
  <r>
    <s v="006E06"/>
    <x v="9"/>
    <s v="006W"/>
    <n v="6"/>
    <n v="172.167"/>
    <s v="I-70A Eagle-Vail half diamond"/>
    <n v="174.541"/>
    <s v="Jct US 24A I-70A Dowd Jct"/>
    <s v="Dom by I-70A"/>
    <s v="Detour_Virt3x2"/>
    <s v="Eagle River"/>
  </r>
  <r>
    <s v="006F01"/>
    <x v="10"/>
    <m/>
    <n v="1"/>
    <n v="208.65899999999999"/>
    <s v="I-70A SH 9D Silverthorne"/>
    <n v="229.89599999999999"/>
    <s v="I-70A Loveland ski area"/>
    <s v="Dom by I-70A"/>
    <s v="Detour_Intra02x1"/>
    <s v="Snake River"/>
  </r>
  <r>
    <s v="006G01"/>
    <x v="11"/>
    <s v="906A"/>
    <n v="1"/>
    <n v="257.07900000000001"/>
    <s v="I-70A Kermitt's jct"/>
    <n v="257.75099999999998"/>
    <s v="US 40B"/>
    <m/>
    <s v="Detour_Virt3x1"/>
    <s v="Clear Creek"/>
  </r>
  <r>
    <s v="006G02"/>
    <x v="11"/>
    <s v="906A"/>
    <n v="2"/>
    <n v="257.75099999999998"/>
    <s v="US 40B"/>
    <n v="260.27"/>
    <s v="SH 119A"/>
    <m/>
    <s v="Detour_Virt3x1"/>
    <s v="Clear Creek"/>
  </r>
  <r>
    <s v="006G03"/>
    <x v="11"/>
    <s v="906B"/>
    <n v="3"/>
    <n v="260.27"/>
    <s v="SH 119A"/>
    <n v="271.60199999999998"/>
    <s v="SH 58A SH 93A Golden"/>
    <m/>
    <s v="Detour_Virt3x1"/>
    <s v="Clear Creek"/>
  </r>
  <r>
    <s v="006G04"/>
    <x v="11"/>
    <s v="906C"/>
    <n v="4"/>
    <n v="271.60199999999998"/>
    <s v="SH 58A SH 93A Golden"/>
    <n v="274.61399999999998"/>
    <s v="C-470W"/>
    <m/>
    <s v="Detour_Virt3x1"/>
    <m/>
  </r>
  <r>
    <s v="006G05"/>
    <x v="11"/>
    <s v="906C"/>
    <n v="5"/>
    <n v="274.61399999999998"/>
    <s v="C-470W"/>
    <n v="275.12900000000002"/>
    <s v="US 40C"/>
    <m/>
    <s v="Detour_Virt3x1"/>
    <m/>
  </r>
  <r>
    <s v="006G06"/>
    <x v="11"/>
    <s v="906C"/>
    <n v="6"/>
    <n v="275.12900000000002"/>
    <s v="US 40C"/>
    <n v="275.64999999999998"/>
    <s v="I-70A Denver West"/>
    <m/>
    <s v="Detour_Virt3x1"/>
    <m/>
  </r>
  <r>
    <s v="006G07"/>
    <x v="11"/>
    <s v="906C"/>
    <n v="7"/>
    <n v="275.64999999999998"/>
    <s v="I-70A Denver West"/>
    <n v="279.32499999999999"/>
    <s v="SH 391A Kipling St"/>
    <m/>
    <s v="Detour_Virt3x1"/>
    <m/>
  </r>
  <r>
    <s v="006G08"/>
    <x v="11"/>
    <s v="906C"/>
    <n v="8"/>
    <n v="279.32499999999999"/>
    <s v="SH 391A Kipling St"/>
    <n v="280.83499999999998"/>
    <s v="SH 121A Wadsworth Blvd"/>
    <m/>
    <s v="Detour_Virt3x1"/>
    <m/>
  </r>
  <r>
    <s v="006G09"/>
    <x v="11"/>
    <s v="906C"/>
    <n v="9"/>
    <n v="280.83499999999998"/>
    <s v="SH 121A Wadsworth Blvd"/>
    <n v="282.33300000000003"/>
    <s v="SH 95A Sheridan Blvd"/>
    <m/>
    <s v="Detour_Virt3x1"/>
    <m/>
  </r>
  <r>
    <s v="006G10"/>
    <x v="11"/>
    <s v="906C"/>
    <n v="10"/>
    <n v="282.33300000000003"/>
    <s v="SH 95A Sheridan Blvd"/>
    <n v="283.863"/>
    <s v="SH 88A Federal Blvd"/>
    <m/>
    <s v="Detour_Virt3x1"/>
    <m/>
  </r>
  <r>
    <s v="006G11"/>
    <x v="11"/>
    <s v="906C"/>
    <n v="11"/>
    <n v="283.863"/>
    <s v="SH 88A Federal Blvd"/>
    <n v="284.65699999999998"/>
    <s v="I-25A"/>
    <m/>
    <s v="Detour_Virt3x1"/>
    <s v="South Platte River"/>
  </r>
  <r>
    <s v="006H01"/>
    <x v="12"/>
    <m/>
    <n v="1"/>
    <n v="290.98"/>
    <s v="I-70A Steele St Vasquez Blvd"/>
    <n v="292.14499999999998"/>
    <s v="SH 2A Colorado Blvd"/>
    <m/>
    <s v="Detour_Intra02x1"/>
    <m/>
  </r>
  <r>
    <s v="006H02"/>
    <x v="12"/>
    <m/>
    <n v="2"/>
    <n v="292.14499999999998"/>
    <s v="SH 2A Colorado Blvd"/>
    <n v="292.72300000000001"/>
    <s v="I-270A"/>
    <m/>
    <s v="Detour_Intra02x1"/>
    <s v="Sand Creek"/>
  </r>
  <r>
    <s v="006H03"/>
    <x v="12"/>
    <m/>
    <n v="3"/>
    <n v="292.72300000000001"/>
    <s v="I-270A"/>
    <n v="294.23500000000001"/>
    <s v="SH 265A Brighton Blvd"/>
    <m/>
    <s v="Detour_Intra02x1"/>
    <m/>
  </r>
  <r>
    <s v="006H04"/>
    <x v="12"/>
    <m/>
    <n v="4"/>
    <n v="294.23500000000001"/>
    <s v="SH 265A Brighton Blvd"/>
    <n v="294.91000000000003"/>
    <s v="SH 224A 74th Ave"/>
    <m/>
    <s v="Detour_Intra02x1"/>
    <m/>
  </r>
  <r>
    <s v="006H05"/>
    <x v="12"/>
    <m/>
    <n v="5"/>
    <n v="294.91000000000003"/>
    <s v="SH 224A 74th Ave"/>
    <n v="296.32"/>
    <s v="I-76A"/>
    <m/>
    <s v="Detour_Intra02x1"/>
    <m/>
  </r>
  <r>
    <s v="006I01"/>
    <x v="13"/>
    <m/>
    <n v="1"/>
    <n v="343.51900000000001"/>
    <s v="I-76A Morgan CR 3"/>
    <n v="345.928"/>
    <s v="SH 39A SH 52A"/>
    <m/>
    <s v="Detour_Intra02x1"/>
    <m/>
  </r>
  <r>
    <s v="006I02"/>
    <x v="13"/>
    <m/>
    <n v="2"/>
    <n v="345.928"/>
    <s v="SH 39A SH 52A"/>
    <n v="346.42500000000001"/>
    <s v="US 34A merge"/>
    <m/>
    <s v="Detour_Intra02x1"/>
    <m/>
  </r>
  <r>
    <s v="006I03"/>
    <x v="13"/>
    <m/>
    <n v="3"/>
    <n v="346.42500000000001"/>
    <s v="US 34A merge"/>
    <n v="346.697"/>
    <s v="I-76A"/>
    <m/>
    <s v="Detour_Intra02x1"/>
    <m/>
  </r>
  <r>
    <s v="006J01"/>
    <x v="14"/>
    <s v="906D"/>
    <n v="1"/>
    <n v="371.69"/>
    <s v="I-76A US 34E Brush"/>
    <n v="397.95499999999998"/>
    <s v="SH 63A Atwood"/>
    <s v="Dom WB by I-76A"/>
    <s v="Detour_Virt3x1"/>
    <s v="South Platte River"/>
  </r>
  <r>
    <s v="006J02"/>
    <x v="14"/>
    <s v="906E"/>
    <n v="2"/>
    <n v="397.95499999999998"/>
    <s v="SH 63A Atwood"/>
    <n v="404.12799999999999"/>
    <s v="US 6Z Sterling"/>
    <m/>
    <s v="Detour_Virt3x1"/>
    <s v="South Platte River"/>
  </r>
  <r>
    <s v="006J03"/>
    <x v="14"/>
    <s v="906E"/>
    <n v="3"/>
    <n v="404.12799999999999"/>
    <s v="US 6Z Sterling"/>
    <n v="404.45699999999999"/>
    <s v="SH 14C Sterling"/>
    <m/>
    <s v="Detour_Virt3x1"/>
    <s v="South Platte River"/>
  </r>
  <r>
    <s v="006J04"/>
    <x v="14"/>
    <s v="906E"/>
    <n v="4"/>
    <n v="404.45699999999999"/>
    <s v="SH 14C Sterling"/>
    <n v="404.64400000000001"/>
    <s v="US 138A US 6Z Sterling"/>
    <m/>
    <s v="Detour_Virt3x1"/>
    <s v="South Platte River"/>
  </r>
  <r>
    <s v="006J05"/>
    <x v="14"/>
    <s v="906F"/>
    <n v="5"/>
    <n v="404.64400000000001"/>
    <s v="US 138A US 6Z Sterling"/>
    <n v="406.56799999999998"/>
    <s v="I-76A"/>
    <m/>
    <s v="Detour_Virt3x1"/>
    <s v="South Platte River"/>
  </r>
  <r>
    <s v="006J06"/>
    <x v="14"/>
    <s v="906F"/>
    <n v="6"/>
    <n v="406.56799999999998"/>
    <s v="I-76A"/>
    <n v="406.79300000000001"/>
    <s v="SH 61A"/>
    <m/>
    <s v="Detour_Virt3x1"/>
    <m/>
  </r>
  <r>
    <s v="006J07"/>
    <x v="14"/>
    <s v="906F"/>
    <n v="7"/>
    <n v="406.79300000000001"/>
    <s v="SH 61A"/>
    <n v="436.49599999999998"/>
    <s v="SH 59B Haxtun"/>
    <m/>
    <s v="Detour_Virt3x1"/>
    <m/>
  </r>
  <r>
    <s v="006J08"/>
    <x v="14"/>
    <s v="906F"/>
    <n v="8"/>
    <n v="436.49599999999998"/>
    <s v="SH 59B Haxtun"/>
    <n v="454.06"/>
    <s v="US 385D Holyoke"/>
    <m/>
    <s v="Detour_Virt3x1"/>
    <m/>
  </r>
  <r>
    <s v="006J09"/>
    <x v="14"/>
    <s v="906F"/>
    <n v="9"/>
    <n v="454.06"/>
    <s v="US 385D Holyoke"/>
    <n v="467.24799999999999"/>
    <s v="Kansas state line"/>
    <m/>
    <s v="Detour_Virt3x1"/>
    <m/>
  </r>
  <r>
    <s v="006K01"/>
    <x v="15"/>
    <m/>
    <n v="1"/>
    <n v="0"/>
    <s v="Devereux Rd Glenwood Spgs"/>
    <n v="0.33800000000000002"/>
    <s v="SH 82A Glenwood Spgs"/>
    <s v="Spur - no detour possible"/>
    <s v="not created"/>
    <m/>
  </r>
  <r>
    <s v="006L01"/>
    <x v="16"/>
    <m/>
    <n v="1"/>
    <n v="88.894999999999996"/>
    <s v="I-70A US 6M WO Rifle"/>
    <n v="91.24"/>
    <s v="SH 13A Rifle"/>
    <s v="Dom by I-70A"/>
    <s v="Detour_Intra02x1"/>
    <s v="Colorado River"/>
  </r>
  <r>
    <s v="006M01"/>
    <x v="17"/>
    <s v="906G"/>
    <n v="1"/>
    <n v="62.305"/>
    <s v="I-70A DeBeque"/>
    <n v="72.248000000000005"/>
    <s v="I-70A West Parachute"/>
    <s v="Dom by I-70A"/>
    <s v="Detour_Virt3x1"/>
    <s v="Colorado River"/>
  </r>
  <r>
    <s v="006M02"/>
    <x v="17"/>
    <s v="906G"/>
    <n v="2"/>
    <n v="72.248000000000005"/>
    <s v="I-70A West Parachute"/>
    <n v="75.421999999999997"/>
    <s v="I-70A Parachute"/>
    <s v="Dom by I-70A"/>
    <s v="Detour_Virt3x1"/>
    <s v="Colorado River"/>
  </r>
  <r>
    <s v="006M03"/>
    <x v="17"/>
    <s v="906H"/>
    <n v="3"/>
    <n v="75.421999999999997"/>
    <s v="I-70A Parachute"/>
    <n v="82.768000000000001"/>
    <s v="I-70A Rulison"/>
    <s v="Dom by I-70A"/>
    <s v="Detour_Virt3x1"/>
    <s v="Colorado River"/>
  </r>
  <r>
    <s v="006M04"/>
    <x v="17"/>
    <s v="906I"/>
    <n v="4"/>
    <n v="82.768000000000001"/>
    <s v="I-70A Rulison"/>
    <n v="88.894999999999996"/>
    <s v="I-70A US 6L West Rifle"/>
    <s v="Dom by I-70A"/>
    <s v="Detour_Virt3x1"/>
    <s v="Colorado River"/>
  </r>
  <r>
    <s v="006N01"/>
    <x v="18"/>
    <m/>
    <n v="1"/>
    <n v="141.81800000000001"/>
    <s v="I-70A North Frontage Rd Gypsum"/>
    <n v="141.99299999999999"/>
    <s v="I-70A South Frontage Rd Gypsum"/>
    <s v="Spur - no detour possible"/>
    <s v="not created"/>
    <s v="Eagle River"/>
  </r>
  <r>
    <s v="006Z01"/>
    <x v="19"/>
    <m/>
    <n v="1"/>
    <n v="0"/>
    <s v="US 6J US 138A Sterling"/>
    <n v="8.8999999999999996E-2"/>
    <s v="US 138Z Sterling"/>
    <m/>
    <s v="Detour_Virt3x1"/>
    <s v="South Platte River"/>
  </r>
  <r>
    <s v="006Z02"/>
    <x v="19"/>
    <m/>
    <n v="2"/>
    <n v="8.8999999999999996E-2"/>
    <s v="US 138Z Sterling"/>
    <n v="0.28000000000000003"/>
    <s v="SH 14C Sterling"/>
    <m/>
    <s v="Detour_Virt3x1"/>
    <s v="South Platte River"/>
  </r>
  <r>
    <s v="006Z03"/>
    <x v="19"/>
    <m/>
    <n v="3"/>
    <n v="0.28000000000000003"/>
    <s v="SH 14C Sterling"/>
    <n v="0.60399999999999998"/>
    <s v="US 6J Sterling"/>
    <m/>
    <s v="Detour_Virt3x1"/>
    <s v="South Platte River"/>
  </r>
  <r>
    <s v="007A01"/>
    <x v="20"/>
    <s v="007F"/>
    <n v="1"/>
    <n v="0"/>
    <s v="US 36B Estes Park"/>
    <n v="14.91"/>
    <s v="SH 7E Allenspark"/>
    <m/>
    <s v="Detour_Virt2x1"/>
    <m/>
  </r>
  <r>
    <s v="007A02"/>
    <x v="20"/>
    <s v="007F"/>
    <n v="2"/>
    <n v="14.91"/>
    <s v="SH 7E Allenspark"/>
    <n v="16.085999999999999"/>
    <s v="SH 7E EO Allenspark"/>
    <m/>
    <s v="Detour_Virt2x1"/>
    <s v="Rock Creek"/>
  </r>
  <r>
    <s v="007A03"/>
    <x v="20"/>
    <s v="007F"/>
    <n v="3"/>
    <n v="16.085999999999999"/>
    <s v="SH 7E EO Allenspark"/>
    <n v="19.248999999999999"/>
    <s v="SH 72B"/>
    <m/>
    <s v="Detour_Virt2x1"/>
    <m/>
  </r>
  <r>
    <s v="007A04"/>
    <x v="20"/>
    <s v="007G"/>
    <n v="4"/>
    <n v="19.248999999999999"/>
    <s v="SH 72B"/>
    <n v="33.08"/>
    <s v="US 36B Lyons"/>
    <m/>
    <s v="Detour_Virt2x1"/>
    <s v="South Saint Vrain Creek"/>
  </r>
  <r>
    <s v="007B01"/>
    <x v="21"/>
    <m/>
    <n v="1"/>
    <n v="49.506"/>
    <s v="SH 93A SH 119A Boulder"/>
    <n v="50.639000000000003"/>
    <s v="US 36B 28th St"/>
    <m/>
    <s v="Detour_Intra02x1"/>
    <m/>
  </r>
  <r>
    <s v="007C01"/>
    <x v="22"/>
    <m/>
    <n v="1"/>
    <n v="52.29"/>
    <s v="US 36B 28th St"/>
    <n v="53.457000000000001"/>
    <s v="SH 157A Foothills Pkwy"/>
    <m/>
    <s v="Detour_Intra02x1"/>
    <m/>
  </r>
  <r>
    <s v="007C02"/>
    <x v="22"/>
    <m/>
    <n v="2"/>
    <n v="53.457000000000001"/>
    <s v="SH 157A Foothills Pkwy"/>
    <n v="59.29"/>
    <s v="SH 42A 95th St"/>
    <m/>
    <s v="Detour_Intra02x1"/>
    <m/>
  </r>
  <r>
    <s v="007C03"/>
    <x v="22"/>
    <m/>
    <n v="3"/>
    <n v="59.29"/>
    <s v="SH 42A 95th St"/>
    <n v="60.683"/>
    <s v="US 287C 107th St"/>
    <m/>
    <s v="Detour_Intra02x1"/>
    <m/>
  </r>
  <r>
    <s v="007D01"/>
    <x v="23"/>
    <m/>
    <n v="1"/>
    <n v="61.877000000000002"/>
    <s v="US 287C Lafayette"/>
    <n v="68.352000000000004"/>
    <s v="I-25A"/>
    <m/>
    <s v="Detour_Intra01"/>
    <m/>
  </r>
  <r>
    <s v="007D02"/>
    <x v="23"/>
    <m/>
    <n v="2"/>
    <n v="68.352000000000004"/>
    <s v="I-25A"/>
    <n v="77.052000000000007"/>
    <s v="US 85C Brighton"/>
    <m/>
    <s v="Detour_Intra01"/>
    <m/>
  </r>
  <r>
    <s v="007E01"/>
    <x v="24"/>
    <m/>
    <n v="1"/>
    <n v="0"/>
    <s v="SH 7A Allenspark"/>
    <n v="1.5920000000000001"/>
    <s v="SH 7A EO Allenspark"/>
    <s v="Dom by SH 7A"/>
    <s v="Detour_Intra02x1"/>
    <s v="Rock Creek"/>
  </r>
  <r>
    <s v="008A01"/>
    <x v="25"/>
    <s v="008B"/>
    <n v="1"/>
    <n v="0"/>
    <s v="US 285D"/>
    <n v="2.1280000000000001"/>
    <s v="SH 74A Morrison"/>
    <m/>
    <s v="Detour_Virt3x1"/>
    <m/>
  </r>
  <r>
    <s v="008A02"/>
    <x v="25"/>
    <s v="008C"/>
    <n v="2"/>
    <n v="2.1280000000000001"/>
    <s v="SH 74A Morrison"/>
    <n v="2.883"/>
    <s v="C-470A "/>
    <m/>
    <s v="Detour_Virt3x1"/>
    <s v="Bear Creek"/>
  </r>
  <r>
    <s v="008A03"/>
    <x v="25"/>
    <s v="008C"/>
    <n v="3"/>
    <n v="2.883"/>
    <s v="C-470A "/>
    <n v="6.9130000000000003"/>
    <s v="SH 391A Kipling Pkwy"/>
    <m/>
    <s v="Detour_Virt3x1"/>
    <s v="Bear Creek"/>
  </r>
  <r>
    <s v="008A04"/>
    <x v="25"/>
    <s v="008C"/>
    <n v="4"/>
    <n v="6.9130000000000003"/>
    <s v="SH 391A Kipling Pkwy"/>
    <n v="8.6829999999999998"/>
    <s v="SH 121A Wadsworth Blvd"/>
    <m/>
    <s v="Detour_Virt3x1"/>
    <s v="Bear Creek"/>
  </r>
  <r>
    <s v="009A01"/>
    <x v="26"/>
    <m/>
    <n v="1"/>
    <n v="0"/>
    <s v="US 50A"/>
    <n v="46.98"/>
    <s v="US 24A Hartsel"/>
    <m/>
    <s v="Detour_Intra02x1"/>
    <s v="Middle Fork South Platte River"/>
  </r>
  <r>
    <s v="009B01"/>
    <x v="27"/>
    <m/>
    <n v="1"/>
    <n v="47.582000000000001"/>
    <s v="US 24A WO Hartsel"/>
    <n v="63.731999999999999"/>
    <s v="US 285D SO Fairplay"/>
    <m/>
    <s v="Detour_Intra02x1"/>
    <s v="Middle Fork South Platte River"/>
  </r>
  <r>
    <s v="009C01"/>
    <x v="28"/>
    <m/>
    <n v="1"/>
    <n v="64.673000000000002"/>
    <s v="US 285D Fairplay"/>
    <n v="97.23"/>
    <s v="I-70A Frisco"/>
    <m/>
    <s v="Detour_Intra01"/>
    <s v="Blue River"/>
  </r>
  <r>
    <s v="009D01"/>
    <x v="29"/>
    <m/>
    <n v="1"/>
    <n v="101.562"/>
    <s v="I-70A US 6F Silverthorne"/>
    <n v="138.91999999999999"/>
    <s v="US 40A Kremmling"/>
    <m/>
    <s v="Detour_Intra01"/>
    <s v="Blue River"/>
  </r>
  <r>
    <s v="010A01"/>
    <x v="30"/>
    <m/>
    <n v="1"/>
    <n v="0"/>
    <s v="I-25A Walsenburg"/>
    <n v="62.371000000000002"/>
    <s v="SH 71A"/>
    <m/>
    <s v="Detour_Intra02x1"/>
    <s v="Apishapa River"/>
  </r>
  <r>
    <s v="010A02"/>
    <x v="30"/>
    <m/>
    <n v="2"/>
    <n v="62.371000000000002"/>
    <s v="SH 71A"/>
    <n v="62.88"/>
    <s v="SH 71B"/>
    <m/>
    <s v="Detour_Intra02x1"/>
    <m/>
  </r>
  <r>
    <s v="010A03"/>
    <x v="30"/>
    <m/>
    <n v="3"/>
    <n v="62.88"/>
    <s v="SH 71B"/>
    <n v="71.968000000000004"/>
    <s v="US 50B La Junta"/>
    <m/>
    <s v="Detour_Intra02x1"/>
    <m/>
  </r>
  <r>
    <s v="011A01"/>
    <x v="31"/>
    <m/>
    <n v="1"/>
    <n v="0"/>
    <s v="US 138A WO Julesburg"/>
    <n v="1.35"/>
    <s v="Nebraska state line"/>
    <m/>
    <s v="Detour_OOS02"/>
    <m/>
  </r>
  <r>
    <s v="012A01"/>
    <x v="32"/>
    <m/>
    <n v="1"/>
    <n v="0"/>
    <s v="US 160A NEO La Veta"/>
    <n v="70.832999999999998"/>
    <s v="I-25A Trinidad"/>
    <s v="Dom by US 160A, I-70C, I-70A"/>
    <s v="Detour_Intra03x1"/>
    <s v="Cucharas River; Purgatoire River"/>
  </r>
  <r>
    <s v="013A01"/>
    <x v="33"/>
    <m/>
    <n v="1"/>
    <n v="1.0589999999999999"/>
    <s v="US 6L Rifle"/>
    <n v="4.1139999999999999"/>
    <s v="SH 325A"/>
    <m/>
    <s v="Detour_Intra02x1"/>
    <s v="Government Creek"/>
  </r>
  <r>
    <s v="013A02"/>
    <x v="33"/>
    <m/>
    <n v="2"/>
    <n v="4.1139999999999999"/>
    <s v="SH 325A"/>
    <n v="39"/>
    <s v="SH 64A WO Meeker"/>
    <m/>
    <s v="Detour_Intra02x1"/>
    <s v="White River"/>
  </r>
  <r>
    <s v="013A03"/>
    <x v="33"/>
    <m/>
    <n v="3"/>
    <n v="39"/>
    <s v="SH 64A WO Meeker"/>
    <n v="75.793000000000006"/>
    <s v="SH 317A"/>
    <m/>
    <s v="Detour_Intra02x1"/>
    <s v="White River"/>
  </r>
  <r>
    <s v="013A04"/>
    <x v="33"/>
    <m/>
    <n v="4"/>
    <n v="75.793000000000006"/>
    <s v="SH 317A"/>
    <n v="88.635000000000005"/>
    <s v="US 40A Craig"/>
    <m/>
    <s v="Detour_Intra02x1"/>
    <s v="Yampa River"/>
  </r>
  <r>
    <s v="013B01"/>
    <x v="34"/>
    <m/>
    <n v="1"/>
    <n v="89.58"/>
    <s v="US 40A Craig"/>
    <n v="89.706000000000003"/>
    <s v="US 40Z Craig"/>
    <m/>
    <s v="Detour_OOS02"/>
    <m/>
  </r>
  <r>
    <s v="013B02"/>
    <x v="34"/>
    <m/>
    <n v="2"/>
    <n v="89.706000000000003"/>
    <s v="US 40Z Craig"/>
    <n v="128.07"/>
    <s v="Wyoming state line"/>
    <m/>
    <s v="Detour_OOS02"/>
    <s v="Fortification Creek"/>
  </r>
  <r>
    <s v="013C01"/>
    <x v="35"/>
    <m/>
    <n v="1"/>
    <n v="0"/>
    <s v="Frontage Rd (7th St, Airport Rd) SO I-70A"/>
    <n v="0.222"/>
    <s v="Rest area access NO I-70A"/>
    <s v="Spur/within interchange"/>
    <s v="Detour_Intra02x1"/>
    <s v="Colorado River"/>
  </r>
  <r>
    <s v="014A01"/>
    <x v="36"/>
    <m/>
    <n v="1"/>
    <n v="0"/>
    <s v="US 40A Muddy Pass"/>
    <n v="32.968000000000004"/>
    <s v="SH 125A SWO Walden"/>
    <m/>
    <s v="Detour_Intra02x1"/>
    <s v="Grizzly Creek"/>
  </r>
  <r>
    <s v="014B01"/>
    <x v="37"/>
    <m/>
    <n v="1"/>
    <n v="34.090000000000003"/>
    <s v="SH 125A Walden"/>
    <n v="121.71299999999999"/>
    <s v="US 287C Ted's Place"/>
    <m/>
    <s v="Detour_Intra02x1"/>
    <s v="Michigan River; Joe Wright Creek; Cache la Poudre River"/>
  </r>
  <r>
    <s v="014C01"/>
    <x v="38"/>
    <s v="014D"/>
    <n v="1"/>
    <n v="134.77000000000001"/>
    <s v="US 287C Fort Collins"/>
    <n v="138.96799999999999"/>
    <s v="I-25A"/>
    <m/>
    <s v="Detour_Virt2x1"/>
    <s v="Cache la Poudre River"/>
  </r>
  <r>
    <s v="014C02"/>
    <x v="38"/>
    <s v="014D"/>
    <n v="2"/>
    <n v="138.96799999999999"/>
    <s v="I-25A"/>
    <n v="144.15199999999999"/>
    <s v="SH 257A"/>
    <m/>
    <s v="Detour_Virt2x1"/>
    <m/>
  </r>
  <r>
    <s v="014C03"/>
    <x v="38"/>
    <s v="014D"/>
    <n v="3"/>
    <n v="144.15199999999999"/>
    <s v="SH 257A"/>
    <n v="153.37"/>
    <s v="US 85L Ault"/>
    <m/>
    <s v="Detour_Virt2x1"/>
    <m/>
  </r>
  <r>
    <s v="014C04"/>
    <x v="38"/>
    <s v="014D"/>
    <n v="4"/>
    <n v="153.37"/>
    <s v="US 85L Ault"/>
    <n v="176.18899999999999"/>
    <s v="SH 392B Briggsdale"/>
    <m/>
    <s v="Detour_Virt2x1"/>
    <m/>
  </r>
  <r>
    <s v="014C05"/>
    <x v="38"/>
    <s v="014D"/>
    <n v="5"/>
    <n v="176.18899999999999"/>
    <s v="SH 392B Briggsdale"/>
    <n v="205.23599999999999"/>
    <s v="SH 52B EO Raymer"/>
    <m/>
    <s v="Detour_Virt2x1"/>
    <m/>
  </r>
  <r>
    <s v="014C06"/>
    <x v="38"/>
    <s v="014E"/>
    <n v="6"/>
    <n v="205.23599999999999"/>
    <s v="SH 52B EO Raymer"/>
    <n v="211.80699999999999"/>
    <s v="SH 71F Stoneham"/>
    <m/>
    <s v="Detour_Virt2x1"/>
    <m/>
  </r>
  <r>
    <s v="014C07"/>
    <x v="38"/>
    <s v="014E"/>
    <n v="7"/>
    <n v="211.80699999999999"/>
    <s v="SH 71F Stoneham"/>
    <n v="215.828"/>
    <s v="SH 71E"/>
    <m/>
    <s v="Detour_Virt2x1"/>
    <m/>
  </r>
  <r>
    <s v="014C08"/>
    <x v="38"/>
    <s v="014E"/>
    <n v="8"/>
    <n v="215.828"/>
    <s v="SH 71E"/>
    <n v="236.82400000000001"/>
    <s v="US 6Z Sterling"/>
    <m/>
    <s v="Detour_Virt2x1"/>
    <m/>
  </r>
  <r>
    <s v="014C09"/>
    <x v="38"/>
    <s v="014E"/>
    <n v="9"/>
    <n v="236.82400000000001"/>
    <s v="US 6Z Sterling"/>
    <n v="236.92400000000001"/>
    <s v="US 6J Sterling"/>
    <m/>
    <s v="Detour_Virt2x1"/>
    <m/>
  </r>
  <r>
    <s v="015A01"/>
    <x v="39"/>
    <m/>
    <n v="1"/>
    <n v="0"/>
    <s v="US 160A Monte Vista"/>
    <n v="10.412000000000001"/>
    <s v="SH 370A"/>
    <m/>
    <s v="Detour_Intra02x1"/>
    <m/>
  </r>
  <r>
    <s v="015A02"/>
    <x v="39"/>
    <m/>
    <n v="2"/>
    <n v="10.412000000000001"/>
    <s v="SH 370A"/>
    <n v="12.374000000000001"/>
    <s v="end at Rio Grande/Conejos county line"/>
    <s v="Spur - no detour possible"/>
    <s v="Detour_Intra02x1"/>
    <m/>
  </r>
  <r>
    <s v="015B01"/>
    <x v="40"/>
    <m/>
    <n v="1"/>
    <n v="20.398"/>
    <s v="start WO Capulin"/>
    <n v="26.562000000000001"/>
    <s v="SH 371A"/>
    <s v="Spur - no detour possible"/>
    <s v="Detour_Intra02x1"/>
    <s v="La Jara Creek"/>
  </r>
  <r>
    <s v="015B02"/>
    <x v="40"/>
    <m/>
    <n v="2"/>
    <n v="26.562000000000001"/>
    <s v="SH 371A"/>
    <n v="30.914999999999999"/>
    <s v="US 285A La Jara"/>
    <m/>
    <s v="Detour_Intra02x1"/>
    <s v="La Jara Creek"/>
  </r>
  <r>
    <s v="016A01"/>
    <x v="41"/>
    <m/>
    <n v="1"/>
    <n v="0"/>
    <s v="I-25A Fort Carson"/>
    <n v="0.996"/>
    <s v="US 85A"/>
    <m/>
    <s v="Detour_Intra02x1"/>
    <s v="Fountain Creek"/>
  </r>
  <r>
    <s v="016A02"/>
    <x v="41"/>
    <m/>
    <n v="2"/>
    <n v="0.996"/>
    <s v="US 85A"/>
    <n v="3.1179999999999999"/>
    <s v="SH 21A Powers Blvd"/>
    <m/>
    <s v="Detour_Intra02x1"/>
    <m/>
  </r>
  <r>
    <s v="017A01"/>
    <x v="42"/>
    <m/>
    <n v="1"/>
    <n v="0"/>
    <s v="New Mexico state line"/>
    <n v="39.052"/>
    <s v="US 285A Antonito"/>
    <m/>
    <s v="Detour_OOS02"/>
    <s v="Rio de los Pinos; Conejos River"/>
  </r>
  <r>
    <s v="017B01"/>
    <x v="43"/>
    <m/>
    <n v="1"/>
    <n v="69.024000000000001"/>
    <s v="US 160A Alamosa"/>
    <n v="88.194999999999993"/>
    <s v="SH 112A Hooper"/>
    <m/>
    <s v="Detour_Intra02x2"/>
    <m/>
  </r>
  <r>
    <s v="017B02"/>
    <x v="43"/>
    <m/>
    <n v="2"/>
    <n v="88.194999999999993"/>
    <s v="SH 112A Hooper"/>
    <n v="118.864"/>
    <s v="US 285B SO Villa Grove"/>
    <m/>
    <s v="Detour_Intra02x2"/>
    <m/>
  </r>
  <r>
    <s v="021A01"/>
    <x v="44"/>
    <m/>
    <n v="1"/>
    <n v="131.81299999999999"/>
    <s v="SH 16A Mesa Ridge Pkwy"/>
    <n v="139.58199999999999"/>
    <s v="US 24H Fountain Blvd"/>
    <m/>
    <s v="Detour_Intra02x2"/>
    <m/>
  </r>
  <r>
    <s v="021B01"/>
    <x v="45"/>
    <m/>
    <n v="1"/>
    <n v="141.738"/>
    <s v="US 24G US 24H Platte Ave"/>
    <n v="154.11199999999999"/>
    <s v="SH 83A Interquest Pkwy"/>
    <m/>
    <s v="Detour_Intra02x2"/>
    <m/>
  </r>
  <r>
    <s v="022A01"/>
    <x v="46"/>
    <m/>
    <n v="1"/>
    <n v="0"/>
    <s v="start Sable Blvd (former SH 2)"/>
    <n v="1.835"/>
    <s v="US 85C"/>
    <s v="Spur - no detour possible"/>
    <s v="not created"/>
    <m/>
  </r>
  <r>
    <s v="022A02"/>
    <x v="46"/>
    <m/>
    <n v="2"/>
    <n v="1.835"/>
    <s v="US 85C"/>
    <n v="2.476"/>
    <s v="Brighton Road (pre-1942 US 85)"/>
    <s v="Spur - no detour possible"/>
    <s v="not created"/>
    <s v="South Platte River"/>
  </r>
  <r>
    <s v="023A01"/>
    <x v="47"/>
    <m/>
    <n v="1"/>
    <n v="0"/>
    <s v="US 385D Holyoke"/>
    <n v="17.507000000000001"/>
    <s v="Nebraska state line"/>
    <m/>
    <s v="Detour_OOS02"/>
    <m/>
  </r>
  <r>
    <s v="024A01"/>
    <x v="48"/>
    <s v="024J"/>
    <n v="1"/>
    <n v="143.4"/>
    <s v="I-70A US 6E Dowd Jct"/>
    <n v="174.649"/>
    <s v="SH 91A NO Leadville"/>
    <m/>
    <s v="Detour_Virt2x1"/>
    <s v="Eagle River; Tennessee Creek"/>
  </r>
  <r>
    <s v="024A02"/>
    <x v="48"/>
    <s v="024J"/>
    <n v="2"/>
    <n v="174.649"/>
    <s v="SH 91A NO Leadville"/>
    <n v="180.09700000000001"/>
    <s v="SH 300A SWO Leadville"/>
    <m/>
    <s v="Detour_Virt2x1"/>
    <m/>
  </r>
  <r>
    <s v="024A03"/>
    <x v="48"/>
    <s v="024J"/>
    <n v="3"/>
    <n v="180.09700000000001"/>
    <s v="SH 300A SWO Leadville"/>
    <n v="191.18600000000001"/>
    <s v="SH 82A Twin Lakes"/>
    <m/>
    <s v="Detour_Virt2x1"/>
    <s v="Arkansas River"/>
  </r>
  <r>
    <s v="024A04"/>
    <x v="48"/>
    <s v="024J"/>
    <n v="4"/>
    <n v="191.18600000000001"/>
    <s v="SH 82A Twin Lakes"/>
    <n v="212.9"/>
    <s v="US 285C Johnson Village"/>
    <m/>
    <s v="Detour_Virt2x1"/>
    <s v="Arkansas River"/>
  </r>
  <r>
    <s v="024A05"/>
    <x v="48"/>
    <s v="024K"/>
    <n v="5"/>
    <n v="212.9"/>
    <s v="US 285C Johnson Village"/>
    <n v="226.55"/>
    <s v="US 285D Antero Jct"/>
    <m/>
    <s v="Detour_Virt2x1"/>
    <s v="Trout Creek"/>
  </r>
  <r>
    <s v="024A06"/>
    <x v="48"/>
    <s v="024K"/>
    <n v="6"/>
    <n v="226.55"/>
    <s v="US 285D Antero Jct"/>
    <n v="238.23599999999999"/>
    <s v="SH 9B WO Hartsel"/>
    <m/>
    <s v="Detour_Virt2x1"/>
    <s v="Middle Fork South Platte River"/>
  </r>
  <r>
    <s v="024A07"/>
    <x v="48"/>
    <s v="024K"/>
    <n v="7"/>
    <n v="238.23599999999999"/>
    <s v="SH 9B WO Hartsel"/>
    <n v="238.32"/>
    <s v="SH 9A Hartsel"/>
    <m/>
    <s v="Detour_Virt2x1"/>
    <s v="Middle Fork South Platte River"/>
  </r>
  <r>
    <s v="024A08"/>
    <x v="48"/>
    <s v="024K"/>
    <n v="8"/>
    <n v="238.32"/>
    <s v="SH 9A Hartsel"/>
    <n v="278.11"/>
    <s v="SH 67F Divide (f/k/a SH 67C)"/>
    <m/>
    <s v="Detour_Virt2x1"/>
    <s v="Twin Creek"/>
  </r>
  <r>
    <s v="024A09"/>
    <x v="48"/>
    <s v="024K"/>
    <n v="9"/>
    <n v="278.11"/>
    <s v="SH 67F Divide (f/k/a SH 67C)"/>
    <n v="284.822"/>
    <s v="SH 67D Woodland Park"/>
    <m/>
    <s v="Detour_Virt2x1"/>
    <m/>
  </r>
  <r>
    <s v="024A10"/>
    <x v="48"/>
    <s v="024K"/>
    <n v="10"/>
    <n v="284.822"/>
    <s v="SH 67D Woodland Park"/>
    <n v="296.97000000000003"/>
    <s v="US 24E NOW Manitou Spgs"/>
    <m/>
    <s v="Detour_Virt2x1"/>
    <s v="Fountain Creek (Waldo Cyn)"/>
  </r>
  <r>
    <s v="024A11"/>
    <x v="48"/>
    <s v="024K"/>
    <n v="11"/>
    <n v="296.97000000000003"/>
    <s v="US 24E NOW Manitou Spgs"/>
    <n v="299.06299999999999"/>
    <s v="US 24E Manitou Ave"/>
    <m/>
    <s v="Detour_Virt2x1"/>
    <s v="Fountain Creek"/>
  </r>
  <r>
    <s v="024A12"/>
    <x v="48"/>
    <s v="024K"/>
    <n v="12"/>
    <n v="299.06299999999999"/>
    <s v="US 24E Manitou Ave"/>
    <n v="300.43700000000001"/>
    <s v="US 24I 31st St Colorado Spgs"/>
    <m/>
    <s v="Detour_Virt2x1"/>
    <s v="Fountain Creek"/>
  </r>
  <r>
    <s v="024A13"/>
    <x v="48"/>
    <s v="024K"/>
    <n v="13"/>
    <n v="300.43700000000001"/>
    <s v="US 24I 31st St Colorado Spgs"/>
    <n v="303.83999999999997"/>
    <s v="I-25A"/>
    <m/>
    <s v="Detour_Virt2x1"/>
    <s v="Fountain Creek"/>
  </r>
  <r>
    <s v="024B01"/>
    <x v="49"/>
    <m/>
    <n v="1"/>
    <n v="419.95"/>
    <s v="start WO SH 59A Seibert"/>
    <n v="422.70699999999999"/>
    <s v="SH 59A Seibert"/>
    <s v="Spur - no detour possible"/>
    <s v="not in network"/>
    <m/>
  </r>
  <r>
    <s v="024B02"/>
    <x v="49"/>
    <s v="024O"/>
    <n v="2"/>
    <n v="422.70699999999999"/>
    <s v="SH 59A Seibert"/>
    <n v="429.60399999999998"/>
    <s v="I-70P Vona"/>
    <s v="Dom by I-70A"/>
    <s v="Detour_Virt3x1"/>
    <m/>
  </r>
  <r>
    <s v="024B03"/>
    <x v="49"/>
    <s v="024P"/>
    <n v="3"/>
    <n v="429.60399999999998"/>
    <s v="I-70P Vona"/>
    <n v="437.2"/>
    <s v="SH 57A Stratton"/>
    <s v="Dom by I-70A"/>
    <s v="Detour_Virt3x1"/>
    <m/>
  </r>
  <r>
    <s v="024C01"/>
    <x v="50"/>
    <m/>
    <n v="1"/>
    <n v="437.2"/>
    <s v="SH 57A Stratton"/>
    <n v="454.82799999999997"/>
    <s v="US 385C Burlington"/>
    <s v="Dom by I-70A"/>
    <s v="Detour_Intra02x2"/>
    <m/>
  </r>
  <r>
    <s v="024D01"/>
    <x v="51"/>
    <m/>
    <n v="1"/>
    <n v="455.88200000000001"/>
    <s v="SH 385C Burlington"/>
    <n v="456.02"/>
    <s v="I-70Q"/>
    <m/>
    <s v="Detour_Intra02x2"/>
    <m/>
  </r>
  <r>
    <s v="024D02"/>
    <x v="51"/>
    <m/>
    <n v="2"/>
    <n v="456.02"/>
    <s v="I-70Q"/>
    <n v="457.29"/>
    <s v="end NEO Burlington"/>
    <s v="Spur - no detour possible"/>
    <s v="Detour_Intra02x2"/>
    <m/>
  </r>
  <r>
    <s v="024E01"/>
    <x v="52"/>
    <m/>
    <n v="1"/>
    <n v="0"/>
    <s v="US 24A NWO Manitou Spgs"/>
    <n v="2.8260000000000001"/>
    <s v="US 24A"/>
    <s v="Dom by US 24A"/>
    <s v="Detour_Intra02x2"/>
    <s v="Fountain Creek"/>
  </r>
  <r>
    <s v="024F01"/>
    <x v="53"/>
    <m/>
    <n v="1"/>
    <n v="0"/>
    <s v="US 24G US 40G West Limon"/>
    <n v="0.54800000000000004"/>
    <s v="I-70A West Limon"/>
    <m/>
    <s v="Detour_Intra02x2"/>
    <m/>
  </r>
  <r>
    <s v="024G01"/>
    <x v="54"/>
    <s v="024L"/>
    <n v="1"/>
    <n v="310.87799999999999"/>
    <s v="US 24H SH 21B Powers Blvd"/>
    <n v="312.43"/>
    <s v="SH 94A"/>
    <m/>
    <s v="Detour_Virt2x1"/>
    <m/>
  </r>
  <r>
    <s v="024G02"/>
    <x v="54"/>
    <s v="024L"/>
    <n v="2"/>
    <n v="312.43"/>
    <s v="SH 94A"/>
    <n v="376.714"/>
    <s v="US 24F US 40G West Limon"/>
    <m/>
    <s v="Detour_Virt2x1"/>
    <m/>
  </r>
  <r>
    <s v="024G03"/>
    <x v="54"/>
    <s v="024L"/>
    <n v="3"/>
    <n v="376.714"/>
    <s v="US 24F US 40G West Limon"/>
    <n v="377.66800000000001"/>
    <s v="SH 71C Limon"/>
    <m/>
    <s v="Detour_Virt2x1"/>
    <m/>
  </r>
  <r>
    <s v="024G04"/>
    <x v="54"/>
    <s v="024L; 024M"/>
    <n v="4"/>
    <n v="377.66800000000001"/>
    <s v="SH 71C Limon"/>
    <n v="378.79500000000002"/>
    <s v="SH 71D Limon"/>
    <m/>
    <s v="Detour_Virt2x1; Detour_Virt2x2"/>
    <m/>
  </r>
  <r>
    <s v="024G05"/>
    <x v="54"/>
    <s v="024M"/>
    <n v="5"/>
    <n v="378.79500000000002"/>
    <s v="SH 71D Limon"/>
    <n v="379.19299999999998"/>
    <s v="I-70A East Limon"/>
    <m/>
    <s v="Detour_Virt2x2"/>
    <m/>
  </r>
  <r>
    <s v="024G06"/>
    <x v="54"/>
    <s v="024N"/>
    <n v="6"/>
    <n v="379.19299999999998"/>
    <s v="I-70A East Limon"/>
    <n v="380.464"/>
    <s v="I-70A US 40H EO Limon"/>
    <s v="Dom by I-70A"/>
    <s v="Detour_Virt2x1"/>
    <m/>
  </r>
  <r>
    <s v="024H01"/>
    <x v="55"/>
    <m/>
    <n v="1"/>
    <n v="303.41199999999998"/>
    <s v="I-25A"/>
    <n v="308.23"/>
    <s v="SH 21A Powers Blvd"/>
    <m/>
    <s v="Detour_Intra02x2"/>
    <s v="Spring Creek"/>
  </r>
  <r>
    <s v="024H02"/>
    <x v="55"/>
    <m/>
    <n v="2"/>
    <n v="308.23"/>
    <s v="SH 21A Powers Blvd"/>
    <n v="310.87799999999999"/>
    <s v="US 24G SH 21B Platte-Powers"/>
    <m/>
    <s v="Detour_Intra02x2"/>
    <m/>
  </r>
  <r>
    <s v="024I01"/>
    <x v="56"/>
    <m/>
    <n v="1"/>
    <n v="4.1959999999999997"/>
    <s v="Start Colorado Ave"/>
    <n v="4.3230000000000004"/>
    <s v="US 24A Midland Trail"/>
    <s v="Spur - no detour possible"/>
    <s v="not created"/>
    <s v="Fountain Creek"/>
  </r>
  <r>
    <s v="025A01"/>
    <x v="57"/>
    <s v="025F"/>
    <n v="1"/>
    <n v="0"/>
    <s v="New Mexico state line"/>
    <n v="13.311"/>
    <s v="SH 12A Trinidad"/>
    <m/>
    <s v="Detour_Virt1x1a"/>
    <s v="Raton Creek; Purgatoire River"/>
  </r>
  <r>
    <s v="025A02"/>
    <x v="57"/>
    <s v="025F"/>
    <n v="2"/>
    <n v="13.311"/>
    <s v="SH 12A Trinidad"/>
    <n v="14.88"/>
    <s v="US 160C SH 239A Trinidad, El Moro"/>
    <m/>
    <s v="Detour_Virt1x1a"/>
    <s v="Purgatoire River"/>
  </r>
  <r>
    <s v="025A03"/>
    <x v="57"/>
    <s v="025F"/>
    <n v="3"/>
    <n v="14.88"/>
    <s v="US 160C SH 239A Trinidad, El Moro"/>
    <n v="34.149000000000001"/>
    <s v="I-25B Aguilar spur"/>
    <m/>
    <s v="Detour_Virt1x1a"/>
    <s v="Apishapa River"/>
  </r>
  <r>
    <s v="025A04"/>
    <x v="57"/>
    <s v="025F"/>
    <n v="4"/>
    <n v="34.149000000000001"/>
    <s v="I-25B Aguilar spur"/>
    <n v="49"/>
    <s v="I-25C Walsenburg"/>
    <m/>
    <s v="Detour_Virt1x1a"/>
    <m/>
  </r>
  <r>
    <s v="025A05"/>
    <x v="57"/>
    <s v="025F"/>
    <n v="5"/>
    <n v="49"/>
    <s v="I-25C Walsenburg"/>
    <n v="50.054000000000002"/>
    <s v="US 160B SH 10A Walsenburg"/>
    <m/>
    <s v="Detour_Virt1x1a"/>
    <s v="Cucharas River"/>
  </r>
  <r>
    <s v="025A06"/>
    <x v="57"/>
    <s v="025F"/>
    <n v="6"/>
    <n v="50.054000000000002"/>
    <s v="US 160B SH 10A Walsenburg"/>
    <n v="52.320999999999998"/>
    <s v="I-25C NO Walsenburg"/>
    <m/>
    <s v="Detour_Virt1x1a"/>
    <m/>
  </r>
  <r>
    <s v="025A07"/>
    <x v="57"/>
    <m/>
    <n v="7"/>
    <n v="52.320999999999998"/>
    <s v="I-25C NO Walsenburg"/>
    <n v="74.367000000000004"/>
    <s v="SH 165A Colorado City Rye"/>
    <m/>
    <s v="Detour_OOS01"/>
    <s v="Huerfano River"/>
  </r>
  <r>
    <s v="025A08"/>
    <x v="57"/>
    <m/>
    <n v="8"/>
    <n v="74.367000000000004"/>
    <s v="SH 165A Colorado City Rye"/>
    <n v="94.769000000000005"/>
    <s v="SH 45A Pueblo Blvd"/>
    <m/>
    <s v="Detour_OOS01"/>
    <s v="Saint Charles River; Salt Creek"/>
  </r>
  <r>
    <s v="025A09"/>
    <x v="57"/>
    <m/>
    <n v="9"/>
    <n v="94.769000000000005"/>
    <s v="SH 45A Pueblo Blvd"/>
    <n v="97.691000000000003"/>
    <s v="US 50C Santa Fe Dr, Ilex Ave"/>
    <m/>
    <s v="Detour_OOS01"/>
    <s v="Arkansas River"/>
  </r>
  <r>
    <s v="025A10"/>
    <x v="57"/>
    <m/>
    <n v="10"/>
    <n v="97.691000000000003"/>
    <s v="US 50C Santa Fe Dr, Ilex Ave"/>
    <n v="98.742000000000004"/>
    <s v="SH 96A"/>
    <m/>
    <s v="Detour_OOS01"/>
    <m/>
  </r>
  <r>
    <s v="025A11"/>
    <x v="57"/>
    <m/>
    <n v="11"/>
    <n v="98.742000000000004"/>
    <s v="SH 96A"/>
    <n v="99.980999999999995"/>
    <s v="US 50B"/>
    <m/>
    <s v="Detour_OOS01"/>
    <s v="Fountain Creek"/>
  </r>
  <r>
    <s v="025A12"/>
    <x v="57"/>
    <m/>
    <n v="12"/>
    <n v="99.980999999999995"/>
    <s v="US 50B"/>
    <n v="101.389"/>
    <s v="US 50A SH 47A"/>
    <m/>
    <s v="Detour_OOS01"/>
    <s v="Fountain Creek"/>
  </r>
  <r>
    <s v="025A13"/>
    <x v="57"/>
    <m/>
    <n v="13"/>
    <n v="101.389"/>
    <s v="US 50A SH 47A"/>
    <n v="127.86"/>
    <s v="US 85A Fountain"/>
    <m/>
    <s v="Detour_OOS01"/>
    <s v="Fountain Creek"/>
  </r>
  <r>
    <s v="025A14"/>
    <x v="57"/>
    <m/>
    <n v="14"/>
    <n v="127.86"/>
    <s v="US 85A Fountain"/>
    <n v="131.65299999999999"/>
    <s v="SH 16A Fort Carson"/>
    <m/>
    <s v="Detour_OOS01"/>
    <s v="Fountain Creek"/>
  </r>
  <r>
    <s v="025A15"/>
    <x v="57"/>
    <s v="025D"/>
    <n v="15"/>
    <n v="131.65299999999999"/>
    <s v="SH 16A Fort Carson"/>
    <n v="138.74199999999999"/>
    <s v="US 24H Colorado Spgs"/>
    <m/>
    <s v="Detour_Virt1x1a"/>
    <s v="Fountain Creek"/>
  </r>
  <r>
    <s v="025A16"/>
    <x v="57"/>
    <s v="025D"/>
    <n v="16"/>
    <n v="138.74199999999999"/>
    <s v="US 24H Colorado Spgs"/>
    <n v="139.74700000000001"/>
    <s v="SH 115A "/>
    <m/>
    <s v="Detour_Virt1x1a"/>
    <s v="Fountain Creek"/>
  </r>
  <r>
    <s v="025A17"/>
    <x v="57"/>
    <s v="025D"/>
    <n v="17"/>
    <n v="139.74700000000001"/>
    <s v="SH 115A "/>
    <n v="141.13900000000001"/>
    <s v="US 24A Colorado Spgs"/>
    <m/>
    <s v="Detour_Virt1x1a"/>
    <s v="Fountain Creek"/>
  </r>
  <r>
    <s v="025A18"/>
    <x v="57"/>
    <s v="025D"/>
    <n v="18"/>
    <n v="141.13900000000001"/>
    <s v="US 24A Colorado Spgs"/>
    <n v="160.76300000000001"/>
    <s v="SH 105A Monument"/>
    <m/>
    <s v="Detour_Virt1x1a"/>
    <s v="Monument Creek"/>
  </r>
  <r>
    <s v="025A19"/>
    <x v="57"/>
    <s v="025D"/>
    <n v="19"/>
    <n v="160.76300000000001"/>
    <s v="SH 105A Monument"/>
    <n v="184.21199999999999"/>
    <s v="US 85B SH 86B Castle Rock"/>
    <m/>
    <s v="Detour_Virt1x1a"/>
    <s v="East Plum Creek"/>
  </r>
  <r>
    <s v="025A20"/>
    <x v="57"/>
    <s v="025D"/>
    <n v="20"/>
    <n v="184.21199999999999"/>
    <s v="US 85B SH 86B Castle Rock"/>
    <n v="194.31399999999999"/>
    <s v="C-470A E-470B"/>
    <m/>
    <s v="Detour_Virt1x1a"/>
    <m/>
  </r>
  <r>
    <s v="025A21"/>
    <x v="57"/>
    <s v="025D"/>
    <n v="21"/>
    <n v="194.31399999999999"/>
    <s v="C-470A E-470B"/>
    <n v="197.11799999999999"/>
    <s v="SH 88B Arapahoe Rd"/>
    <m/>
    <s v="Detour_Virt1x1a"/>
    <m/>
  </r>
  <r>
    <s v="025A22"/>
    <x v="57"/>
    <s v="025D"/>
    <n v="22"/>
    <n v="197.11799999999999"/>
    <s v="SH 88B Arapahoe Rd"/>
    <n v="199.39699999999999"/>
    <s v="SH 88A Belleview Ave"/>
    <m/>
    <s v="Detour_Virt1x1a"/>
    <m/>
  </r>
  <r>
    <s v="025A23"/>
    <x v="57"/>
    <s v="025D"/>
    <n v="23"/>
    <n v="199.39699999999999"/>
    <s v="SH 88A Belleview Ave"/>
    <n v="200"/>
    <s v="I-225A Full House"/>
    <m/>
    <s v="Detour_Virt1x1a"/>
    <m/>
  </r>
  <r>
    <s v="025A24"/>
    <x v="57"/>
    <s v="025D"/>
    <n v="24"/>
    <n v="200"/>
    <s v="I-225A Full House"/>
    <n v="201.59200000000001"/>
    <s v="US 285D SH 30A Hampden Ave"/>
    <m/>
    <s v="Detour_Virt1x1a"/>
    <m/>
  </r>
  <r>
    <s v="025A25"/>
    <x v="57"/>
    <s v="025D"/>
    <n v="25"/>
    <n v="201.59200000000001"/>
    <s v="US 285D SH 30A Hampden Ave"/>
    <n v="204.03700000000001"/>
    <s v="SH 2A Colorado Blvd"/>
    <m/>
    <s v="Detour_Virt1x1a"/>
    <m/>
  </r>
  <r>
    <s v="025A26"/>
    <x v="57"/>
    <s v="025D"/>
    <n v="26"/>
    <n v="204.03700000000001"/>
    <s v="SH 2A Colorado Blvd"/>
    <n v="207.488"/>
    <s v="US 85B Santa Fe Dr"/>
    <m/>
    <s v="Detour_Virt1x1a"/>
    <m/>
  </r>
  <r>
    <s v="025A27"/>
    <x v="57"/>
    <s v="025D"/>
    <n v="27"/>
    <n v="207.488"/>
    <s v="US 85B Santa Fe Dr"/>
    <n v="207.99"/>
    <s v="SH 26B Alameda Ave"/>
    <m/>
    <s v="Detour_Virt1x1a"/>
    <s v="South Platte River"/>
  </r>
  <r>
    <s v="025A28"/>
    <x v="57"/>
    <s v="025D"/>
    <n v="28"/>
    <n v="207.99"/>
    <s v="SH 26B Alameda Ave"/>
    <n v="209.28200000000001"/>
    <s v="US 6G 6th Ave Fwy"/>
    <m/>
    <s v="Detour_Virt1x1a"/>
    <s v="South Platte River"/>
  </r>
  <r>
    <s v="025A29"/>
    <x v="57"/>
    <s v="025D"/>
    <n v="29"/>
    <n v="209.28200000000001"/>
    <s v="US 6G 6th Ave Fwy"/>
    <n v="201.31100000000001"/>
    <s v="US 40C Colfax Ave"/>
    <m/>
    <s v="Detour_Virt1x1a"/>
    <s v="South Platte River"/>
  </r>
  <r>
    <s v="025A30"/>
    <x v="57"/>
    <s v="025D"/>
    <n v="30"/>
    <n v="201.31100000000001"/>
    <s v="US 40C Colfax Ave"/>
    <n v="213.64699999999999"/>
    <s v="I-70A Mousetrap"/>
    <m/>
    <s v="Detour_Virt1x1a"/>
    <s v="South Platte River"/>
  </r>
  <r>
    <s v="025A31"/>
    <x v="57"/>
    <s v="025E"/>
    <n v="31"/>
    <n v="213.64699999999999"/>
    <s v="I-70A Mousetrap"/>
    <n v="215.244"/>
    <s v="SH 53A 58th Ave"/>
    <m/>
    <s v="Detour_Virt1x2"/>
    <m/>
  </r>
  <r>
    <s v="025A32"/>
    <x v="57"/>
    <s v="025E"/>
    <n v="32"/>
    <n v="215.244"/>
    <s v="SH 53A 58th Ave"/>
    <n v="216.31"/>
    <s v="I-76A Turnpike Tangle"/>
    <m/>
    <s v="Detour_Virt1x2"/>
    <m/>
  </r>
  <r>
    <s v="025A33"/>
    <x v="57"/>
    <s v="025E"/>
    <n v="33"/>
    <n v="216.31"/>
    <s v="I-76A Turnpike Tangle"/>
    <n v="216.779"/>
    <s v="SH 224A 70th Ave"/>
    <m/>
    <s v="Detour_Virt1x2"/>
    <s v="Clear Creek"/>
  </r>
  <r>
    <s v="025A34"/>
    <x v="57"/>
    <s v="025E"/>
    <n v="34"/>
    <n v="216.779"/>
    <s v="SH 224A 70th Ave"/>
    <n v="217.036"/>
    <s v="I-270B US 36B Turnpike Tangle"/>
    <m/>
    <s v="Detour_Virt1x2"/>
    <m/>
  </r>
  <r>
    <s v="025A35"/>
    <x v="57"/>
    <s v="025E"/>
    <n v="35"/>
    <n v="217.036"/>
    <s v="I-270B US 36B Turnpike Tangle"/>
    <n v="223.04900000000001"/>
    <s v="SH 128B 120th Ave Wagon Rd PnR"/>
    <m/>
    <s v="Detour_Virt1x2"/>
    <m/>
  </r>
  <r>
    <s v="025A36"/>
    <x v="57"/>
    <s v="025E"/>
    <n v="36"/>
    <n v="223.04900000000001"/>
    <s v="SH 128B 120th Ave Wagon Rd PnR"/>
    <n v="227.745"/>
    <s v="E-470B NWP 470N"/>
    <m/>
    <s v="Detour_Virt1x2"/>
    <s v="Big Dry Creek"/>
  </r>
  <r>
    <s v="025A37"/>
    <x v="57"/>
    <s v="025E"/>
    <n v="37"/>
    <n v="227.745"/>
    <s v="E-470B NWP 470N"/>
    <n v="229.107"/>
    <s v="SH 7D 168th Ave Weld CR 2 Baseline Rd"/>
    <m/>
    <s v="Detour_Virt1x2"/>
    <m/>
  </r>
  <r>
    <s v="025A38"/>
    <x v="57"/>
    <s v="025E"/>
    <n v="38"/>
    <n v="229.107"/>
    <s v="SH 7D 168th Ave Weld CR 2 Baseline Rd"/>
    <n v="235.114"/>
    <s v="SH 52A"/>
    <m/>
    <s v="Detour_Virt1x2"/>
    <s v="Little Dry Creek"/>
  </r>
  <r>
    <s v="025A39"/>
    <x v="57"/>
    <s v="025E"/>
    <n v="39"/>
    <n v="235.114"/>
    <s v="SH 52A"/>
    <n v="240.114"/>
    <s v="SH 119C Longmont Firestone"/>
    <m/>
    <s v="Detour_Virt1x2"/>
    <m/>
  </r>
  <r>
    <s v="025A40"/>
    <x v="57"/>
    <s v="025E"/>
    <n v="40"/>
    <n v="240.114"/>
    <s v="SH 119C Longmont Firestone"/>
    <n v="243.148"/>
    <s v="SH 66B Ute Hwy"/>
    <m/>
    <s v="Detour_Virt1x2"/>
    <s v="Saint Vrain Creek"/>
  </r>
  <r>
    <s v="025A41"/>
    <x v="57"/>
    <s v="025E"/>
    <n v="41"/>
    <n v="243.148"/>
    <s v="SH 66B Ute Hwy"/>
    <n v="250.24100000000001"/>
    <s v="SH 56B"/>
    <m/>
    <s v="Detour_Virt1x2"/>
    <s v="Little Thompson River"/>
  </r>
  <r>
    <s v="025A42"/>
    <x v="57"/>
    <s v="025E"/>
    <n v="42"/>
    <n v="250.24100000000001"/>
    <s v="SH 56B"/>
    <n v="252.261"/>
    <s v="SH 60B"/>
    <m/>
    <s v="Detour_Virt1x2"/>
    <m/>
  </r>
  <r>
    <s v="025A43"/>
    <x v="57"/>
    <m/>
    <n v="43"/>
    <n v="252.261"/>
    <s v="SH 60B"/>
    <n v="255.27199999999999"/>
    <s v="SH 402A"/>
    <m/>
    <s v="Detour_OOS01"/>
    <m/>
  </r>
  <r>
    <s v="025A44"/>
    <x v="57"/>
    <m/>
    <n v="44"/>
    <n v="255.27199999999999"/>
    <s v="SH 402A"/>
    <n v="257.30500000000001"/>
    <s v="US 34A Loveland Centerra"/>
    <m/>
    <s v="Detour_OOS01"/>
    <s v="Big Thompson River"/>
  </r>
  <r>
    <s v="025A45"/>
    <x v="57"/>
    <m/>
    <n v="45"/>
    <n v="257.30500000000001"/>
    <s v="US 34A Loveland Centerra"/>
    <n v="262.298"/>
    <s v="SH 392A"/>
    <m/>
    <s v="Detour_OOS01"/>
    <m/>
  </r>
  <r>
    <s v="025A46"/>
    <x v="57"/>
    <m/>
    <n v="46"/>
    <n v="262.298"/>
    <s v="SH 392A"/>
    <n v="269.37"/>
    <s v="SH 14C Fort Collins"/>
    <m/>
    <s v="Detour_OOS01"/>
    <s v="Cache la Poudre River"/>
  </r>
  <r>
    <s v="025A47"/>
    <x v="57"/>
    <m/>
    <n v="47"/>
    <n v="269.37"/>
    <s v="SH 14C Fort Collins"/>
    <n v="277.88400000000001"/>
    <s v="SH 1A Wellington"/>
    <m/>
    <s v="Detour_OOS01"/>
    <m/>
  </r>
  <r>
    <s v="025A48"/>
    <x v="57"/>
    <m/>
    <n v="48"/>
    <n v="277.88400000000001"/>
    <s v="SH 1A Wellington"/>
    <n v="298.87900000000002"/>
    <s v="Wyoming state line"/>
    <m/>
    <s v="Detour_OOS01"/>
    <s v="Lone Tree Creek"/>
  </r>
  <r>
    <s v="025B01"/>
    <x v="58"/>
    <m/>
    <n v="1"/>
    <n v="0"/>
    <s v="I-25A"/>
    <n v="1.948"/>
    <s v="Aguilar"/>
    <s v="Spur - no detour possible"/>
    <s v="not created"/>
    <m/>
  </r>
  <r>
    <s v="025C01"/>
    <x v="59"/>
    <s v="025G"/>
    <n v="1"/>
    <n v="0"/>
    <s v="I-25A Walsenburg"/>
    <n v="1.3660000000000001"/>
    <s v="US 160A Walsenburg"/>
    <m/>
    <s v="Detour_Virt3x1"/>
    <s v="Cucharas River"/>
  </r>
  <r>
    <s v="025C02"/>
    <x v="59"/>
    <s v="025G"/>
    <n v="2"/>
    <n v="1.3660000000000001"/>
    <s v="US 160A Walsenburg"/>
    <n v="1.51"/>
    <s v="US 160B Walsenburg"/>
    <m/>
    <s v="Detour_Virt3x1"/>
    <m/>
  </r>
  <r>
    <s v="025C03"/>
    <x v="59"/>
    <s v="025H"/>
    <n v="3"/>
    <n v="1.51"/>
    <s v="US 160B Walsenburg"/>
    <n v="3.6429999999999998"/>
    <s v="SH 69A"/>
    <m/>
    <s v="Detour_Virt3x1"/>
    <m/>
  </r>
  <r>
    <s v="025C04"/>
    <x v="59"/>
    <s v="025I"/>
    <n v="4"/>
    <n v="3.6429999999999998"/>
    <s v="SH 69A"/>
    <n v="4.0389999999999997"/>
    <s v="I-25A NO Walsenburg"/>
    <m/>
    <s v="Detour_Virt3x1"/>
    <m/>
  </r>
  <r>
    <s v="026B01"/>
    <x v="60"/>
    <m/>
    <n v="1"/>
    <n v="11.17"/>
    <s v="SH 95A Sheridan Blvd"/>
    <n v="12.699"/>
    <s v="SH 88A Federal Blvd"/>
    <m/>
    <s v="Detour_Intra02x2"/>
    <s v="South Platte River"/>
  </r>
  <r>
    <s v="026B02"/>
    <x v="60"/>
    <m/>
    <n v="2"/>
    <n v="12.699"/>
    <s v="SH 88A Federal Blvd"/>
    <n v="14.14"/>
    <s v="I-25A"/>
    <m/>
    <s v="Detour_Intra02x2"/>
    <m/>
  </r>
  <r>
    <s v="030A01"/>
    <x v="61"/>
    <s v="030B"/>
    <n v="1"/>
    <n v="8.3000000000000004E-2"/>
    <s v="I-25A US 285D"/>
    <n v="3.831"/>
    <s v="SH 83A Parker Rd"/>
    <m/>
    <s v="Detour_Virt3x1"/>
    <s v="Cherry Creek"/>
  </r>
  <r>
    <s v="030A02"/>
    <x v="61"/>
    <s v="030C"/>
    <n v="2"/>
    <n v="3.831"/>
    <s v="SH 83A Parker Rd"/>
    <n v="9.9719999999999995"/>
    <s v="I-225A"/>
    <s v="Dom by SH 83A I-225A"/>
    <s v="Detour_Virt3x1"/>
    <m/>
  </r>
  <r>
    <s v="030A03"/>
    <x v="61"/>
    <s v="030D"/>
    <n v="3"/>
    <n v="9.9719999999999995"/>
    <s v="I-225A"/>
    <n v="17.314"/>
    <s v="E-470B via Jewell Ave"/>
    <m/>
    <s v="Detour_Virt3x2"/>
    <s v="Toll Gate Creek"/>
  </r>
  <r>
    <s v="030A04"/>
    <x v="61"/>
    <s v="030D"/>
    <n v="4"/>
    <n v="17.314"/>
    <s v="E-470B via Jewell Ave"/>
    <n v="20.416"/>
    <s v="E-470B at Quincy Ave"/>
    <s v="NWB Dom by E-470B"/>
    <s v="Detour_Virt3x2"/>
    <m/>
  </r>
  <r>
    <s v="034A01"/>
    <x v="62"/>
    <s v="034G"/>
    <n v="1"/>
    <n v="0"/>
    <s v="US 40A Granby"/>
    <n v="53.758000000000003"/>
    <s v="US 36A Deer Ridge Jct RMNP"/>
    <m/>
    <s v="Detour_Virt2x1"/>
    <s v="Colorado River"/>
  </r>
  <r>
    <s v="034A02"/>
    <x v="62"/>
    <s v="034H"/>
    <n v="2"/>
    <n v="53.758000000000003"/>
    <s v="US 36A Deer Ridge Jct RMNP"/>
    <n v="60.965000000000003"/>
    <s v="US 34F Elkhorn Ave Estes Park"/>
    <m/>
    <s v="Detour_Virt2x1"/>
    <s v="Fall River"/>
  </r>
  <r>
    <s v="034A03"/>
    <x v="62"/>
    <s v="034I"/>
    <n v="3"/>
    <n v="60.965000000000003"/>
    <s v="US 34F Elkhorn Ave Estes Park"/>
    <n v="62.506999999999998"/>
    <s v="US 34C US 36B Estes Park"/>
    <m/>
    <s v="Detour_Virt2x1"/>
    <s v="Black Canyon Creek"/>
  </r>
  <r>
    <s v="034A04"/>
    <x v="62"/>
    <s v="034I"/>
    <n v="4"/>
    <n v="62.506999999999998"/>
    <s v="US 34C US 36B Estes Park"/>
    <n v="91.924000000000007"/>
    <s v="US 287Z Cleveland Ave Loveland"/>
    <m/>
    <s v="Detour_Virt2x1"/>
    <s v="Big Thompson River"/>
  </r>
  <r>
    <s v="034A05"/>
    <x v="62"/>
    <s v="034I"/>
    <n v="5"/>
    <n v="91.924000000000007"/>
    <s v="US 287Z Cleveland Ave Loveland"/>
    <n v="92.009"/>
    <s v="US 287C Lincoln Ave Loveland"/>
    <m/>
    <s v="Detour_Virt2x1"/>
    <m/>
  </r>
  <r>
    <s v="034A06"/>
    <x v="62"/>
    <s v="034I"/>
    <n v="6"/>
    <n v="92.009"/>
    <s v="US 287C Lincoln Ave Loveland"/>
    <n v="96.25"/>
    <s v="I-25A Centerra"/>
    <m/>
    <s v="Detour_Virt2x1"/>
    <m/>
  </r>
  <r>
    <s v="034A07"/>
    <x v="62"/>
    <s v="034J"/>
    <n v="7"/>
    <n v="96.25"/>
    <s v="I-25A Centerra"/>
    <n v="102.476"/>
    <s v="US 34D Greeley business route"/>
    <m/>
    <s v="Detour_Virt2x2"/>
    <m/>
  </r>
  <r>
    <s v="034A08"/>
    <x v="62"/>
    <s v="034J"/>
    <n v="8"/>
    <n v="102.476"/>
    <s v="US 34D Greeley business route"/>
    <n v="102.804"/>
    <s v="SH 257A"/>
    <m/>
    <s v="Detour_Virt2x2"/>
    <m/>
  </r>
  <r>
    <s v="034A09"/>
    <x v="62"/>
    <s v="034J"/>
    <n v="9"/>
    <n v="102.804"/>
    <s v="SH 257A"/>
    <n v="112.77200000000001"/>
    <s v="US 85C US 85G"/>
    <m/>
    <s v="Detour_Virt2x2"/>
    <m/>
  </r>
  <r>
    <s v="034A10"/>
    <x v="62"/>
    <s v="034J"/>
    <n v="10"/>
    <n v="112.77200000000001"/>
    <s v="US 85C US 85G"/>
    <n v="113.136"/>
    <s v="US 85L"/>
    <m/>
    <s v="Detour_Virt2x2"/>
    <m/>
  </r>
  <r>
    <s v="034A11"/>
    <x v="62"/>
    <s v="034J"/>
    <n v="11"/>
    <n v="113.136"/>
    <s v="US 85L"/>
    <n v="115.411"/>
    <s v="US 34D Greeley business route"/>
    <m/>
    <s v="Detour_Virt2x2"/>
    <s v="South Platte River"/>
  </r>
  <r>
    <s v="034A12"/>
    <x v="62"/>
    <s v="034J"/>
    <n v="12"/>
    <n v="115.411"/>
    <s v="US 34D Greeley business route"/>
    <n v="144.47"/>
    <s v="SH 144A"/>
    <m/>
    <s v="Detour_Virt2x2"/>
    <s v="South Platte River"/>
  </r>
  <r>
    <s v="034A13"/>
    <x v="62"/>
    <s v="034J"/>
    <n v="13"/>
    <n v="144.47"/>
    <s v="SH 144A"/>
    <n v="149.16399999999999"/>
    <s v="SH 39A NO Wiggins"/>
    <m/>
    <s v="Detour_Virt2x2"/>
    <m/>
  </r>
  <r>
    <s v="034A14"/>
    <x v="62"/>
    <s v="034J"/>
    <n v="14"/>
    <n v="149.16399999999999"/>
    <s v="SH 39A NO Wiggins"/>
    <n v="149.63300000000001"/>
    <s v="US 6I on ramp to I-76A"/>
    <m/>
    <s v="Detour_Virt2x2"/>
    <m/>
  </r>
  <r>
    <s v="034B01"/>
    <x v="63"/>
    <s v="034N"/>
    <n v="1"/>
    <n v="158.48500000000001"/>
    <s v="I-76A WO Fort Morgan"/>
    <n v="162.96199999999999"/>
    <s v="SH 52B Fort Morgan"/>
    <s v="Dom by I-76A"/>
    <s v="Detour_Virt3x3"/>
    <m/>
  </r>
  <r>
    <s v="034B02"/>
    <x v="63"/>
    <s v="034O"/>
    <n v="2"/>
    <n v="162.96199999999999"/>
    <s v="SH 52B Fort Morgan"/>
    <n v="172.41399999999999"/>
    <s v="SH 71E Brush"/>
    <s v="Dom by I-76A"/>
    <s v="Detour_Virt3x3"/>
    <m/>
  </r>
  <r>
    <s v="034B03"/>
    <x v="63"/>
    <s v="034P"/>
    <n v="3"/>
    <n v="172.41399999999999"/>
    <s v="SH 71E Brush"/>
    <n v="173.57"/>
    <s v="SH 71D EO Brush"/>
    <m/>
    <s v="Detour_Virt3x3"/>
    <m/>
  </r>
  <r>
    <s v="034B04"/>
    <x v="63"/>
    <s v="034P"/>
    <n v="4"/>
    <n v="173.57"/>
    <s v="SH 71D EO Brush"/>
    <n v="173.9"/>
    <s v="US 34E to I-76A"/>
    <m/>
    <s v="Detour_Virt3x3"/>
    <m/>
  </r>
  <r>
    <s v="034B05"/>
    <x v="63"/>
    <s v="034P"/>
    <n v="5"/>
    <n v="173.9"/>
    <s v="US 34E to I-76A"/>
    <n v="196.33600000000001"/>
    <s v="SH 63A Akron"/>
    <m/>
    <s v="Detour_Virt3x3"/>
    <m/>
  </r>
  <r>
    <s v="034B06"/>
    <x v="63"/>
    <s v="034P"/>
    <n v="6"/>
    <n v="196.33600000000001"/>
    <s v="SH 63A Akron"/>
    <n v="209.30500000000001"/>
    <s v="SH 61A Otis"/>
    <m/>
    <s v="Detour_Virt3x3"/>
    <m/>
  </r>
  <r>
    <s v="034B07"/>
    <x v="63"/>
    <s v="034P"/>
    <n v="7"/>
    <n v="209.30500000000001"/>
    <s v="SH 61A Otis"/>
    <n v="223.345"/>
    <s v="SH 59B Yuma"/>
    <m/>
    <s v="Detour_Virt3x3"/>
    <m/>
  </r>
  <r>
    <s v="034B08"/>
    <x v="63"/>
    <s v="034P"/>
    <n v="8"/>
    <n v="223.345"/>
    <s v="SH 59B Yuma"/>
    <n v="249.93100000000001"/>
    <s v="US 385D Wray"/>
    <m/>
    <s v="Detour_Virt3x3"/>
    <s v="North Fork Republican River"/>
  </r>
  <r>
    <s v="034B09"/>
    <x v="63"/>
    <s v="034P"/>
    <n v="9"/>
    <n v="249.93100000000001"/>
    <s v="US 385D Wray"/>
    <n v="259.529"/>
    <s v="Nebraska state line"/>
    <m/>
    <s v="Detour_Virt3x3"/>
    <s v="North Fork Republican River"/>
  </r>
  <r>
    <s v="034C01"/>
    <x v="64"/>
    <m/>
    <n v="1"/>
    <n v="1.306"/>
    <s v="US 36A Moraine Ave"/>
    <n v="1.69"/>
    <s v="US 34A US 36B Estes Park"/>
    <m/>
    <s v="Detour_Intra02x2"/>
    <s v="Big Thompson River"/>
  </r>
  <r>
    <s v="034D01"/>
    <x v="65"/>
    <s v="034K"/>
    <n v="1"/>
    <n v="0"/>
    <s v="US 34A"/>
    <n v="0.39900000000000002"/>
    <s v="SH 257A"/>
    <m/>
    <s v="Detour_Virt2x1"/>
    <m/>
  </r>
  <r>
    <s v="034D02"/>
    <x v="65"/>
    <s v="034K"/>
    <n v="2"/>
    <n v="0.39900000000000002"/>
    <s v="SH 257A"/>
    <n v="1.752"/>
    <s v="SH 257B"/>
    <m/>
    <s v="Detour_Virt2x1"/>
    <m/>
  </r>
  <r>
    <s v="034D03"/>
    <x v="65"/>
    <s v="034K"/>
    <n v="3"/>
    <n v="1.752"/>
    <s v="SH 257B"/>
    <n v="8.7680000000000007"/>
    <s v="US 34Z WO 23rd Ave"/>
    <m/>
    <s v="Detour_Virt2x1"/>
    <m/>
  </r>
  <r>
    <s v="034D04"/>
    <x v="65"/>
    <s v="034K"/>
    <n v="4"/>
    <n v="8.7680000000000007"/>
    <s v="US 34Z WO 23rd Ave"/>
    <n v="10"/>
    <s v="US 34Z 10th Ave"/>
    <m/>
    <s v="Detour_Virt2x1"/>
    <m/>
  </r>
  <r>
    <s v="034D05"/>
    <x v="65"/>
    <s v="034K"/>
    <n v="5"/>
    <n v="10"/>
    <s v="US 34Z 10th Ave"/>
    <n v="10.194000000000001"/>
    <s v="US 85H business"/>
    <m/>
    <s v="Detour_Virt2x1"/>
    <m/>
  </r>
  <r>
    <s v="034D06"/>
    <x v="65"/>
    <s v="034L"/>
    <n v="6"/>
    <n v="10.194000000000001"/>
    <s v="US 85H business"/>
    <n v="11.057"/>
    <s v="US 85G business"/>
    <m/>
    <s v="Detour_Virt2x1"/>
    <m/>
  </r>
  <r>
    <s v="034D07"/>
    <x v="65"/>
    <s v="034L"/>
    <n v="7"/>
    <n v="11.057"/>
    <s v="US 85G business"/>
    <n v="11.643000000000001"/>
    <s v="US 85L"/>
    <m/>
    <s v="Detour_Virt2x1"/>
    <m/>
  </r>
  <r>
    <s v="034D08"/>
    <x v="65"/>
    <s v="034M"/>
    <n v="8"/>
    <n v="11.643000000000001"/>
    <s v="US 85L"/>
    <n v="14.711"/>
    <s v="US 34A EO Greeley"/>
    <s v="Dom by US 85L &amp; US 34A"/>
    <s v="Detour_Virt2x1"/>
    <s v="South Platte River"/>
  </r>
  <r>
    <s v="034E01"/>
    <x v="66"/>
    <m/>
    <n v="1"/>
    <n v="0"/>
    <s v="US 34B EO Brush"/>
    <n v="0.93200000000000005"/>
    <s v="I-76A EO Brush"/>
    <m/>
    <s v="Detour_Intra02x2"/>
    <m/>
  </r>
  <r>
    <s v="034F01"/>
    <x v="67"/>
    <m/>
    <n v="1"/>
    <n v="0"/>
    <s v="US 34A Estes Park"/>
    <n v="3.1E-2"/>
    <s v="end EO US 34A"/>
    <s v="Spur - no detour possible"/>
    <s v="not created"/>
    <s v="Fall River"/>
  </r>
  <r>
    <s v="034Z01"/>
    <x v="68"/>
    <m/>
    <n v="1"/>
    <n v="0"/>
    <s v="US 34D 10th Ave"/>
    <n v="1.3009999999999999"/>
    <s v="US 34D WO 23rd Ave"/>
    <m/>
    <s v="Detour_Virt2x1"/>
    <m/>
  </r>
  <r>
    <s v="035A01"/>
    <x v="69"/>
    <m/>
    <n v="1"/>
    <n v="8.4350000000000005"/>
    <s v="I-70A"/>
    <n v="8.8979999999999997"/>
    <s v="I-270A"/>
    <m/>
    <s v="Detour_Intra02x2"/>
    <s v="Sand Creek"/>
  </r>
  <r>
    <s v="035A02"/>
    <x v="69"/>
    <m/>
    <n v="2"/>
    <n v="8.8979999999999997"/>
    <s v="I-270A"/>
    <n v="9.7040000000000006"/>
    <s v="end 53rd Pl"/>
    <s v="Spur - no detour possible"/>
    <s v="Detour_Intra02x2"/>
    <m/>
  </r>
  <r>
    <s v="036A01"/>
    <x v="70"/>
    <m/>
    <n v="1"/>
    <n v="0"/>
    <s v="US 34A Deer Ridge Jct"/>
    <n v="6.9820000000000002"/>
    <s v="US 34C Elkhorn Ave"/>
    <m/>
    <s v="Detour_Intra02x2"/>
    <s v="Beaver Brook; Big Thompson River"/>
  </r>
  <r>
    <s v="036B01"/>
    <x v="71"/>
    <s v="270D"/>
    <n v="1"/>
    <n v="0"/>
    <s v="US 34A US 34A Estes Park"/>
    <n v="0.39500000000000002"/>
    <s v="SH 7A"/>
    <m/>
    <s v="Detour_Virt1x2"/>
    <m/>
  </r>
  <r>
    <s v="036B02"/>
    <x v="71"/>
    <s v="270D"/>
    <n v="2"/>
    <n v="0.39500000000000002"/>
    <s v="SH 7A"/>
    <n v="20.317"/>
    <s v="US 36Z Lyons"/>
    <m/>
    <s v="Detour_Virt1x2"/>
    <s v="Little Thompson River; North Saint Vrain Creek"/>
  </r>
  <r>
    <s v="036B03"/>
    <x v="71"/>
    <s v="270D"/>
    <n v="3"/>
    <n v="20.317"/>
    <s v="US 36Z Lyons"/>
    <n v="20.356999999999999"/>
    <s v="SH 7A Lyons"/>
    <m/>
    <s v="Detour_Virt1x2"/>
    <s v="Saint Vrain Creek"/>
  </r>
  <r>
    <s v="036B04"/>
    <x v="71"/>
    <s v="270D"/>
    <n v="4"/>
    <n v="20.356999999999999"/>
    <s v="SH 7A Lyons"/>
    <n v="20.657"/>
    <s v="US 36Z Lyons"/>
    <m/>
    <s v="Detour_Virt1x2"/>
    <s v="Saint Vrain Creek"/>
  </r>
  <r>
    <s v="036B05"/>
    <x v="71"/>
    <s v="270D"/>
    <n v="5"/>
    <n v="20.657"/>
    <s v="US 36Z Lyons"/>
    <n v="21.763999999999999"/>
    <s v="SH 66B Ute Hwy"/>
    <m/>
    <s v="Detour_Virt1x2"/>
    <s v="Saint Vrain Creek"/>
  </r>
  <r>
    <s v="036B06"/>
    <x v="71"/>
    <s v="270D"/>
    <n v="6"/>
    <n v="21.763999999999999"/>
    <s v="SH 66B Ute Hwy"/>
    <n v="35.005000000000003"/>
    <s v="SH 119B Iris Ave"/>
    <m/>
    <s v="Detour_Virt1x2"/>
    <s v="Left Hand Creek"/>
  </r>
  <r>
    <s v="036B07"/>
    <x v="71"/>
    <s v="270D"/>
    <n v="7"/>
    <n v="35.005000000000003"/>
    <s v="SH 119B Iris Ave"/>
    <n v="36.341999999999999"/>
    <s v="SH 7B Canyon Blvd"/>
    <m/>
    <s v="Detour_Virt1x2"/>
    <s v="Goose Creek"/>
  </r>
  <r>
    <s v="036B08"/>
    <x v="71"/>
    <s v="270D"/>
    <n v="8"/>
    <n v="36.341999999999999"/>
    <s v="SH 7B Canyon Blvd"/>
    <n v="36.533000000000001"/>
    <s v="SH 7C Arapahoe Ave"/>
    <m/>
    <s v="Detour_Virt1x2"/>
    <m/>
  </r>
  <r>
    <s v="036B09"/>
    <x v="71"/>
    <s v="270D"/>
    <n v="9"/>
    <n v="36.533000000000001"/>
    <s v="SH 7C Arapahoe Ave"/>
    <n v="37.600999999999999"/>
    <s v="US 36E Baseline Rd"/>
    <m/>
    <s v="Detour_Virt1x2"/>
    <s v="Boulder Creek"/>
  </r>
  <r>
    <s v="036B10"/>
    <x v="71"/>
    <s v="270D"/>
    <n v="10"/>
    <n v="37.600999999999999"/>
    <s v="US 36E Baseline Rd"/>
    <n v="39.198"/>
    <s v="SH 157A Foothills Pkwy"/>
    <m/>
    <s v="Detour_Virt1x2"/>
    <m/>
  </r>
  <r>
    <s v="036B11"/>
    <x v="71"/>
    <s v="270D"/>
    <n v="11"/>
    <n v="39.198"/>
    <s v="SH 157A Foothills Pkwy"/>
    <n v="43.198"/>
    <s v="SH 170A McCaslin Blvd"/>
    <m/>
    <s v="Detour_Virt1x2"/>
    <m/>
  </r>
  <r>
    <s v="036B12"/>
    <x v="71"/>
    <s v="270D"/>
    <n v="12"/>
    <n v="43.198"/>
    <s v="SH 170A McCaslin Blvd"/>
    <n v="45.825000000000003"/>
    <s v="Interlocken Loop to NWP 470N"/>
    <m/>
    <s v="Detour_Virt1x2"/>
    <s v="Coal Creek"/>
  </r>
  <r>
    <s v="036B13"/>
    <x v="71"/>
    <s v="270D"/>
    <n v="13"/>
    <n v="45.825000000000003"/>
    <s v="Interlocken Loop to NWP 470N"/>
    <n v="48.034999999999997"/>
    <s v="SH 121A Wadsworth Pkwy"/>
    <m/>
    <s v="Detour_Virt1x2"/>
    <m/>
  </r>
  <r>
    <s v="036B14"/>
    <x v="71"/>
    <s v="270E"/>
    <n v="14"/>
    <n v="48.034999999999997"/>
    <s v="SH 121A Wadsworth Pkwy"/>
    <n v="52.570999999999998"/>
    <s v="SH 95A Sheridan Blvd"/>
    <m/>
    <s v="Detour_Virt2x1"/>
    <s v="Big Dry Creek"/>
  </r>
  <r>
    <s v="036B15"/>
    <x v="71"/>
    <s v="270F"/>
    <n v="15"/>
    <n v="52.570999999999998"/>
    <s v="SH 95A Sheridan Blvd"/>
    <n v="54.857999999999997"/>
    <s v="US 287C Federal Blvd"/>
    <m/>
    <s v="Detour_Virt2x2"/>
    <m/>
  </r>
  <r>
    <s v="036B16"/>
    <x v="71"/>
    <s v="270F"/>
    <n v="16"/>
    <n v="54.857999999999997"/>
    <s v="US 287C Federal Blvd"/>
    <n v="56.993000000000002"/>
    <s v="SH 224A Broadway"/>
    <m/>
    <s v="Detour_Virt2x2"/>
    <m/>
  </r>
  <r>
    <s v="036B17"/>
    <x v="71"/>
    <s v="270F"/>
    <n v="17"/>
    <n v="56.993000000000002"/>
    <s v="SH 224A Broadway"/>
    <n v="57.417999999999999"/>
    <s v="I-25A I-270B Turnpike Tangle"/>
    <m/>
    <s v="Detour_Virt2x2"/>
    <m/>
  </r>
  <r>
    <s v="036C01"/>
    <x v="72"/>
    <s v="036F"/>
    <n v="1"/>
    <n v="76.394000000000005"/>
    <s v="I-70A Monaghan Rd"/>
    <n v="79.73"/>
    <s v="I-70L spur Watkins Rd"/>
    <s v="Dom by I-70A &amp; I-70L"/>
    <s v="Detour_Virt3x3"/>
    <m/>
  </r>
  <r>
    <s v="036C02"/>
    <x v="72"/>
    <s v="036G"/>
    <n v="2"/>
    <n v="79.73"/>
    <s v="I-70L spur Watkins Rd"/>
    <n v="88.835999999999999"/>
    <s v="SH 79A Bennett"/>
    <s v="Dom by I-70L, I-70A &amp; SH 79A"/>
    <s v="Detour_Virt3x3"/>
    <m/>
  </r>
  <r>
    <s v="036C03"/>
    <x v="72"/>
    <s v="036G; 036M"/>
    <n v="3"/>
    <n v="88.835999999999999"/>
    <s v="SH 79A Bennett"/>
    <n v="89.21"/>
    <s v="SH 79B SH 36D Bennett"/>
    <m/>
    <s v="Detour_Virt3x3;"/>
    <m/>
  </r>
  <r>
    <s v="036D01"/>
    <x v="73"/>
    <s v="036H"/>
    <n v="1"/>
    <n v="89.21"/>
    <s v="SH 79B SH 36C Bennett"/>
    <n v="91.188000000000002"/>
    <s v="I-70A Exit 306 SEO Kiowa-Bennett Rd"/>
    <m/>
    <s v="Detour_Virt3x3"/>
    <s v="Kiowa Creek"/>
  </r>
  <r>
    <s v="036D02"/>
    <x v="73"/>
    <s v="036I"/>
    <n v="2"/>
    <n v="91.188000000000002"/>
    <s v="I-70A Exit 306 SEO Kiowa-Bennett Rd"/>
    <n v="95"/>
    <s v="I-70M Strasburg spur"/>
    <m/>
    <s v="Detour_Virt3x3"/>
    <m/>
  </r>
  <r>
    <s v="036D03"/>
    <x v="73"/>
    <s v="036J"/>
    <n v="3"/>
    <n v="95"/>
    <s v="I-70M Strasburg spur"/>
    <n v="100.937"/>
    <s v="SH 40D Byers"/>
    <s v="Dom by I-70A"/>
    <s v="Detour_Virt3x3"/>
    <s v="West Bijou Creek"/>
  </r>
  <r>
    <s v="036D04"/>
    <x v="73"/>
    <s v="036K"/>
    <n v="4"/>
    <n v="100.937"/>
    <s v="SH 40D Byers"/>
    <n v="100.998"/>
    <s v="I-70A Byers"/>
    <m/>
    <s v="Detour_Virt3x3"/>
    <m/>
  </r>
  <r>
    <s v="036D05"/>
    <x v="73"/>
    <s v="036K"/>
    <n v="5"/>
    <n v="100.998"/>
    <s v="I-70A Byers"/>
    <n v="135.583"/>
    <s v="SH 71D Last Chance"/>
    <m/>
    <s v="Detour_Virt3x3"/>
    <m/>
  </r>
  <r>
    <s v="036D06"/>
    <x v="73"/>
    <s v="036K"/>
    <n v="6"/>
    <n v="135.583"/>
    <s v="SH 71D Last Chance"/>
    <n v="155.614"/>
    <s v="SH 63A Anton"/>
    <m/>
    <s v="Detour_Virt3x3"/>
    <m/>
  </r>
  <r>
    <s v="036D07"/>
    <x v="73"/>
    <s v="036K"/>
    <n v="7"/>
    <n v="155.614"/>
    <s v="SH 63A Anton"/>
    <n v="178.048"/>
    <s v="SH 59A Cope"/>
    <m/>
    <s v="Detour_Virt3x3"/>
    <s v="Arikaree River"/>
  </r>
  <r>
    <s v="036D08"/>
    <x v="73"/>
    <s v="036L"/>
    <n v="8"/>
    <n v="178.048"/>
    <s v="SH 59A Cope"/>
    <n v="185.38200000000001"/>
    <s v="SH 59B"/>
    <m/>
    <s v="Detour_Virt3x3"/>
    <m/>
  </r>
  <r>
    <s v="036D09"/>
    <x v="73"/>
    <s v="036L"/>
    <n v="9"/>
    <n v="185.38200000000001"/>
    <s v="SH 59B"/>
    <n v="211.10900000000001"/>
    <s v="US 385C EO Idalia"/>
    <m/>
    <s v="Detour_Virt3x3"/>
    <m/>
  </r>
  <r>
    <s v="036D10"/>
    <x v="73"/>
    <s v="036L"/>
    <n v="10"/>
    <n v="211.10900000000001"/>
    <s v="US 385C EO Idalia"/>
    <n v="213.654"/>
    <s v="US 385D"/>
    <m/>
    <s v="Detour_Virt3x3"/>
    <m/>
  </r>
  <r>
    <s v="036D11"/>
    <x v="73"/>
    <s v="036L"/>
    <n v="11"/>
    <n v="213.654"/>
    <s v="US 385D"/>
    <n v="224.71799999999999"/>
    <s v="Kansas state line"/>
    <m/>
    <s v="Detour_Virt3x3"/>
    <m/>
  </r>
  <r>
    <s v="036E01"/>
    <x v="74"/>
    <m/>
    <n v="1"/>
    <n v="0"/>
    <s v="SH 93A Broadway St"/>
    <n v="0.35699999999999998"/>
    <s v="US 36B"/>
    <m/>
    <s v="Detour_Intra02x2"/>
    <m/>
  </r>
  <r>
    <s v="036Z01"/>
    <x v="75"/>
    <m/>
    <n v="1"/>
    <n v="0"/>
    <s v="US 36B EO SH 7A"/>
    <n v="0.29899999999999999"/>
    <s v="US 36B NO SH 7A"/>
    <m/>
    <s v="Detour_Virt1x2"/>
    <m/>
  </r>
  <r>
    <s v="039A01"/>
    <x v="76"/>
    <m/>
    <n v="1"/>
    <n v="0"/>
    <s v="US 6I SH 52A NEO Wiggins"/>
    <n v="0.224"/>
    <s v="I-76A"/>
    <m/>
    <s v="Detour_Intra02x2"/>
    <m/>
  </r>
  <r>
    <s v="039A02"/>
    <x v="76"/>
    <m/>
    <n v="2"/>
    <n v="0.224"/>
    <s v="I-76A"/>
    <n v="0.32800000000000001"/>
    <s v="US 34A"/>
    <m/>
    <s v="Detour_Intra02x2"/>
    <m/>
  </r>
  <r>
    <s v="039A03"/>
    <x v="76"/>
    <m/>
    <n v="3"/>
    <n v="0.32800000000000001"/>
    <s v="US 34A"/>
    <n v="7.5709999999999997"/>
    <s v="SH 144A"/>
    <m/>
    <s v="Detour_Intra02x2"/>
    <s v="South Platte River"/>
  </r>
  <r>
    <s v="040A01"/>
    <x v="77"/>
    <s v="040I"/>
    <n v="1"/>
    <n v="0"/>
    <s v="Utah state line"/>
    <n v="2.9129999999999998"/>
    <s v="SH 64A Dinosaur"/>
    <m/>
    <s v="Detour_Virt1x1a"/>
    <m/>
  </r>
  <r>
    <s v="040A02"/>
    <x v="77"/>
    <s v="040I"/>
    <n v="2"/>
    <n v="2.9129999999999998"/>
    <s v="SH 64A Dinosaur"/>
    <n v="59.790999999999997"/>
    <s v="SH 318A"/>
    <m/>
    <s v="Detour_Virt1x1a"/>
    <m/>
  </r>
  <r>
    <s v="040A03"/>
    <x v="77"/>
    <s v="040I"/>
    <n v="3"/>
    <n v="59.790999999999997"/>
    <s v="SH 318A"/>
    <n v="89.322000000000003"/>
    <s v="SH 13A Craig"/>
    <m/>
    <s v="Detour_Virt1x1a"/>
    <s v="Yampa River"/>
  </r>
  <r>
    <s v="040A04"/>
    <x v="77"/>
    <s v="040I"/>
    <n v="4"/>
    <n v="89.322000000000003"/>
    <s v="SH 13A Craig"/>
    <n v="90.358000000000004"/>
    <s v="US 40Z Craig"/>
    <m/>
    <s v="Detour_Virt1x1a"/>
    <m/>
  </r>
  <r>
    <s v="040A05"/>
    <x v="77"/>
    <s v="040I"/>
    <n v="5"/>
    <n v="90.358000000000004"/>
    <s v="US 40Z Craig"/>
    <n v="90.531000000000006"/>
    <s v="SH 394A Craig"/>
    <m/>
    <s v="Detour_Virt1x1a"/>
    <m/>
  </r>
  <r>
    <s v="040A06"/>
    <x v="77"/>
    <s v="040I"/>
    <n v="6"/>
    <n v="90.531000000000006"/>
    <s v="SH 394A Craig"/>
    <n v="90.837999999999994"/>
    <s v="SH 13B Craig"/>
    <m/>
    <s v="Detour_Virt1x1a"/>
    <m/>
  </r>
  <r>
    <s v="040A07"/>
    <x v="77"/>
    <s v="040I"/>
    <n v="7"/>
    <n v="90.837999999999994"/>
    <s v="SH 13B Craig"/>
    <n v="91.262"/>
    <s v="US 40Z Craig"/>
    <m/>
    <s v="Detour_Virt1x1a"/>
    <s v="Fortification Creek"/>
  </r>
  <r>
    <s v="040A08"/>
    <x v="77"/>
    <s v="040I"/>
    <n v="8"/>
    <n v="91.262"/>
    <s v="US 40Z Craig"/>
    <n v="136.51499999999999"/>
    <s v="SH 131B SO Steamboat Spgs"/>
    <m/>
    <s v="Detour_Virt1x1a"/>
    <s v="Yampa River"/>
  </r>
  <r>
    <s v="040A09"/>
    <x v="77"/>
    <s v="040J"/>
    <n v="9"/>
    <n v="136.51499999999999"/>
    <s v="SH 131B SO Steamboat Spgs"/>
    <n v="157.327"/>
    <s v="SH 14A Muddy Pass"/>
    <m/>
    <s v="Detour_Virt1x1a"/>
    <s v="Walton Creek"/>
  </r>
  <r>
    <s v="040A10"/>
    <x v="77"/>
    <s v="040J"/>
    <n v="10"/>
    <n v="157.327"/>
    <s v="SH 14A Muddy Pass"/>
    <n v="178.25700000000001"/>
    <s v="SH 134A"/>
    <m/>
    <s v="Detour_Virt1x1a"/>
    <s v="Muddy Creek"/>
  </r>
  <r>
    <s v="040A11"/>
    <x v="77"/>
    <s v="040J"/>
    <n v="11"/>
    <n v="178.25700000000001"/>
    <s v="SH 134A"/>
    <n v="184.529"/>
    <s v="SH 9D Kremmling"/>
    <m/>
    <s v="Detour_Virt1x1a"/>
    <s v="Muddy Creek"/>
  </r>
  <r>
    <s v="040A12"/>
    <x v="77"/>
    <s v="040J"/>
    <n v="12"/>
    <n v="184.529"/>
    <s v="SH 9D Kremmling"/>
    <n v="209.16499999999999"/>
    <s v="SH 125A"/>
    <m/>
    <s v="Detour_Virt1x1a"/>
    <s v="Colorado River"/>
  </r>
  <r>
    <s v="040A13"/>
    <x v="77"/>
    <s v="040J"/>
    <n v="13"/>
    <n v="209.16499999999999"/>
    <s v="SH 125A"/>
    <n v="211.08099999999999"/>
    <s v="US 34A Granby"/>
    <m/>
    <s v="Detour_Virt1x1a"/>
    <s v="Fraser River"/>
  </r>
  <r>
    <s v="040A14"/>
    <x v="77"/>
    <s v="040K"/>
    <n v="14"/>
    <n v="211.08099999999999"/>
    <s v="US 34A Granby"/>
    <n v="258.25799999999998"/>
    <s v="I-70A Empire Jct"/>
    <m/>
    <s v="Detour_Virt1x1a"/>
    <s v="Fraser River; West Fork Clear Creek"/>
  </r>
  <r>
    <s v="040B01"/>
    <x v="78"/>
    <s v="040L"/>
    <n v="1"/>
    <n v="269.44099999999997"/>
    <s v="US 6G"/>
    <n v="271.488"/>
    <s v="I-70A Floyd Hill exit"/>
    <m/>
    <s v="Detour_Virt2x1"/>
    <s v="Clear Creek"/>
  </r>
  <r>
    <s v="040B02"/>
    <x v="78"/>
    <s v="040M"/>
    <n v="2"/>
    <n v="271.488"/>
    <s v="I-70A Floyd Hill exit"/>
    <n v="272.55200000000002"/>
    <s v="I-70A Beaver Brook exit"/>
    <m/>
    <s v="Detour_Virt2x1"/>
    <m/>
  </r>
  <r>
    <s v="040B03"/>
    <x v="78"/>
    <s v="040N"/>
    <n v="3"/>
    <n v="272.55200000000002"/>
    <s v="I-70A Beaver Brook exit"/>
    <n v="276.18"/>
    <s v="I-70A El Rancho exit"/>
    <s v="Dom by I-70A"/>
    <s v="Detour_Virt2x1"/>
    <s v="Beaver Brook; Soda Creek"/>
  </r>
  <r>
    <s v="040B04"/>
    <x v="78"/>
    <s v="040O"/>
    <n v="4"/>
    <n v="276.18"/>
    <s v="I-70A El Rancho exit"/>
    <n v="276.92"/>
    <s v="SH 74A Evergreen Pkwy"/>
    <m/>
    <s v="Detour_Virt2x1"/>
    <m/>
  </r>
  <r>
    <s v="040C01"/>
    <x v="79"/>
    <s v="040P"/>
    <n v="1"/>
    <n v="279.20800000000003"/>
    <s v="I-70A Genesee exit"/>
    <n v="281.97699999999998"/>
    <s v="I-70A Lookout Mountain exit"/>
    <s v="Dom by I-70A"/>
    <s v="Detour_Virt2x1"/>
    <m/>
  </r>
  <r>
    <s v="040C02"/>
    <x v="79"/>
    <s v="040Q"/>
    <n v="2"/>
    <n v="281.97699999999998"/>
    <s v="I-70A Lookout Mountain exit"/>
    <n v="284.88799999999998"/>
    <s v="I-70A Jefferson CR 93 Morrison exit"/>
    <s v="Dom by I-70A"/>
    <s v="Detour_Virt2x1"/>
    <s v="Mount Vernon Creek"/>
  </r>
  <r>
    <s v="040C03"/>
    <x v="79"/>
    <s v="040R"/>
    <n v="3"/>
    <n v="284.88799999999998"/>
    <s v="I-70A Jefferson CR 93 Morrison exit"/>
    <n v="286.87099999999998"/>
    <s v="US 6G"/>
    <s v="Dom by I-70A"/>
    <s v="Detour_Virt2x1"/>
    <m/>
  </r>
  <r>
    <s v="040C04"/>
    <x v="79"/>
    <s v="040S"/>
    <n v="4"/>
    <n v="286.87099999999998"/>
    <s v="US 6G"/>
    <n v="287.90300000000002"/>
    <s v="I-70A Denver West"/>
    <m/>
    <s v="Detour_Virt2x1"/>
    <m/>
  </r>
  <r>
    <s v="040C05"/>
    <x v="79"/>
    <s v="040T"/>
    <n v="5"/>
    <n v="287.90300000000002"/>
    <s v="I-70A Denver West"/>
    <n v="291.44400000000002"/>
    <s v="SH 391A Kipling St"/>
    <m/>
    <s v="Detour_Virt2x2"/>
    <m/>
  </r>
  <r>
    <s v="040C06"/>
    <x v="79"/>
    <s v="040U"/>
    <n v="6"/>
    <n v="291.44400000000002"/>
    <s v="SH 391A Kipling St"/>
    <n v="292.94299999999998"/>
    <s v="SH 121A Wadsworth Blvd"/>
    <m/>
    <s v="Detour_Virt2x1"/>
    <m/>
  </r>
  <r>
    <s v="040C07"/>
    <x v="79"/>
    <s v="040U"/>
    <n v="7"/>
    <n v="292.94299999999998"/>
    <s v="SH 121A Wadsworth Blvd"/>
    <n v="294.27300000000002"/>
    <s v="SH 95A Sheridan Blvd"/>
    <m/>
    <s v="Detour_Virt2x1"/>
    <m/>
  </r>
  <r>
    <s v="040C08"/>
    <x v="79"/>
    <s v="040U"/>
    <n v="8"/>
    <n v="294.27300000000002"/>
    <s v="SH 95A Sheridan Blvd"/>
    <n v="296.15699999999998"/>
    <s v="US 287C SH 88A Federal Blvd"/>
    <m/>
    <s v="Detour_Virt2x1"/>
    <m/>
  </r>
  <r>
    <s v="040C09"/>
    <x v="79"/>
    <s v="040V"/>
    <n v="9"/>
    <n v="296.15699999999998"/>
    <s v="US 287C SH 88A Federal Blvd"/>
    <n v="296.79199999999997"/>
    <s v="I-25A"/>
    <m/>
    <s v="Detour_Virt2x2"/>
    <s v="South Platte River"/>
  </r>
  <r>
    <s v="040C10"/>
    <x v="79"/>
    <s v="040V"/>
    <n v="10"/>
    <n v="296.79199999999997"/>
    <s v="I-25A"/>
    <n v="300.625"/>
    <s v="SH 2A Colorado Blvd"/>
    <m/>
    <s v="Detour_Virt2x2"/>
    <s v="Cherry Creek"/>
  </r>
  <r>
    <s v="040C11"/>
    <x v="79"/>
    <s v="040X"/>
    <n v="11"/>
    <n v="300.625"/>
    <s v="SH 2A Colorado Blvd"/>
    <n v="306.34100000000001"/>
    <s v="I-225A"/>
    <m/>
    <s v="Detour_Virt2x1"/>
    <s v="Toll Gate Creek"/>
  </r>
  <r>
    <s v="040C12"/>
    <x v="79"/>
    <s v="040Y"/>
    <n v="12"/>
    <n v="306.34100000000001"/>
    <s v="I-225A"/>
    <n v="312.142"/>
    <s v="I-70A Aurora"/>
    <m/>
    <s v="Detour_Virt2x2"/>
    <m/>
  </r>
  <r>
    <s v="040D01"/>
    <x v="80"/>
    <m/>
    <n v="1"/>
    <n v="338.57"/>
    <s v="SH 36D Byers"/>
    <n v="340.38099999999997"/>
    <s v="ends EO Byers"/>
    <s v="Spur - no detour possible"/>
    <s v="not created"/>
    <m/>
  </r>
  <r>
    <s v="040E01"/>
    <x v="81"/>
    <m/>
    <n v="1"/>
    <n v="346.29"/>
    <s v="start WO Deer Trail"/>
    <n v="350.86200000000002"/>
    <s v="I-70N Deer Trail spur"/>
    <s v="Dom by I-70A"/>
    <s v="Detour_SH040E_"/>
    <m/>
  </r>
  <r>
    <s v="040E02"/>
    <x v="81"/>
    <m/>
    <n v="2"/>
    <n v="350.86200000000002"/>
    <s v="I-70N Deer Trail spur"/>
    <n v="352.245"/>
    <s v="ends EO Deer Trail"/>
    <s v="Spur - no detour possible"/>
    <s v="not created"/>
    <m/>
  </r>
  <r>
    <s v="040F01"/>
    <x v="82"/>
    <m/>
    <n v="1"/>
    <n v="360.20100000000002"/>
    <s v="start NWO Agate"/>
    <n v="362.99900000000002"/>
    <s v="I-70O Agate spur"/>
    <s v="Spur - no detour possible"/>
    <s v="not created"/>
    <m/>
  </r>
  <r>
    <s v="040G01"/>
    <x v="83"/>
    <m/>
    <n v="1"/>
    <n v="380.68900000000002"/>
    <s v="start WO Limon"/>
    <n v="382.18400000000003"/>
    <s v="US 24F US 24G West Limon"/>
    <s v="Spur - no detour possible"/>
    <s v="not created"/>
    <m/>
  </r>
  <r>
    <s v="040H01"/>
    <x v="84"/>
    <s v="940A"/>
    <n v="1"/>
    <n v="386.01"/>
    <s v="I-70A US 24G EO Limon"/>
    <n v="425.47199999999998"/>
    <s v="SH 94A"/>
    <m/>
    <s v="Detour_Virt3x3"/>
    <m/>
  </r>
  <r>
    <s v="040H02"/>
    <x v="84"/>
    <s v="940A"/>
    <n v="2"/>
    <n v="425.47199999999998"/>
    <s v="SH 94A"/>
    <n v="445.142"/>
    <s v="SH 59A Kit Carson"/>
    <m/>
    <s v="Detour_Virt3x3"/>
    <m/>
  </r>
  <r>
    <s v="040H03"/>
    <x v="84"/>
    <s v="940A"/>
    <n v="3"/>
    <n v="445.142"/>
    <s v="SH 59A Kit Carson"/>
    <n v="446.05099999999999"/>
    <s v="US 287B EO Kit Carson"/>
    <m/>
    <s v="Detour_Virt3x3"/>
    <m/>
  </r>
  <r>
    <s v="040H04"/>
    <x v="84"/>
    <s v="940A"/>
    <n v="4"/>
    <n v="446.05099999999999"/>
    <s v="US 287B EO Kit Carson"/>
    <n v="470.31099999999998"/>
    <s v="US 385C Cheyenne Wells"/>
    <m/>
    <s v="Detour_Virt3x3"/>
    <m/>
  </r>
  <r>
    <s v="040H05"/>
    <x v="84"/>
    <s v="940A"/>
    <n v="5"/>
    <n v="470.31099999999998"/>
    <s v="US 385C Cheyenne Wells"/>
    <n v="470.88499999999999"/>
    <s v="US 385B EO Cheyenne Wells"/>
    <m/>
    <s v="Detour_Virt3x3"/>
    <m/>
  </r>
  <r>
    <s v="040H06"/>
    <x v="84"/>
    <s v="940B"/>
    <n v="6"/>
    <n v="470.88499999999999"/>
    <s v="US 385B EO Cheyenne Wells"/>
    <n v="486.92399999999998"/>
    <s v="Kansas state line"/>
    <m/>
    <s v="Detour_Virt3x3"/>
    <m/>
  </r>
  <r>
    <s v="040Z01"/>
    <x v="85"/>
    <m/>
    <n v="1"/>
    <n v="0"/>
    <s v="US 40A Lincoln St Craig"/>
    <n v="0.34799999999999998"/>
    <s v="SH 13B Yampa Ave"/>
    <m/>
    <s v="Detour_Virt1x1a"/>
    <s v="Fortification Creek"/>
  </r>
  <r>
    <s v="040Z02"/>
    <x v="85"/>
    <m/>
    <n v="2"/>
    <n v="0.34799999999999998"/>
    <s v="SH 13B Yampa Ave"/>
    <n v="0.64600000000000002"/>
    <s v="SH 394A Ranney St Craig"/>
    <m/>
    <s v="Detour_Virt1x1a"/>
    <m/>
  </r>
  <r>
    <s v="040Z03"/>
    <x v="85"/>
    <m/>
    <n v="3"/>
    <n v="0.64600000000000002"/>
    <s v="SH 394A Ranney St Craig"/>
    <n v="0.73"/>
    <s v="US 40A Parshing St Craig"/>
    <m/>
    <s v="Detour_Virt1x1a"/>
    <m/>
  </r>
  <r>
    <s v="041A01"/>
    <x v="86"/>
    <m/>
    <n v="1"/>
    <n v="0"/>
    <s v="US 160A"/>
    <n v="9.5050000000000008"/>
    <s v="Utah state line"/>
    <m/>
    <s v="Detour_OOS02"/>
    <m/>
  </r>
  <r>
    <s v="042A01"/>
    <x v="87"/>
    <m/>
    <n v="1"/>
    <n v="0"/>
    <s v="SH 7C Arapahoe Ave"/>
    <n v="4.8760000000000003"/>
    <s v="US 287C"/>
    <m/>
    <s v="Detour_Intra02x2"/>
    <m/>
  </r>
  <r>
    <s v="044A01"/>
    <x v="88"/>
    <m/>
    <n v="1"/>
    <n v="0"/>
    <s v="start Hansen Blvd (former SH 2)"/>
    <n v="1.8"/>
    <s v="US 85C"/>
    <s v="Spur - no detour possible"/>
    <s v="not created"/>
    <s v="First Creek"/>
  </r>
  <r>
    <s v="044A02"/>
    <x v="88"/>
    <m/>
    <n v="2"/>
    <n v="1.8"/>
    <s v="US 85C"/>
    <n v="4.9580000000000002"/>
    <s v="end Colorado Blvd"/>
    <s v="Spur - no detour possible"/>
    <s v="not created"/>
    <s v="South Platte River"/>
  </r>
  <r>
    <s v="045A01"/>
    <x v="89"/>
    <s v="045B"/>
    <n v="1"/>
    <n v="0"/>
    <s v="I-25A"/>
    <n v="3.141"/>
    <s v="SH 78A Northern Ave"/>
    <m/>
    <s v="Detour_Virt3x3"/>
    <m/>
  </r>
  <r>
    <s v="045A02"/>
    <x v="89"/>
    <s v="045B"/>
    <n v="2"/>
    <n v="3.141"/>
    <s v="SH 78A Northern Ave"/>
    <n v="4.734"/>
    <s v="SH 96A Thatcher Ave"/>
    <m/>
    <s v="Detour_Virt3x3"/>
    <m/>
  </r>
  <r>
    <s v="045A03"/>
    <x v="89"/>
    <s v="045C"/>
    <n v="3"/>
    <n v="4.734"/>
    <s v="SH 96A Thatcher Ave"/>
    <n v="8.734"/>
    <s v="US 50A"/>
    <m/>
    <s v="Detour_Virt3x3"/>
    <s v="Arkansas River"/>
  </r>
  <r>
    <s v="046A01"/>
    <x v="90"/>
    <m/>
    <n v="1"/>
    <n v="0"/>
    <s v="SH 119A"/>
    <n v="6.61"/>
    <s v="end at Gilpin/Jefferson county line"/>
    <s v="Spur - no detour possible"/>
    <s v="not created"/>
    <s v="Ralston Creek"/>
  </r>
  <r>
    <s v="047A01"/>
    <x v="91"/>
    <m/>
    <n v="1"/>
    <n v="0"/>
    <s v="I-25A US 50A"/>
    <n v="4.6349999999999998"/>
    <s v="US 50B SH 96A"/>
    <m/>
    <s v="Detour_Intra02x2"/>
    <s v="Fountain Creek"/>
  </r>
  <r>
    <s v="050A01"/>
    <x v="92"/>
    <s v="050E"/>
    <n v="1"/>
    <n v="31.76"/>
    <s v="I-70Z Ute Ave"/>
    <n v="31.827000000000002"/>
    <s v="I-70B Pitkin Ave"/>
    <m/>
    <s v="Detour_Virt1x1a"/>
    <m/>
  </r>
  <r>
    <s v="050A02"/>
    <x v="92"/>
    <s v="050E"/>
    <n v="2"/>
    <n v="31.827000000000002"/>
    <s v="I-70B Pitkin Ave"/>
    <n v="38.503999999999998"/>
    <s v="SH 141B 32 Rd"/>
    <m/>
    <s v="Detour_Virt1x1a"/>
    <s v="Colorado River; Gunnison River"/>
  </r>
  <r>
    <s v="050A03"/>
    <x v="92"/>
    <s v="050E"/>
    <n v="3"/>
    <n v="38.503999999999998"/>
    <s v="SH 141B 32 Rd"/>
    <n v="41.137"/>
    <s v="SH 141A"/>
    <m/>
    <s v="Detour_Virt1x1a"/>
    <s v="Gunnison River"/>
  </r>
  <r>
    <s v="050A04"/>
    <x v="92"/>
    <s v="050E"/>
    <n v="4"/>
    <n v="41.137"/>
    <s v="SH 141A"/>
    <n v="70.918999999999997"/>
    <s v="SH 92A Delta"/>
    <m/>
    <s v="Detour_Virt1x1a"/>
    <s v="Gunnison River"/>
  </r>
  <r>
    <s v="050A05"/>
    <x v="92"/>
    <s v="050E"/>
    <n v="5"/>
    <n v="70.918999999999997"/>
    <s v="SH 92A Delta"/>
    <n v="71.427999999999997"/>
    <s v="SH 348A Delta"/>
    <m/>
    <s v="Detour_Virt1x1a"/>
    <m/>
  </r>
  <r>
    <s v="050A06"/>
    <x v="92"/>
    <s v="050E"/>
    <n v="6"/>
    <n v="71.427999999999997"/>
    <s v="SH 348A Delta"/>
    <n v="81.471999999999994"/>
    <s v="US 50D Olathe"/>
    <m/>
    <s v="Detour_Virt1x1a"/>
    <s v="Uncompahgre River"/>
  </r>
  <r>
    <s v="050A07"/>
    <x v="92"/>
    <s v="050E"/>
    <n v="7"/>
    <n v="81.471999999999994"/>
    <s v="US 50D Olathe"/>
    <n v="82.613"/>
    <s v="SH 348A Olathe"/>
    <m/>
    <s v="Detour_Virt1x1a"/>
    <m/>
  </r>
  <r>
    <s v="050A08"/>
    <x v="92"/>
    <s v="050E"/>
    <n v="8"/>
    <n v="82.613"/>
    <s v="SH 348A Olathe"/>
    <n v="83.144999999999996"/>
    <s v="US 50D Olathe"/>
    <m/>
    <s v="Detour_Virt1x1a"/>
    <m/>
  </r>
  <r>
    <s v="050A09"/>
    <x v="92"/>
    <s v="050E"/>
    <n v="9"/>
    <n v="83.144999999999996"/>
    <s v="US 50D Olathe"/>
    <n v="91.878"/>
    <s v="US 550B Montrose"/>
    <m/>
    <s v="Detour_Virt1x1a"/>
    <s v="Uncompahgre River"/>
  </r>
  <r>
    <s v="050A10"/>
    <x v="92"/>
    <s v="050F"/>
    <n v="10"/>
    <n v="91.878"/>
    <s v="US 550B Montrose"/>
    <n v="100.545"/>
    <s v="SH 347A to Black Canyon of the Gunnison NP"/>
    <m/>
    <s v="Detour_Virt1x1a"/>
    <s v="Cedar Creek"/>
  </r>
  <r>
    <s v="050A11"/>
    <x v="92"/>
    <s v="050F"/>
    <n v="11"/>
    <n v="100.545"/>
    <s v="SH 347A to Black Canyon of the Gunnison NP"/>
    <n v="131.12899999999999"/>
    <s v="SH 92A Sapinero"/>
    <m/>
    <s v="Detour_Virt1x1a"/>
    <s v="Cedar Creek; Cimmaron River"/>
  </r>
  <r>
    <s v="050A12"/>
    <x v="92"/>
    <s v="050F"/>
    <n v="12"/>
    <n v="131.12899999999999"/>
    <s v="SH 92A Sapinero"/>
    <n v="148.05199999999999"/>
    <s v="SH 149A Blue Mesa Reservior"/>
    <m/>
    <s v="Detour_Virt1x1a"/>
    <s v="Gunnison River"/>
  </r>
  <r>
    <s v="050A13"/>
    <x v="92"/>
    <s v="050F"/>
    <n v="13"/>
    <n v="148.05199999999999"/>
    <s v="SH 149A Blue Mesa Reservior"/>
    <n v="157.39400000000001"/>
    <s v="SH 135A Gunnison"/>
    <m/>
    <s v="Detour_Virt1x1a"/>
    <s v="Gunnison River"/>
  </r>
  <r>
    <s v="050A14"/>
    <x v="92"/>
    <s v="050F"/>
    <n v="14"/>
    <n v="157.39400000000001"/>
    <s v="SH 135A Gunnison"/>
    <n v="165.601"/>
    <s v="SH 114A WO Parlin"/>
    <m/>
    <s v="Detour_Virt1x1a"/>
    <s v="Tomichi Creek"/>
  </r>
  <r>
    <s v="050A15"/>
    <x v="92"/>
    <s v="050F"/>
    <n v="15"/>
    <n v="165.601"/>
    <s v="SH 114A WO Parlin"/>
    <n v="216.77"/>
    <s v="US 285C Poncha Spgs"/>
    <m/>
    <s v="Detour_Virt1x1a"/>
    <s v="Tomichi Creek; South Arkansas River"/>
  </r>
  <r>
    <s v="050A16"/>
    <x v="92"/>
    <s v="050F"/>
    <n v="16"/>
    <n v="216.77"/>
    <s v="US 285C Poncha Spgs"/>
    <n v="217.345"/>
    <s v="US 285B Poncha Spgs"/>
    <m/>
    <s v="Detour_Virt1x1a"/>
    <s v="South Arkansas River "/>
  </r>
  <r>
    <s v="050A17"/>
    <x v="92"/>
    <s v="050G"/>
    <n v="17"/>
    <n v="217.345"/>
    <s v="US 285B Poncha Spgs"/>
    <n v="222.399"/>
    <s v="SH 291A Salida"/>
    <m/>
    <s v="Detour_Virt1x1a"/>
    <s v="South Arkansas River "/>
  </r>
  <r>
    <s v="050A18"/>
    <x v="92"/>
    <s v="050G"/>
    <n v="18"/>
    <n v="222.399"/>
    <s v="SH 291A Salida"/>
    <n v="252.66300000000001"/>
    <s v="SH 69A Texas Creek"/>
    <m/>
    <s v="Detour_Virt1x1a"/>
    <s v="Arkansas River"/>
  </r>
  <r>
    <s v="050A19"/>
    <x v="92"/>
    <s v="050G"/>
    <n v="19"/>
    <n v="252.66300000000001"/>
    <s v="SH 69A Texas Creek"/>
    <n v="269.13"/>
    <s v="SH 9A"/>
    <m/>
    <s v="Detour_Virt1x1a"/>
    <s v="Arkansas River"/>
  </r>
  <r>
    <s v="050A20"/>
    <x v="92"/>
    <s v="050G"/>
    <n v="20"/>
    <n v="269.13"/>
    <s v="SH 9A"/>
    <n v="278.70400000000001"/>
    <s v="SH 115A Canon City"/>
    <m/>
    <s v="Detour_Virt1x1a"/>
    <s v="Arkansas River"/>
  </r>
  <r>
    <s v="050A21"/>
    <x v="92"/>
    <s v="050G"/>
    <n v="21"/>
    <n v="278.70400000000001"/>
    <s v="SH 115A Canon City"/>
    <n v="285.63299999999998"/>
    <s v="SH 67B NO Florence"/>
    <m/>
    <s v="Detour_Virt1x1a"/>
    <m/>
  </r>
  <r>
    <s v="050A22"/>
    <x v="92"/>
    <s v="050G"/>
    <n v="22"/>
    <n v="285.63299999999998"/>
    <s v="SH 67B NO Florence"/>
    <n v="289.76900000000001"/>
    <s v="SH 115A Penrose"/>
    <m/>
    <s v="Detour_Virt1x1a"/>
    <m/>
  </r>
  <r>
    <s v="050A23"/>
    <x v="92"/>
    <s v="050G"/>
    <n v="23"/>
    <n v="289.76900000000001"/>
    <s v="SH 115A Penrose"/>
    <n v="294.339"/>
    <s v="SH 120A EO Portland"/>
    <m/>
    <s v="Detour_Virt1x1a"/>
    <m/>
  </r>
  <r>
    <s v="050A24"/>
    <x v="92"/>
    <s v="050G"/>
    <n v="24"/>
    <n v="294.339"/>
    <s v="SH 120A EO Portland"/>
    <n v="312.08800000000002"/>
    <s v="SH 45A Pueblo Blvd"/>
    <m/>
    <s v="Detour_Virt1x1a"/>
    <m/>
  </r>
  <r>
    <s v="050A25"/>
    <x v="92"/>
    <s v="050G"/>
    <n v="25"/>
    <n v="312.08800000000002"/>
    <s v="SH 45A Pueblo Blvd"/>
    <n v="314.59800000000001"/>
    <s v="I-25A SH 47A"/>
    <m/>
    <s v="Detour_Virt1x1a"/>
    <m/>
  </r>
  <r>
    <s v="050B01"/>
    <x v="93"/>
    <m/>
    <n v="1"/>
    <n v="315.709"/>
    <s v="I-25A"/>
    <n v="318.70699999999999"/>
    <s v="SH 47A SH 96A"/>
    <m/>
    <s v="Detour_OOS01"/>
    <s v="Fountain Creek"/>
  </r>
  <r>
    <s v="050B02"/>
    <x v="93"/>
    <m/>
    <n v="2"/>
    <n v="318.70699999999999"/>
    <s v="SH 47A SH 96A"/>
    <n v="324.22899999999998"/>
    <s v="SH 231A Devine"/>
    <m/>
    <s v="Detour_OOS01"/>
    <s v="Arkansas River"/>
  </r>
  <r>
    <s v="050B03"/>
    <x v="93"/>
    <m/>
    <n v="3"/>
    <n v="324.22899999999998"/>
    <s v="SH 231A Devine"/>
    <n v="329.334"/>
    <s v="SH 96B North Avondale"/>
    <m/>
    <s v="Detour_OOS01"/>
    <s v="Arkansas River"/>
  </r>
  <r>
    <s v="050B04"/>
    <x v="93"/>
    <m/>
    <n v="4"/>
    <n v="329.334"/>
    <s v="SH 96B North Avondale"/>
    <n v="332.21100000000001"/>
    <s v="US 50C Avondale"/>
    <m/>
    <s v="Detour_OOS01"/>
    <s v="Arkansas River"/>
  </r>
  <r>
    <s v="050B05"/>
    <x v="93"/>
    <m/>
    <n v="5"/>
    <n v="332.21100000000001"/>
    <s v="US 50C Avondale"/>
    <n v="335.76400000000001"/>
    <s v="SH 209A"/>
    <m/>
    <s v="Detour_OOS01"/>
    <s v="Arkansas River"/>
  </r>
  <r>
    <s v="050B06"/>
    <x v="93"/>
    <m/>
    <n v="6"/>
    <n v="335.76400000000001"/>
    <s v="SH 209A"/>
    <n v="350.90899999999999"/>
    <s v="SH 167A Fowler"/>
    <m/>
    <s v="Detour_OOS01"/>
    <s v="Arkansas River"/>
  </r>
  <r>
    <s v="050B07"/>
    <x v="93"/>
    <m/>
    <n v="7"/>
    <n v="350.90899999999999"/>
    <s v="SH 167A Fowler"/>
    <n v="359.71199999999999"/>
    <s v="SH 207A Manzanola"/>
    <m/>
    <s v="Detour_OOS01"/>
    <s v="Arkansas River"/>
  </r>
  <r>
    <s v="050B08"/>
    <x v="93"/>
    <m/>
    <n v="8"/>
    <n v="359.71199999999999"/>
    <s v="SH 207A Manzanola"/>
    <n v="366.97"/>
    <s v="SH 71C US 50Z WO Rocky Ford"/>
    <m/>
    <s v="Detour_OOS01"/>
    <s v="Arkansas River"/>
  </r>
  <r>
    <s v="050B09"/>
    <x v="93"/>
    <m/>
    <n v="9"/>
    <n v="366.97"/>
    <s v="SH 71C US 50Z WO Rocky Ford"/>
    <n v="368.10899999999998"/>
    <s v="SH 202A Rocky Ford"/>
    <m/>
    <s v="Detour_OOS01"/>
    <s v="Arkansas River"/>
  </r>
  <r>
    <s v="050B10"/>
    <x v="93"/>
    <m/>
    <n v="10"/>
    <n v="368.10899999999998"/>
    <s v="SH 202A Rocky Ford"/>
    <n v="368.93"/>
    <s v="SH 71B SH 266A Rocky Ford"/>
    <m/>
    <s v="Detour_OOS01"/>
    <s v="Arkansas River"/>
  </r>
  <r>
    <s v="050B11"/>
    <x v="93"/>
    <m/>
    <n v="11"/>
    <n v="368.93"/>
    <s v="SH 71B SH 266A Rocky Ford"/>
    <n v="369.42"/>
    <s v="US 50Z Rocky Ford"/>
    <m/>
    <s v="Detour_OOS01"/>
    <s v="Arkansas River"/>
  </r>
  <r>
    <s v="050B12"/>
    <x v="93"/>
    <m/>
    <n v="12"/>
    <n v="369.42"/>
    <s v="US 50Z Rocky Ford"/>
    <n v="378.41899999999998"/>
    <s v="SH 10A La Junta"/>
    <m/>
    <s v="Detour_OOS01"/>
    <s v="Arkansas River"/>
  </r>
  <r>
    <s v="050B13"/>
    <x v="93"/>
    <m/>
    <n v="13"/>
    <n v="378.41899999999998"/>
    <s v="SH 10A La Junta"/>
    <n v="378.81599999999997"/>
    <s v="US 350A Grant St La Junta"/>
    <m/>
    <s v="Detour_OOS01"/>
    <s v="Arkansas River"/>
  </r>
  <r>
    <s v="050B14"/>
    <x v="93"/>
    <m/>
    <n v="14"/>
    <n v="378.81599999999997"/>
    <s v="US 350A Grant St La Junta"/>
    <n v="380.23099999999999"/>
    <s v="SH 109B Bradish Ave La Junta"/>
    <m/>
    <s v="Detour_OOS01"/>
    <s v="Arkansas River"/>
  </r>
  <r>
    <s v="050B15"/>
    <x v="93"/>
    <m/>
    <n v="15"/>
    <n v="380.23099999999999"/>
    <s v="SH 109B Bradish Ave La Junta"/>
    <n v="398.76900000000001"/>
    <s v="SH 101A Las Animas"/>
    <m/>
    <s v="Detour_OOS01"/>
    <s v="Arkansas River"/>
  </r>
  <r>
    <s v="050B16"/>
    <x v="93"/>
    <m/>
    <n v="16"/>
    <n v="398.76900000000001"/>
    <s v="SH 101A Las Animas"/>
    <n v="400.16"/>
    <s v="SH 194A NO Las Animas"/>
    <m/>
    <s v="Detour_OOS01"/>
    <s v="Arkansas River"/>
  </r>
  <r>
    <s v="050B17"/>
    <x v="93"/>
    <m/>
    <n v="17"/>
    <n v="400.16"/>
    <s v="SH 194A NO Las Animas"/>
    <n v="404.62700000000001"/>
    <s v="SH 183A Fort Lyon"/>
    <m/>
    <s v="Detour_OOS01"/>
    <m/>
  </r>
  <r>
    <s v="050B18"/>
    <x v="93"/>
    <m/>
    <n v="18"/>
    <n v="404.62700000000001"/>
    <s v="SH 183A Fort Lyon"/>
    <n v="420.74400000000003"/>
    <s v="SH 196A"/>
    <m/>
    <s v="Detour_OOS01"/>
    <m/>
  </r>
  <r>
    <s v="050B19"/>
    <x v="93"/>
    <m/>
    <n v="19"/>
    <n v="420.74400000000003"/>
    <s v="SH 196A"/>
    <n v="427.73700000000002"/>
    <s v="US 287B WO Lamar"/>
    <m/>
    <s v="Detour_OOS01"/>
    <m/>
  </r>
  <r>
    <s v="050B20"/>
    <x v="93"/>
    <m/>
    <n v="20"/>
    <n v="427.73700000000002"/>
    <s v="US 287B WO Lamar"/>
    <n v="435.39"/>
    <s v="US 287A Lamar"/>
    <m/>
    <s v="Detour_OOS01"/>
    <s v="Arkansas River"/>
  </r>
  <r>
    <s v="050B21"/>
    <x v="93"/>
    <m/>
    <n v="21"/>
    <n v="435.39"/>
    <s v="US 287A Lamar"/>
    <n v="452.79599999999999"/>
    <s v="US 385A Granada"/>
    <m/>
    <s v="Detour_OOS01"/>
    <s v="Arkansas River"/>
  </r>
  <r>
    <s v="050B22"/>
    <x v="93"/>
    <m/>
    <n v="22"/>
    <n v="452.79599999999999"/>
    <s v="US 385A Granada"/>
    <n v="463.50599999999997"/>
    <s v="SH 89A Holly"/>
    <m/>
    <s v="Detour_OOS01"/>
    <s v="Arkansas River"/>
  </r>
  <r>
    <s v="050B23"/>
    <x v="93"/>
    <m/>
    <n v="23"/>
    <n v="463.50599999999997"/>
    <s v="SH 89A Holly"/>
    <n v="467.58300000000003"/>
    <s v="Kansas state line"/>
    <m/>
    <s v="Detour_OOS01"/>
    <m/>
  </r>
  <r>
    <s v="050C01"/>
    <x v="94"/>
    <s v="050H"/>
    <n v="1"/>
    <n v="0"/>
    <s v="SH 96A 4th St Pueblo"/>
    <n v="0.82399999999999995"/>
    <s v="I-25A Ilex interchange"/>
    <m/>
    <s v="Detour_Virt1x1a"/>
    <s v="Historic Arkansas Riverwalk of Pueblo (HARP)"/>
  </r>
  <r>
    <s v="050C02"/>
    <x v="94"/>
    <s v="050I"/>
    <n v="2"/>
    <n v="0.82399999999999995"/>
    <s v="I-25A Ilex interchange"/>
    <n v="2.3380000000000001"/>
    <s v="SH 227A La Crosse Ave Roselawn Rd"/>
    <m/>
    <s v="Detour_Virt1x1a"/>
    <s v="Arkansas River"/>
  </r>
  <r>
    <s v="050C03"/>
    <x v="94"/>
    <s v="050I"/>
    <n v="3"/>
    <n v="2.3380000000000001"/>
    <s v="SH 227A La Crosse Ave Roselawn Rd"/>
    <n v="9.4489999999999998"/>
    <s v="SH 231A Vineland"/>
    <m/>
    <s v="Detour_Virt1x1a"/>
    <s v="Saint Charles River"/>
  </r>
  <r>
    <s v="050C04"/>
    <x v="94"/>
    <s v="050J"/>
    <n v="4"/>
    <n v="9.4489999999999998"/>
    <s v="SH 231A Vineland"/>
    <n v="16.948"/>
    <s v="US 50B Avondale"/>
    <m/>
    <s v="Detour_Virt1x1a"/>
    <s v="Arkansas River"/>
  </r>
  <r>
    <s v="050D01"/>
    <x v="95"/>
    <s v="050K"/>
    <n v="1"/>
    <n v="0"/>
    <s v="US 50A Olathe"/>
    <n v="0.93100000000000005"/>
    <s v="SH 348A 5th St Olathe"/>
    <s v="Dom by US 50A"/>
    <s v="Detour_Virt3x3"/>
    <m/>
  </r>
  <r>
    <s v="050D02"/>
    <x v="95"/>
    <s v="050L"/>
    <n v="2"/>
    <n v="0.93100000000000005"/>
    <s v="SH 348A 5th St Olathe"/>
    <n v="1.5389999999999999"/>
    <s v="US 50A SEO Olathe"/>
    <s v="Dom by US 50A"/>
    <s v="Detour_Virt3x3"/>
    <m/>
  </r>
  <r>
    <s v="050Z01"/>
    <x v="96"/>
    <m/>
    <n v="1"/>
    <n v="0"/>
    <s v="US 50B Rocky Ford"/>
    <n v="0.61299999999999999"/>
    <s v="SH 266A to SH 71B Rocky Ford"/>
    <m/>
    <s v="Detour_OOS01"/>
    <m/>
  </r>
  <r>
    <s v="050Z02"/>
    <x v="96"/>
    <m/>
    <n v="2"/>
    <n v="0.61299999999999999"/>
    <s v="SH 266A to SH 71B Rocky Ford"/>
    <n v="1.4330000000000001"/>
    <s v="SH 202A Rocky Ford"/>
    <m/>
    <s v="Detour_OOS01"/>
    <s v="Arkansas River"/>
  </r>
  <r>
    <s v="050Z03"/>
    <x v="96"/>
    <m/>
    <n v="3"/>
    <n v="1.4330000000000001"/>
    <s v="SH 202A Rocky Ford"/>
    <n v="2.6030000000000002"/>
    <s v="US 50B SH 71C WO Rocky Ford"/>
    <m/>
    <s v="Detour_OOS01"/>
    <s v="Arkansas River"/>
  </r>
  <r>
    <s v="052A01"/>
    <x v="97"/>
    <s v="052C"/>
    <n v="1"/>
    <n v="0"/>
    <s v="SH 119B Longmont Diagonal"/>
    <n v="4.673"/>
    <s v="US 287C"/>
    <m/>
    <s v="Detour_Virt2x1"/>
    <m/>
  </r>
  <r>
    <s v="052A02"/>
    <x v="97"/>
    <s v="052C"/>
    <n v="2"/>
    <n v="4.673"/>
    <s v="US 287C"/>
    <n v="11.167"/>
    <s v="I-25A"/>
    <m/>
    <s v="Detour_Virt2x1"/>
    <s v="Boulder Creek"/>
  </r>
  <r>
    <s v="052A03"/>
    <x v="97"/>
    <s v="052C"/>
    <n v="3"/>
    <n v="11.167"/>
    <s v="I-25A"/>
    <n v="19.962"/>
    <s v="US 85C Fort Lupton"/>
    <m/>
    <s v="Detour_Virt2x1"/>
    <s v="South Platte River"/>
  </r>
  <r>
    <s v="052A04"/>
    <x v="97"/>
    <s v="052C"/>
    <n v="4"/>
    <n v="19.962"/>
    <s v="US 85C Fort Lupton"/>
    <n v="20.452000000000002"/>
    <s v="US 85E Fort Lupton business loop"/>
    <m/>
    <s v="Detour_Virt2x1"/>
    <m/>
  </r>
  <r>
    <s v="052A05"/>
    <x v="97"/>
    <s v="052C"/>
    <n v="5"/>
    <n v="20.452000000000002"/>
    <s v="US 85E Fort Lupton business loop"/>
    <n v="29.277000000000001"/>
    <s v="I-76A Hudson"/>
    <m/>
    <s v="Detour_Virt2x1"/>
    <m/>
  </r>
  <r>
    <s v="052A06"/>
    <x v="97"/>
    <s v="052C"/>
    <n v="6"/>
    <n v="29.277000000000001"/>
    <s v="I-76A Hudson"/>
    <n v="41.939"/>
    <s v="SH 79B"/>
    <m/>
    <s v="Detour_Virt2x1"/>
    <m/>
  </r>
  <r>
    <s v="052A07"/>
    <x v="97"/>
    <s v="052D"/>
    <n v="7"/>
    <n v="41.939"/>
    <s v="SH 79B"/>
    <n v="72.581000000000003"/>
    <s v="US 6I SH 39A NEO Wiggins"/>
    <m/>
    <s v="Detour_Virt2x1"/>
    <s v="Kiowa Creek"/>
  </r>
  <r>
    <s v="052B01"/>
    <x v="98"/>
    <m/>
    <n v="1"/>
    <n v="86.480999999999995"/>
    <s v="US 34B Fort Morgan"/>
    <n v="86.98"/>
    <s v="SH 144A"/>
    <m/>
    <s v="Detour_Intra02x2"/>
    <m/>
  </r>
  <r>
    <s v="052B02"/>
    <x v="98"/>
    <m/>
    <n v="2"/>
    <n v="86.98"/>
    <s v="SH 144A"/>
    <n v="87.161000000000001"/>
    <s v="I-76A "/>
    <m/>
    <s v="Detour_Intra02x2"/>
    <m/>
  </r>
  <r>
    <s v="052B03"/>
    <x v="98"/>
    <m/>
    <n v="3"/>
    <n v="87.161000000000001"/>
    <s v="I-76A "/>
    <n v="111.569"/>
    <s v="SH 14C EO Raymer"/>
    <m/>
    <s v="Detour_Intra02x2"/>
    <s v="South Platte River"/>
  </r>
  <r>
    <s v="053A01"/>
    <x v="99"/>
    <m/>
    <n v="1"/>
    <n v="0"/>
    <s v="I-25A 58th Ave exit"/>
    <n v="1.663"/>
    <s v="SH 224A 70th Ave &amp; Broadway"/>
    <m/>
    <s v="Detour_Intra02x2"/>
    <m/>
  </r>
  <r>
    <s v="055A01"/>
    <x v="100"/>
    <m/>
    <n v="1"/>
    <n v="0"/>
    <s v="US 138A Crook"/>
    <n v="2.4169999999999998"/>
    <s v="I-76A"/>
    <m/>
    <s v="Detour_Intra02x2"/>
    <s v="South Platte River"/>
  </r>
  <r>
    <s v="055A02"/>
    <x v="100"/>
    <m/>
    <n v="2"/>
    <n v="2.4169999999999998"/>
    <s v="I-76A"/>
    <n v="5.6589999999999998"/>
    <s v="ends NO Logan CR 46"/>
    <s v="Spur - no detour possible"/>
    <s v="Detour_Intra02x2"/>
    <m/>
  </r>
  <r>
    <s v="056B01"/>
    <x v="101"/>
    <m/>
    <n v="1"/>
    <n v="2.8210000000000002"/>
    <s v="US 287C Berthoud Bypass"/>
    <n v="9.5289999999999999"/>
    <s v="I-25A"/>
    <m/>
    <s v="Detour_Intra02x2"/>
    <m/>
  </r>
  <r>
    <s v="057A01"/>
    <x v="102"/>
    <m/>
    <n v="1"/>
    <n v="0"/>
    <s v="I-70A"/>
    <n v="0.53400000000000003"/>
    <s v="US 24B US 24C Stratton"/>
    <m/>
    <s v="Detour_Intra02x2"/>
    <m/>
  </r>
  <r>
    <s v="058A01"/>
    <x v="103"/>
    <m/>
    <n v="1"/>
    <n v="0"/>
    <s v="US 6G SH 93A Golden"/>
    <n v="5.6269999999999998"/>
    <s v="I-70A"/>
    <m/>
    <s v="Detour_Intra02x3"/>
    <s v="Clear Creek"/>
  </r>
  <r>
    <s v="059A01"/>
    <x v="104"/>
    <m/>
    <n v="1"/>
    <n v="0"/>
    <s v="US 40H Kit Carson"/>
    <n v="41.027999999999999"/>
    <s v="I-70A SO Seibert"/>
    <m/>
    <s v="Detour_Intra02x3"/>
    <m/>
  </r>
  <r>
    <s v="059A02"/>
    <x v="104"/>
    <m/>
    <n v="2"/>
    <n v="41.027999999999999"/>
    <s v="I-70A SO Seibert"/>
    <n v="41.478999999999999"/>
    <s v="US 24B Seibert"/>
    <m/>
    <s v="Detour_Intra02x3"/>
    <m/>
  </r>
  <r>
    <s v="059A03"/>
    <x v="104"/>
    <m/>
    <n v="3"/>
    <n v="41.478999999999999"/>
    <s v="US 24B Seibert"/>
    <n v="67.141999999999996"/>
    <s v="US 36D Cope"/>
    <m/>
    <s v="Detour_Intra02x3"/>
    <m/>
  </r>
  <r>
    <s v="059B01"/>
    <x v="105"/>
    <m/>
    <n v="1"/>
    <n v="74.474000000000004"/>
    <s v="US 36D WO Joes"/>
    <n v="106.29"/>
    <s v="US 34B Yuma"/>
    <m/>
    <s v="Detour_Intra02x3"/>
    <s v="Arikaree River"/>
  </r>
  <r>
    <s v="059B02"/>
    <x v="105"/>
    <m/>
    <n v="2"/>
    <n v="106.29"/>
    <s v="US 34B Yuma"/>
    <n v="147.21799999999999"/>
    <s v="US 6J Haxtun"/>
    <m/>
    <s v="Detour_Intra02x3"/>
    <m/>
  </r>
  <r>
    <s v="059B03"/>
    <x v="105"/>
    <m/>
    <n v="3"/>
    <n v="147.21799999999999"/>
    <s v="US 6J Haxtun"/>
    <n v="171.07"/>
    <s v="I-76A"/>
    <m/>
    <s v="Detour_Intra02x3"/>
    <m/>
  </r>
  <r>
    <s v="059B04"/>
    <x v="105"/>
    <m/>
    <n v="4"/>
    <n v="171.07"/>
    <s v="I-76A"/>
    <n v="173.33699999999999"/>
    <s v="US 138A Sedgwick"/>
    <m/>
    <s v="Detour_Intra02x3"/>
    <s v="South Platte River"/>
  </r>
  <r>
    <s v="060A01"/>
    <x v="106"/>
    <m/>
    <n v="1"/>
    <n v="0"/>
    <s v="US 287C Campion"/>
    <n v="4.968"/>
    <s v="I-25A Frontage Road"/>
    <m/>
    <s v="Detour_Intra02x3"/>
    <m/>
  </r>
  <r>
    <s v="060B01"/>
    <x v="107"/>
    <m/>
    <n v="1"/>
    <n v="5.8230000000000004"/>
    <s v="I-25A"/>
    <n v="11.853"/>
    <s v="SH 257A Milliken"/>
    <m/>
    <s v="Detour_Intra02x3"/>
    <s v="Little Thompson River"/>
  </r>
  <r>
    <s v="060B02"/>
    <x v="107"/>
    <m/>
    <n v="2"/>
    <n v="11.853"/>
    <s v="SH 257A Milliken"/>
    <n v="20.202999999999999"/>
    <s v="US 85C NO Platteville"/>
    <m/>
    <s v="Detour_Intra02x3"/>
    <s v="South Platte River"/>
  </r>
  <r>
    <s v="061A01"/>
    <x v="108"/>
    <m/>
    <n v="1"/>
    <n v="0"/>
    <s v="US 34B Otis"/>
    <n v="40.993000000000002"/>
    <s v="US 6J EO Sterling"/>
    <m/>
    <s v="Detour_Intra02x3"/>
    <m/>
  </r>
  <r>
    <s v="062A01"/>
    <x v="109"/>
    <m/>
    <n v="1"/>
    <n v="0"/>
    <s v="SH 145A Placerville"/>
    <n v="23.414000000000001"/>
    <s v="US 550B Ridgway"/>
    <m/>
    <s v="Detour_Intra02x3"/>
    <s v="Leopard Creek; Dallas Creek; Uncompahgre River"/>
  </r>
  <r>
    <s v="063A01"/>
    <x v="110"/>
    <m/>
    <n v="1"/>
    <n v="0"/>
    <s v="US 36D Anton"/>
    <n v="29.006"/>
    <s v="US 34B Akron"/>
    <m/>
    <s v="Detour_Intra02x3"/>
    <m/>
  </r>
  <r>
    <s v="063A02"/>
    <x v="110"/>
    <m/>
    <n v="2"/>
    <n v="29.006"/>
    <s v="US 34B Akron"/>
    <n v="53.29"/>
    <s v="I-76A"/>
    <m/>
    <s v="Detour_Intra02x3"/>
    <m/>
  </r>
  <r>
    <s v="063A03"/>
    <x v="110"/>
    <m/>
    <n v="3"/>
    <n v="53.29"/>
    <s v="I-76A"/>
    <n v="56.411999999999999"/>
    <s v="US 138A Atwood"/>
    <m/>
    <s v="Detour_Intra02x3"/>
    <s v="South Platte River"/>
  </r>
  <r>
    <s v="064A01"/>
    <x v="111"/>
    <m/>
    <n v="1"/>
    <n v="0"/>
    <s v="US 40A Dinosaur"/>
    <n v="19.792000000000002"/>
    <s v="SH 139A Rangely"/>
    <m/>
    <s v="Detour_Intra02x3"/>
    <s v="White River"/>
  </r>
  <r>
    <s v="064A02"/>
    <x v="111"/>
    <m/>
    <n v="2"/>
    <n v="19.792000000000002"/>
    <s v="SH 139A Rangely"/>
    <n v="73.704999999999998"/>
    <s v="SH 13A SWO Meeker"/>
    <m/>
    <s v="Detour_Intra02x3"/>
    <s v="White River"/>
  </r>
  <r>
    <s v="065A01"/>
    <x v="112"/>
    <m/>
    <n v="1"/>
    <n v="0"/>
    <s v="SH 92A SO Orchard City"/>
    <n v="51.168999999999997"/>
    <s v="SH 330A to Collbran"/>
    <m/>
    <s v="Detour_Intra02x3"/>
    <s v="Gunnison River; Mesa Creek"/>
  </r>
  <r>
    <s v="065A02"/>
    <x v="112"/>
    <m/>
    <n v="2"/>
    <n v="51.168999999999997"/>
    <s v="SH 330A to Collbran"/>
    <n v="61.377000000000002"/>
    <s v="I-70A"/>
    <m/>
    <s v="Detour_Intra02x3"/>
    <s v="Plateau Creek"/>
  </r>
  <r>
    <s v="066B01"/>
    <x v="113"/>
    <m/>
    <n v="1"/>
    <n v="28.693000000000001"/>
    <s v="US 36B SEO Lyons"/>
    <n v="36.622"/>
    <s v="US 287C Longmont"/>
    <m/>
    <s v="Detour_Intra01"/>
    <s v="Saint Vrain Creek"/>
  </r>
  <r>
    <s v="066B02"/>
    <x v="113"/>
    <m/>
    <n v="2"/>
    <n v="36.622"/>
    <s v="US 287C Longmont"/>
    <n v="42.737000000000002"/>
    <s v="I-25A"/>
    <m/>
    <s v="Detour_Intra01"/>
    <m/>
  </r>
  <r>
    <s v="066B03"/>
    <x v="113"/>
    <m/>
    <n v="3"/>
    <n v="42.737000000000002"/>
    <s v="I-25A"/>
    <n v="51.235999999999997"/>
    <s v="US 85F Platteville"/>
    <m/>
    <s v="Detour_Intra01"/>
    <s v="Boulder Creek; South Platte River"/>
  </r>
  <r>
    <s v="066B04"/>
    <x v="113"/>
    <m/>
    <n v="4"/>
    <n v="51.235999999999997"/>
    <s v="US 85F Platteville"/>
    <n v="51.386000000000003"/>
    <s v="US 85C Platteville"/>
    <m/>
    <s v="Detour_Intra01"/>
    <m/>
  </r>
  <r>
    <s v="067A01"/>
    <x v="114"/>
    <m/>
    <n v="1"/>
    <n v="0"/>
    <s v="SH 96A Wetmore"/>
    <n v="11.047000000000001"/>
    <s v="SH 115A Florence"/>
    <m/>
    <s v="Detour_Intra02x3"/>
    <m/>
  </r>
  <r>
    <s v="067B01"/>
    <x v="115"/>
    <m/>
    <n v="1"/>
    <n v="11.561999999999999"/>
    <s v="SH 115A Florence"/>
    <n v="15.074"/>
    <s v="US 50A NO Florence"/>
    <m/>
    <s v="Detour_Intra02x3"/>
    <s v="Arkansas River"/>
  </r>
  <r>
    <s v="067C01"/>
    <x v="116"/>
    <m/>
    <n v="1"/>
    <n v="45.866999999999997"/>
    <s v="begins WO Victor city limits"/>
    <n v="50.73"/>
    <s v="ends SO Cripple Creek city limits"/>
    <s v="Not connected - no detour possible"/>
    <s v="not created"/>
    <m/>
  </r>
  <r>
    <s v="067D01"/>
    <x v="117"/>
    <m/>
    <n v="1"/>
    <n v="76.92"/>
    <s v="US 24A Woodland Park"/>
    <n v="100.036"/>
    <s v="ends Deckers"/>
    <s v="Spur - no detour possible"/>
    <s v="not created"/>
    <s v="Horse Creek"/>
  </r>
  <r>
    <s v="067E01"/>
    <x v="118"/>
    <m/>
    <n v="1"/>
    <n v="117.349"/>
    <s v="start Rampart Range Rd"/>
    <n v="126.738"/>
    <s v="SH 105B SO Sedalia"/>
    <s v="Spur - no detour possible"/>
    <s v="not created"/>
    <s v="West Plum Creek"/>
  </r>
  <r>
    <s v="067E02"/>
    <x v="118"/>
    <m/>
    <n v="2"/>
    <n v="126.738"/>
    <s v="SH 105B SO Sedalia"/>
    <n v="127.449"/>
    <s v="US 85B Sedalia"/>
    <s v="Spur - no detour possible"/>
    <s v="not created"/>
    <s v="East Plum Creek"/>
  </r>
  <r>
    <s v="067F01"/>
    <x v="119"/>
    <m/>
    <n v="1"/>
    <n v="52.304000000000002"/>
    <s v="start NO Cripple Creek city limits"/>
    <n v="69.652000000000001"/>
    <s v="US 24A Divide"/>
    <s v="Spur - no detour possible"/>
    <s v="not created"/>
    <m/>
  </r>
  <r>
    <s v="069A01"/>
    <x v="120"/>
    <m/>
    <n v="1"/>
    <n v="0"/>
    <s v="I-25C NO Walsenburg"/>
    <n v="58.704999999999998"/>
    <s v="SH 96A Westcliffe"/>
    <m/>
    <s v="Detour_Intra02x3"/>
    <s v="Huerfano River"/>
  </r>
  <r>
    <s v="069A02"/>
    <x v="120"/>
    <m/>
    <n v="2"/>
    <n v="58.704999999999998"/>
    <s v="SH 96A Westcliffe"/>
    <n v="82.664000000000001"/>
    <s v="US 50A Texas Creek"/>
    <m/>
    <s v="Detour_Intra02x3"/>
    <s v="Texas Creek"/>
  </r>
  <r>
    <s v="070A01"/>
    <x v="121"/>
    <m/>
    <n v="1"/>
    <n v="0"/>
    <s v="Utah state line"/>
    <n v="11.106"/>
    <s v="US 6A Mack"/>
    <m/>
    <s v="Detour_OOS01"/>
    <m/>
  </r>
  <r>
    <s v="070A02"/>
    <x v="121"/>
    <m/>
    <n v="2"/>
    <n v="11.106"/>
    <s v="US 6A Mack"/>
    <n v="15"/>
    <s v="SH 139A Loma"/>
    <m/>
    <s v="Detour_OOS01"/>
    <m/>
  </r>
  <r>
    <s v="070A03"/>
    <x v="121"/>
    <m/>
    <n v="3"/>
    <n v="15"/>
    <s v="SH 139A Loma"/>
    <n v="19.443999999999999"/>
    <s v="SH 340A Fruita"/>
    <m/>
    <s v="Detour_OOS01"/>
    <s v="Colorado River"/>
  </r>
  <r>
    <s v="070A04"/>
    <x v="121"/>
    <m/>
    <n v="4"/>
    <n v="19.443999999999999"/>
    <s v="SH 340A Fruita"/>
    <n v="25.562999999999999"/>
    <s v="I-70B US 6A West Grand Jct DDI"/>
    <m/>
    <s v="Detour_OOS01"/>
    <s v="Colorado River"/>
  </r>
  <r>
    <s v="070A05"/>
    <x v="121"/>
    <m/>
    <n v="5"/>
    <n v="25.562999999999999"/>
    <s v="I-70B US 6A West Grand Jct DDI"/>
    <n v="36.643999999999998"/>
    <s v="I-70B Clifton"/>
    <m/>
    <s v="Detour_OOS01"/>
    <m/>
  </r>
  <r>
    <s v="070A06"/>
    <x v="121"/>
    <m/>
    <n v="6"/>
    <n v="36.643999999999998"/>
    <s v="I-70B Clifton"/>
    <n v="43.7"/>
    <s v="US 6C Palisade"/>
    <m/>
    <s v="Detour_OOS01"/>
    <m/>
  </r>
  <r>
    <s v="070A07"/>
    <x v="121"/>
    <m/>
    <n v="7"/>
    <n v="43.7"/>
    <s v="US 6C Palisade"/>
    <n v="49.015000000000001"/>
    <s v="SH 65A"/>
    <m/>
    <s v="Detour_OOS01"/>
    <s v="Colorado River"/>
  </r>
  <r>
    <s v="070A08"/>
    <x v="121"/>
    <m/>
    <n v="8"/>
    <n v="49.015000000000001"/>
    <s v="SH 65A"/>
    <n v="61.648000000000003"/>
    <s v="US 6M DeBeque"/>
    <m/>
    <s v="Detour_OOS01"/>
    <s v="Colorado River"/>
  </r>
  <r>
    <s v="070A09"/>
    <x v="121"/>
    <m/>
    <n v="9"/>
    <n v="61.648000000000003"/>
    <s v="US 6M DeBeque"/>
    <n v="72.323999999999998"/>
    <s v="US 6M West Parachute"/>
    <m/>
    <s v="Detour_OOS01"/>
    <s v="Colorado River"/>
  </r>
  <r>
    <s v="070A10"/>
    <x v="121"/>
    <m/>
    <n v="10"/>
    <n v="72.323999999999998"/>
    <s v="US 6M West Parachute"/>
    <n v="74.661000000000001"/>
    <s v="US 6M Parachute"/>
    <m/>
    <s v="Detour_OOS01"/>
    <s v="Colorado River"/>
  </r>
  <r>
    <s v="070A11"/>
    <x v="121"/>
    <m/>
    <n v="11"/>
    <n v="74.661000000000001"/>
    <s v="US 6M Parachute"/>
    <n v="81.236000000000004"/>
    <s v="US 6M Rulison"/>
    <m/>
    <s v="Detour_OOS01"/>
    <s v="Colorado River"/>
  </r>
  <r>
    <s v="070A12"/>
    <x v="121"/>
    <m/>
    <n v="12"/>
    <n v="81.236000000000004"/>
    <s v="US 6M Rulison"/>
    <n v="86.85"/>
    <s v="US 6L US 6M West Rifle"/>
    <m/>
    <s v="Detour_OOS01"/>
    <s v="Colorado River"/>
  </r>
  <r>
    <s v="070A13"/>
    <x v="121"/>
    <m/>
    <n v="13"/>
    <n v="86.85"/>
    <s v="US 6L US 6M West Rifle"/>
    <n v="90.421999999999997"/>
    <s v="SH 13C Rifle"/>
    <m/>
    <s v="Detour_OOS01"/>
    <s v="Colorado River"/>
  </r>
  <r>
    <s v="070A14"/>
    <x v="121"/>
    <m/>
    <n v="14"/>
    <n v="90.421999999999997"/>
    <s v="SH 13C Rifle"/>
    <n v="97.427000000000007"/>
    <s v="I-70E spur Silt"/>
    <m/>
    <s v="Detour_OOS01"/>
    <s v="Colorado River"/>
  </r>
  <r>
    <s v="070A15"/>
    <x v="121"/>
    <m/>
    <n v="15"/>
    <n v="97.427000000000007"/>
    <s v="I-70E spur Silt"/>
    <n v="105.26"/>
    <s v="to US 6D New Castle"/>
    <m/>
    <s v="Detour_OOS01"/>
    <s v="Colorado River"/>
  </r>
  <r>
    <s v="070A16"/>
    <x v="121"/>
    <m/>
    <n v="16"/>
    <n v="105.26"/>
    <s v="to US 6D New Castle"/>
    <n v="109"/>
    <s v="US 6D Chacra Canyon Creek"/>
    <m/>
    <s v="Detour_OOS01"/>
    <s v="Colorado River"/>
  </r>
  <r>
    <s v="070A17"/>
    <x v="121"/>
    <m/>
    <n v="17"/>
    <n v="109"/>
    <s v="US 6D Chacra Canyon Creek"/>
    <n v="116.38"/>
    <s v="SH 82A Glenwood Spgs"/>
    <m/>
    <s v="Detour_OOS01"/>
    <s v="Colorado River"/>
  </r>
  <r>
    <s v="070A18"/>
    <x v="121"/>
    <m/>
    <n v="18"/>
    <n v="116.38"/>
    <s v="SH 82A Glenwood Spgs"/>
    <n v="139.53299999999999"/>
    <s v="US 6N Gypsum"/>
    <m/>
    <s v="Detour_OOS01"/>
    <s v="Colorado River; Eagle River"/>
  </r>
  <r>
    <s v="070A19"/>
    <x v="121"/>
    <m/>
    <n v="19"/>
    <n v="139.53299999999999"/>
    <s v="US 6N Gypsum"/>
    <n v="146.648"/>
    <s v="I-70F Eagle spur"/>
    <m/>
    <s v="Detour_OOS01"/>
    <s v="Eagle River"/>
  </r>
  <r>
    <s v="070A20"/>
    <x v="121"/>
    <m/>
    <n v="20"/>
    <n v="146.648"/>
    <s v="I-70F Eagle spur"/>
    <n v="156.547"/>
    <s v="SH 131A to Wolcott"/>
    <m/>
    <s v="Detour_OOS01"/>
    <s v="Eagle River"/>
  </r>
  <r>
    <s v="070A21"/>
    <x v="121"/>
    <m/>
    <n v="21"/>
    <n v="156.547"/>
    <s v="SH 131A to Wolcott"/>
    <n v="162.78200000000001"/>
    <s v="I-70G Edwards spur"/>
    <m/>
    <s v="Detour_OOS01"/>
    <s v="Eagle River"/>
  </r>
  <r>
    <s v="070A22"/>
    <x v="121"/>
    <m/>
    <n v="22"/>
    <n v="162.78200000000001"/>
    <s v="I-70G Edwards spur"/>
    <m/>
    <s v="Avon Rd (former I-70H)"/>
    <m/>
    <s v="Detour_OOS01"/>
    <s v="Eagle River"/>
  </r>
  <r>
    <s v="070A23"/>
    <x v="121"/>
    <m/>
    <n v="23"/>
    <m/>
    <s v="Avon Rd (former I-70H)"/>
    <n v="168.75800000000001"/>
    <s v="US 6E Eagle-Vail"/>
    <m/>
    <s v="Detour_OOS01"/>
    <s v="Eagle River"/>
  </r>
  <r>
    <s v="070A24"/>
    <x v="121"/>
    <m/>
    <n v="24"/>
    <n v="168.75800000000001"/>
    <s v="US 6E Eagle-Vail"/>
    <n v="171.10499999999999"/>
    <s v="US 6E US 24A Dowd Jct"/>
    <m/>
    <s v="Detour_OOS01"/>
    <s v="Eagle River"/>
  </r>
  <r>
    <s v="070A25"/>
    <x v="121"/>
    <m/>
    <n v="25"/>
    <n v="171.10499999999999"/>
    <s v="US 6E US 24A Dowd Jct"/>
    <n v="195.25800000000001"/>
    <s v="SH 91A Copper Mtn Wheeler Jct"/>
    <m/>
    <s v="Detour_OOS01"/>
    <s v="Gore Creek; Black Gore Creek; West Tenmile Creek"/>
  </r>
  <r>
    <s v="070A26"/>
    <x v="121"/>
    <m/>
    <n v="26"/>
    <n v="195.25800000000001"/>
    <s v="SH 91A Copper Mtn Wheeler Jct"/>
    <n v="202.352"/>
    <s v="SH 9C Frisco"/>
    <m/>
    <s v="Detour_OOS01"/>
    <s v="Tenmile Creek"/>
  </r>
  <r>
    <s v="070A27"/>
    <x v="121"/>
    <m/>
    <n v="27"/>
    <n v="202.352"/>
    <s v="SH 9C Frisco"/>
    <n v="205.423"/>
    <s v="US 6F SH 9D Silverthorne Dillon"/>
    <m/>
    <s v="Detour_OOS01"/>
    <s v="Lake Dillon; Blue River"/>
  </r>
  <r>
    <s v="070A28"/>
    <x v="121"/>
    <m/>
    <n v="28"/>
    <n v="205.423"/>
    <s v="US 6F SH 9D Silverthorne Dillon"/>
    <n v="216.185"/>
    <s v="US 6F Loveland ski area"/>
    <m/>
    <s v="Detour_OOS01"/>
    <s v="Straight Creek; Clear Creek"/>
  </r>
  <r>
    <s v="070A29"/>
    <x v="121"/>
    <m/>
    <n v="29"/>
    <n v="216.185"/>
    <s v="US 6F Loveland ski area"/>
    <n v="231.88900000000001"/>
    <s v="US 40A Empire Jct"/>
    <m/>
    <s v="Detour_OOS01"/>
    <s v="Clear Creek"/>
  </r>
  <r>
    <s v="070A30"/>
    <x v="121"/>
    <m/>
    <n v="30"/>
    <n v="231.88900000000001"/>
    <s v="US 40A Empire Jct"/>
    <n v="239.65199999999999"/>
    <s v="SH 103A Idaho Spgs"/>
    <m/>
    <s v="Detour_OOS01"/>
    <s v="Clear Creek"/>
  </r>
  <r>
    <s v="070A31"/>
    <x v="121"/>
    <m/>
    <n v="31"/>
    <n v="239.65199999999999"/>
    <s v="SH 103A Idaho Spgs"/>
    <n v="244.26"/>
    <s v="US 6G Kermitt's Jct"/>
    <m/>
    <s v="Detour_OOS01"/>
    <s v="Clear Creek"/>
  </r>
  <r>
    <s v="070A32"/>
    <x v="121"/>
    <m/>
    <n v="32"/>
    <n v="244.26"/>
    <s v="US 6G Kermitt's Jct"/>
    <n v="246.602"/>
    <s v="US 40B Floyd Hill Hyland Hills"/>
    <m/>
    <s v="Detour_OOS01"/>
    <m/>
  </r>
  <r>
    <s v="070A33"/>
    <x v="121"/>
    <m/>
    <n v="33"/>
    <n v="246.602"/>
    <s v="US 40B Floyd Hill Hyland Hills"/>
    <n v="247.60400000000001"/>
    <s v="US 40B Beaver Brook"/>
    <m/>
    <s v="Detour_OOS01"/>
    <m/>
  </r>
  <r>
    <s v="070A34"/>
    <x v="121"/>
    <m/>
    <n v="34"/>
    <n v="247.60400000000001"/>
    <s v="US 40B Beaver Brook"/>
    <n v="250.76900000000001"/>
    <s v="US 40B El Rancho"/>
    <m/>
    <s v="Detour_OOS01"/>
    <s v="Beaver Brook; Soda Creek"/>
  </r>
  <r>
    <s v="070A35"/>
    <x v="121"/>
    <m/>
    <n v="35"/>
    <n v="250.76900000000001"/>
    <s v="US 40B El Rancho"/>
    <n v="251.31800000000001"/>
    <s v="SH 74A Evergreen Pkwy"/>
    <m/>
    <s v="Detour_OOS01"/>
    <m/>
  </r>
  <r>
    <s v="070A36"/>
    <x v="121"/>
    <m/>
    <n v="36"/>
    <n v="251.31800000000001"/>
    <s v="SH 74A Evergreen Pkwy"/>
    <n v="253.52799999999999"/>
    <s v="US 40C Genesee"/>
    <m/>
    <s v="Detour_OOS01"/>
    <s v="Mount Vernon Creek"/>
  </r>
  <r>
    <s v="070A37"/>
    <x v="121"/>
    <m/>
    <n v="37"/>
    <n v="253.52799999999999"/>
    <s v="US 40C Genesee"/>
    <n v="255.97399999999999"/>
    <s v="US 40C Lookout Mtn"/>
    <m/>
    <s v="Detour_OOS01"/>
    <m/>
  </r>
  <r>
    <s v="070A38"/>
    <x v="121"/>
    <m/>
    <n v="38"/>
    <n v="255.97399999999999"/>
    <s v="US 40C Lookout Mtn"/>
    <n v="258.72199999999998"/>
    <s v="US 40C Jefferson CR 93 Morrison"/>
    <m/>
    <s v="Detour_OOS01"/>
    <m/>
  </r>
  <r>
    <s v="070A39"/>
    <x v="121"/>
    <m/>
    <n v="39"/>
    <n v="258.72199999999998"/>
    <s v="US 40C Jefferson CR 93 Morrison"/>
    <n v="259.803"/>
    <s v="C-470A C-470W"/>
    <m/>
    <s v="Detour_OOS01"/>
    <m/>
  </r>
  <r>
    <s v="070A40"/>
    <x v="121"/>
    <m/>
    <n v="40"/>
    <n v="259.803"/>
    <s v="C-470A C-470W"/>
    <n v="261.02999999999997"/>
    <s v="US 6G 6th Ave Fwy"/>
    <m/>
    <s v="Detour_OOS01"/>
    <m/>
  </r>
  <r>
    <s v="070A41"/>
    <x v="121"/>
    <m/>
    <n v="41"/>
    <n v="261.02999999999997"/>
    <s v="US 6G 6th Ave Fwy"/>
    <n v="261.63"/>
    <s v="US 40C Colfax Ave Denver West"/>
    <m/>
    <s v="Detour_OOS01"/>
    <m/>
  </r>
  <r>
    <s v="070A42"/>
    <x v="121"/>
    <m/>
    <n v="42"/>
    <n v="261.63"/>
    <s v="US 40C Colfax Ave Denver West"/>
    <n v="265.34300000000002"/>
    <s v="SH 58A"/>
    <m/>
    <s v="Detour_OOS01"/>
    <s v="Clear Creek"/>
  </r>
  <r>
    <s v="070A43"/>
    <x v="121"/>
    <m/>
    <n v="43"/>
    <n v="265.34300000000002"/>
    <s v="SH 58A"/>
    <n v="265.726"/>
    <s v="SH 72A Ward Rd"/>
    <m/>
    <s v="Detour_OOS01"/>
    <m/>
  </r>
  <r>
    <s v="070A44"/>
    <x v="121"/>
    <m/>
    <n v="44"/>
    <n v="265.726"/>
    <s v="SH 72A Ward Rd"/>
    <n v="267.40199999999999"/>
    <s v="SH 391A Kipling St"/>
    <m/>
    <s v="Detour_OOS01"/>
    <m/>
  </r>
  <r>
    <s v="070A45"/>
    <x v="121"/>
    <m/>
    <n v="45"/>
    <n v="267.40199999999999"/>
    <s v="SH 391A Kipling St"/>
    <n v="269.005"/>
    <s v="SH 121A Wadsworth Blvd"/>
    <m/>
    <s v="Detour_OOS01"/>
    <m/>
  </r>
  <r>
    <s v="070A46"/>
    <x v="121"/>
    <m/>
    <n v="46"/>
    <n v="269.005"/>
    <s v="SH 121A Wadsworth Blvd"/>
    <n v="269.24200000000002"/>
    <s v="I-76A"/>
    <m/>
    <s v="Detour_OOS01"/>
    <m/>
  </r>
  <r>
    <s v="070A47"/>
    <x v="121"/>
    <m/>
    <n v="47"/>
    <n v="269.24200000000002"/>
    <s v="I-76A"/>
    <n v="270.49599999999998"/>
    <s v="SH 95A Sheridan Blvd"/>
    <m/>
    <s v="Detour_OOS01"/>
    <s v="Clear Creek"/>
  </r>
  <r>
    <s v="070A48"/>
    <x v="121"/>
    <m/>
    <n v="48"/>
    <n v="270.49599999999998"/>
    <s v="SH 95A Sheridan Blvd"/>
    <n v="272.005"/>
    <s v="US 287C Federal Blvd"/>
    <m/>
    <s v="Detour_OOS01"/>
    <m/>
  </r>
  <r>
    <s v="070A49"/>
    <x v="121"/>
    <m/>
    <n v="49"/>
    <n v="272.005"/>
    <s v="US 287C Federal Blvd"/>
    <n v="274.06200000000001"/>
    <s v="I-25A Mousetrap"/>
    <m/>
    <s v="Detour_OOS01"/>
    <m/>
  </r>
  <r>
    <s v="070A50"/>
    <x v="121"/>
    <m/>
    <n v="50"/>
    <n v="274.06200000000001"/>
    <s v="I-25A Mousetrap"/>
    <n v="275.25200000000001"/>
    <s v="SH 265B Brighton Blvd"/>
    <m/>
    <s v="Detour_OOS01"/>
    <s v="South Platte River"/>
  </r>
  <r>
    <s v="070A51"/>
    <x v="121"/>
    <m/>
    <n v="51"/>
    <n v="275.25200000000001"/>
    <s v="SH 265B Brighton Blvd"/>
    <n v="276.08"/>
    <s v="US 6H Vasquez Blvd"/>
    <m/>
    <s v="Detour_OOS01"/>
    <m/>
  </r>
  <r>
    <s v="070A52"/>
    <x v="121"/>
    <m/>
    <n v="52"/>
    <n v="276.08"/>
    <s v="US 6H Vasquez Blvd"/>
    <n v="276.572"/>
    <s v="SH 2A Colorado Blvd"/>
    <m/>
    <s v="Detour_OOS01"/>
    <m/>
  </r>
  <r>
    <s v="070A53"/>
    <x v="121"/>
    <m/>
    <n v="53"/>
    <n v="276.572"/>
    <s v="SH 2A Colorado Blvd"/>
    <n v="278.548"/>
    <s v="SH 35A Quebec St"/>
    <m/>
    <s v="Detour_OOS01"/>
    <m/>
  </r>
  <r>
    <s v="070A54"/>
    <x v="121"/>
    <m/>
    <n v="54"/>
    <n v="278.548"/>
    <s v="SH 35A Quebec St"/>
    <n v="278.92"/>
    <s v="I-270A"/>
    <m/>
    <s v="Detour_OOS01"/>
    <s v="Sand Creek"/>
  </r>
  <r>
    <s v="070A55"/>
    <x v="121"/>
    <m/>
    <n v="55"/>
    <n v="278.92"/>
    <s v="I-270A"/>
    <n v="283"/>
    <s v="I-225A"/>
    <m/>
    <s v="Detour_OOS01"/>
    <m/>
  </r>
  <r>
    <s v="070A56"/>
    <x v="121"/>
    <m/>
    <n v="56"/>
    <n v="283"/>
    <s v="I-225A"/>
    <n v="288.21899999999999"/>
    <s v="US 40C Aurora"/>
    <m/>
    <s v="Detour_OOS01"/>
    <m/>
  </r>
  <r>
    <s v="070A57"/>
    <x v="121"/>
    <m/>
    <n v="57"/>
    <n v="288.21899999999999"/>
    <s v="US 40C Aurora"/>
    <n v="289.16399999999999"/>
    <s v="E-470B"/>
    <m/>
    <s v="Detour_OOS01"/>
    <m/>
  </r>
  <r>
    <s v="070A58"/>
    <x v="121"/>
    <m/>
    <n v="58"/>
    <n v="289.16399999999999"/>
    <s v="E-470B"/>
    <n v="292.12799999999999"/>
    <s v="SH 36C Monaghan Rd"/>
    <m/>
    <s v="Detour_OOS01"/>
    <m/>
  </r>
  <r>
    <s v="070A59"/>
    <x v="121"/>
    <m/>
    <n v="59"/>
    <n v="292.12799999999999"/>
    <s v="SH 36C Monaghan Rd"/>
    <n v="295.25599999999997"/>
    <s v="I-70L spur Watkins Rd"/>
    <m/>
    <s v="Detour_OOS01"/>
    <m/>
  </r>
  <r>
    <s v="070A60"/>
    <x v="121"/>
    <m/>
    <n v="60"/>
    <n v="295.25599999999997"/>
    <s v="I-70L spur Watkins Rd"/>
    <n v="304.36"/>
    <s v="SH 79A to Bennett"/>
    <m/>
    <s v="Detour_OOS01"/>
    <m/>
  </r>
  <r>
    <s v="070A61"/>
    <x v="121"/>
    <m/>
    <n v="61"/>
    <n v="304.36"/>
    <s v="SH 79A to Bennett"/>
    <n v="305.78399999999999"/>
    <s v="Exit 306 to SH 36D"/>
    <m/>
    <s v="Detour_OOS01"/>
    <s v="Kiowa Creek"/>
  </r>
  <r>
    <s v="070A62"/>
    <x v="121"/>
    <m/>
    <n v="62"/>
    <n v="305.78399999999999"/>
    <s v="Exit 306 to SH 36D"/>
    <n v="310.16500000000002"/>
    <s v="I-70M Strasburg spur"/>
    <m/>
    <s v="Detour_OOS01"/>
    <m/>
  </r>
  <r>
    <s v="070A63"/>
    <x v="121"/>
    <m/>
    <n v="63"/>
    <n v="310.16500000000002"/>
    <s v="I-70M Strasburg spur"/>
    <n v="315.91300000000001"/>
    <s v="US 36D SH 36D Byers"/>
    <m/>
    <s v="Detour_OOS01"/>
    <m/>
  </r>
  <r>
    <s v="070A64"/>
    <x v="121"/>
    <m/>
    <n v="64"/>
    <n v="315.91300000000001"/>
    <s v="US 36D SH 36D Byers"/>
    <n v="328.32900000000001"/>
    <s v="I-70N Deer Trail spur"/>
    <m/>
    <s v="Detour_OOS01"/>
    <m/>
  </r>
  <r>
    <s v="070A65"/>
    <x v="121"/>
    <m/>
    <n v="65"/>
    <n v="328.32900000000001"/>
    <s v="I-70N Deer Trail spur"/>
    <n v="340.35399999999998"/>
    <s v="I-70O Agate spur"/>
    <m/>
    <s v="Detour_OOS01"/>
    <m/>
  </r>
  <r>
    <s v="070A66"/>
    <x v="121"/>
    <m/>
    <n v="66"/>
    <n v="340.35399999999998"/>
    <s v="I-70O Agate spur"/>
    <n v="352.34"/>
    <s v="SH 86A"/>
    <m/>
    <s v="Detour_OOS01"/>
    <m/>
  </r>
  <r>
    <s v="070A67"/>
    <x v="121"/>
    <m/>
    <n v="67"/>
    <n v="352.34"/>
    <s v="SH 86A"/>
    <n v="359.49900000000002"/>
    <s v="US 24F West Limon"/>
    <m/>
    <s v="Detour_OOS01"/>
    <m/>
  </r>
  <r>
    <s v="070A68"/>
    <x v="121"/>
    <m/>
    <n v="68"/>
    <n v="359.49900000000002"/>
    <s v="US 24F West Limon"/>
    <n v="361.74299999999999"/>
    <s v="US 24G East Limon"/>
    <m/>
    <s v="Detour_OOS01"/>
    <m/>
  </r>
  <r>
    <s v="070A69"/>
    <x v="121"/>
    <m/>
    <n v="69"/>
    <n v="361.74299999999999"/>
    <s v="US 24G East Limon"/>
    <n v="363.02499999999998"/>
    <s v="US 24G US 40H EO Limon"/>
    <m/>
    <s v="Detour_OOS01"/>
    <m/>
  </r>
  <r>
    <s v="070A70"/>
    <x v="121"/>
    <m/>
    <n v="70"/>
    <n v="363.02499999999998"/>
    <s v="US 24G US 40H EO Limon"/>
    <n v="405.065"/>
    <s v="SH 59A Seibert"/>
    <m/>
    <s v="Detour_OOS01"/>
    <s v="South Fork Republican River"/>
  </r>
  <r>
    <s v="070A71"/>
    <x v="121"/>
    <m/>
    <n v="71"/>
    <n v="405.065"/>
    <s v="SH 59A Seibert"/>
    <n v="411.96100000000001"/>
    <s v="I-70P Vona"/>
    <m/>
    <s v="Detour_OOS01"/>
    <m/>
  </r>
  <r>
    <s v="070A72"/>
    <x v="121"/>
    <m/>
    <n v="72"/>
    <n v="411.96100000000001"/>
    <s v="I-70P Vona"/>
    <n v="419.31099999999998"/>
    <s v="SH 57A Stratton"/>
    <m/>
    <s v="Detour_OOS01"/>
    <m/>
  </r>
  <r>
    <s v="070A73"/>
    <x v="121"/>
    <m/>
    <n v="73"/>
    <n v="419.31099999999998"/>
    <s v="SH 57A Stratton"/>
    <n v="436.78800000000001"/>
    <s v="US 385C Burlington"/>
    <m/>
    <s v="Detour_OOS01"/>
    <m/>
  </r>
  <r>
    <s v="070A74"/>
    <x v="121"/>
    <m/>
    <n v="74"/>
    <n v="436.78800000000001"/>
    <s v="US 385C Burlington"/>
    <n v="438.22500000000002"/>
    <s v="I-70Q Burlington spur"/>
    <m/>
    <s v="Detour_OOS01"/>
    <m/>
  </r>
  <r>
    <s v="070A75"/>
    <x v="121"/>
    <m/>
    <n v="75"/>
    <n v="438.22500000000002"/>
    <s v="I-70Q Burlington spur"/>
    <n v="449.589"/>
    <s v="Kansas state line"/>
    <m/>
    <s v="Detour_OOS01"/>
    <m/>
  </r>
  <r>
    <s v="070B01"/>
    <x v="122"/>
    <s v="070S"/>
    <n v="1"/>
    <n v="0"/>
    <s v="I-70A US 6A west GJ DDI"/>
    <n v="4.367"/>
    <s v="US 6B North Ave GJ"/>
    <m/>
    <s v="Detour_Virt3x3"/>
    <s v="Colorado River"/>
  </r>
  <r>
    <s v="070B02"/>
    <x v="122"/>
    <s v="070S"/>
    <n v="2"/>
    <n v="4.367"/>
    <s v="US 6B North Ave GJ"/>
    <n v="4.952"/>
    <s v="SH 340A Grand Ave GJ"/>
    <m/>
    <s v="Detour_Virt3x3"/>
    <s v="Colorado River"/>
  </r>
  <r>
    <s v="070B03"/>
    <x v="122"/>
    <s v="070S"/>
    <n v="3"/>
    <n v="4.952"/>
    <s v="SH 340A Grand Ave GJ"/>
    <n v="5.2629999999999999"/>
    <s v="I-70Z Ute Ave GJ"/>
    <m/>
    <s v="Detour_Virt3x3"/>
    <s v="Colorado River"/>
  </r>
  <r>
    <s v="070B04"/>
    <x v="122"/>
    <s v="070S"/>
    <n v="4"/>
    <n v="5.2629999999999999"/>
    <s v="I-70Z Ute Ave GJ"/>
    <n v="5.6609999999999996"/>
    <s v="US 50A 5th St GJ"/>
    <m/>
    <s v="Detour_Virt3x3"/>
    <s v="Colorado River"/>
  </r>
  <r>
    <s v="070B05"/>
    <x v="122"/>
    <s v="070T"/>
    <n v="5"/>
    <n v="5.6609999999999996"/>
    <s v="US 50A 5th St GJ"/>
    <n v="6.5880000000000001"/>
    <s v="I-70Z Ute Ave GJ"/>
    <m/>
    <s v="Detour_Virt3x3"/>
    <s v="Colorado River"/>
  </r>
  <r>
    <s v="070B06"/>
    <x v="122"/>
    <s v="070T"/>
    <n v="6"/>
    <n v="6.5880000000000001"/>
    <s v="I-70Z Ute Ave GJ"/>
    <n v="9.3079999999999998"/>
    <s v="US 6B North Ave GJ"/>
    <m/>
    <s v="Detour_Virt3x3"/>
    <m/>
  </r>
  <r>
    <s v="070B07"/>
    <x v="122"/>
    <s v="070T"/>
    <n v="7"/>
    <n v="9.3079999999999998"/>
    <s v="US 6B North Ave GJ"/>
    <n v="11.715999999999999"/>
    <s v="SH 141B 32 Rd"/>
    <m/>
    <s v="Detour_Virt3x3"/>
    <m/>
  </r>
  <r>
    <s v="070B08"/>
    <x v="122"/>
    <s v="070T"/>
    <n v="8"/>
    <n v="11.715999999999999"/>
    <s v="SH 141B 32 Rd"/>
    <n v="12.175000000000001"/>
    <s v="US 6C F Rd Clifton"/>
    <m/>
    <s v="Detour_Virt3x3"/>
    <m/>
  </r>
  <r>
    <s v="070B09"/>
    <x v="122"/>
    <s v="070T"/>
    <n v="9"/>
    <n v="12.175000000000001"/>
    <s v="US 6C F Rd Clifton"/>
    <n v="13.265000000000001"/>
    <s v="I-70A Clifton"/>
    <m/>
    <s v="Detour_Virt3x3"/>
    <m/>
  </r>
  <r>
    <s v="070E01"/>
    <x v="123"/>
    <m/>
    <n v="1"/>
    <n v="0"/>
    <s v="I-70A Silt"/>
    <n v="0.222"/>
    <s v="US 6D Silt"/>
    <m/>
    <s v="Detour_Intra02x3"/>
    <s v="Colorado River"/>
  </r>
  <r>
    <s v="070F01"/>
    <x v="124"/>
    <m/>
    <n v="1"/>
    <n v="0"/>
    <s v="US 6E Eagle"/>
    <n v="0.34599999999999997"/>
    <s v="I-70A Eagle"/>
    <m/>
    <s v="Detour_Intra02x3"/>
    <s v="Eagle River"/>
  </r>
  <r>
    <s v="070G01"/>
    <x v="125"/>
    <m/>
    <n v="1"/>
    <n v="0"/>
    <s v="I-70A Edwards"/>
    <n v="0.57699999999999996"/>
    <s v="US 6E Edwards"/>
    <m/>
    <s v="Detour_Intra02x3"/>
    <s v="Eagle River"/>
  </r>
  <r>
    <s v="070K01"/>
    <x v="126"/>
    <m/>
    <n v="1"/>
    <n v="0"/>
    <s v="I-70A Idaho Springs west"/>
    <n v="0.21199999999999999"/>
    <s v="end Idaho Springs city limits = frontage road"/>
    <s v="Spur - no detour possible"/>
    <s v="not created"/>
    <s v="Clear Creek"/>
  </r>
  <r>
    <s v="070L01"/>
    <x v="127"/>
    <m/>
    <n v="1"/>
    <n v="0"/>
    <s v="I-70A Watkins"/>
    <n v="0.4"/>
    <s v="SH 36C Watkins Rd"/>
    <m/>
    <s v="Detour_Intra02x3"/>
    <m/>
  </r>
  <r>
    <s v="070M01"/>
    <x v="128"/>
    <m/>
    <n v="1"/>
    <n v="0"/>
    <s v="I-70A Strasburg"/>
    <n v="0.34799999999999998"/>
    <s v="SH 36D Strasburg"/>
    <m/>
    <s v="Detour_Intra02x3"/>
    <m/>
  </r>
  <r>
    <s v="070N01"/>
    <x v="129"/>
    <m/>
    <n v="1"/>
    <n v="0"/>
    <s v="SH 40E Deer Trail"/>
    <n v="0.39600000000000002"/>
    <s v="I-70A Deer Trail"/>
    <s v="Spur (with SH 40E) - detour uses connection to Peoria Crossing interchange"/>
    <s v="Detour_Intra02x3"/>
    <m/>
  </r>
  <r>
    <s v="070O01"/>
    <x v="130"/>
    <m/>
    <n v="1"/>
    <n v="0"/>
    <s v="SH 40F Agate"/>
    <n v="0.35299999999999998"/>
    <s v="I-70A Agate"/>
    <s v="Spur - no detour possible"/>
    <s v="not created"/>
    <m/>
  </r>
  <r>
    <s v="070P01"/>
    <x v="131"/>
    <m/>
    <n v="1"/>
    <n v="0"/>
    <s v="I-70A Vona"/>
    <n v="0.52800000000000002"/>
    <s v="US 24B Vona"/>
    <m/>
    <s v="Detour_Intra02x3"/>
    <m/>
  </r>
  <r>
    <s v="070Q01"/>
    <x v="132"/>
    <m/>
    <n v="1"/>
    <n v="0.13700000000000001"/>
    <s v="US 24D Burlington east side"/>
    <n v="0.377"/>
    <s v="I-70A EO Burlington"/>
    <m/>
    <s v="Detour_Intra02x3"/>
    <m/>
  </r>
  <r>
    <s v="070R01"/>
    <x v="133"/>
    <m/>
    <n v="1"/>
    <n v="2.1880000000000002"/>
    <s v="Roundabout EO Idaho Spgs"/>
    <n v="2.7109999999999999"/>
    <s v="I-70A Idaho Springs east"/>
    <s v="Spur - no detour possible"/>
    <s v="not created"/>
    <s v="Clear Creek"/>
  </r>
  <r>
    <s v="070Z01"/>
    <x v="134"/>
    <s v="070Y"/>
    <n v="1"/>
    <n v="0"/>
    <s v="I-70B EO downtown GJ"/>
    <n v="0.95899999999999996"/>
    <s v="US 50A 5th St GJ"/>
    <m/>
    <s v="Detour_Virt3x3"/>
    <s v="Colorado River"/>
  </r>
  <r>
    <s v="070Z02"/>
    <x v="134"/>
    <s v="070X"/>
    <n v="2"/>
    <n v="0.95899999999999996"/>
    <s v="US 50A 5th St GJ"/>
    <n v="1.3380000000000001"/>
    <s v="I-70B WO downtown GJ"/>
    <m/>
    <s v="Detour_Virt3x3"/>
    <s v="Colorado River"/>
  </r>
  <r>
    <s v="071A01"/>
    <x v="135"/>
    <m/>
    <n v="1"/>
    <n v="0"/>
    <s v="US 350A NEO Timpas"/>
    <n v="9.032"/>
    <s v="SH 10A Hawley"/>
    <m/>
    <s v="Detour_Intra02x3"/>
    <m/>
  </r>
  <r>
    <s v="071B01"/>
    <x v="136"/>
    <m/>
    <n v="1"/>
    <n v="9.6010000000000009"/>
    <s v="SH 10A Hawley"/>
    <n v="14.539"/>
    <s v="US 50B Rocky Ford"/>
    <m/>
    <s v="Detour_Intra02x3"/>
    <m/>
  </r>
  <r>
    <s v="071C01"/>
    <x v="137"/>
    <m/>
    <n v="1"/>
    <n v="16.157"/>
    <s v="US 50B US 50Z WO Rocky Ford"/>
    <n v="26.641999999999999"/>
    <s v="SH 96B Ordway"/>
    <m/>
    <s v="Detour_Intra02x3"/>
    <s v="Arkansas River"/>
  </r>
  <r>
    <s v="071C02"/>
    <x v="137"/>
    <m/>
    <n v="2"/>
    <n v="26.641999999999999"/>
    <s v="SH 96B Ordway"/>
    <n v="26.881"/>
    <s v="SH 96C Ordway"/>
    <m/>
    <s v="Detour_Intra02x3"/>
    <m/>
  </r>
  <r>
    <s v="071C03"/>
    <x v="137"/>
    <m/>
    <n v="3"/>
    <n v="26.881"/>
    <s v="SH 96C Ordway"/>
    <n v="72.600999999999999"/>
    <s v="SH 94A Punkin Center"/>
    <m/>
    <s v="Detour_Intra02x3"/>
    <m/>
  </r>
  <r>
    <s v="071C04"/>
    <x v="137"/>
    <m/>
    <n v="4"/>
    <n v="72.600999999999999"/>
    <s v="SH 94A Punkin Center"/>
    <n v="101.063"/>
    <s v="US 24G Limon"/>
    <m/>
    <s v="Detour_Intra02x3"/>
    <m/>
  </r>
  <r>
    <s v="071D01"/>
    <x v="138"/>
    <m/>
    <n v="1"/>
    <n v="101.973"/>
    <s v="US 24G Limon"/>
    <n v="138.011"/>
    <s v="US 36D Last Chance"/>
    <m/>
    <s v="Detour_Intra02x3"/>
    <m/>
  </r>
  <r>
    <s v="071D02"/>
    <x v="138"/>
    <m/>
    <n v="2"/>
    <n v="138.011"/>
    <s v="US 36D Last Chance"/>
    <n v="174.357"/>
    <s v="US 34B Brush"/>
    <m/>
    <s v="Detour_Intra02x3"/>
    <m/>
  </r>
  <r>
    <s v="071E01"/>
    <x v="139"/>
    <m/>
    <n v="1"/>
    <n v="175.48599999999999"/>
    <s v="US 34B Brush"/>
    <n v="176.464"/>
    <s v="I-76A Brush"/>
    <m/>
    <s v="Detour_Intra02x3"/>
    <m/>
  </r>
  <r>
    <s v="071E02"/>
    <x v="139"/>
    <m/>
    <n v="2"/>
    <n v="176.464"/>
    <s v="I-76A Brush"/>
    <n v="201.636"/>
    <s v="SH 14C EO Stoneham"/>
    <m/>
    <s v="Detour_Intra02x3"/>
    <s v="South Platte River"/>
  </r>
  <r>
    <s v="071F01"/>
    <x v="140"/>
    <m/>
    <n v="1"/>
    <n v="205.52500000000001"/>
    <s v="SH 14C Stoneham"/>
    <n v="232.899"/>
    <s v="Nebraska state line"/>
    <m/>
    <s v="Detour_OOS02"/>
    <m/>
  </r>
  <r>
    <s v="072A01"/>
    <x v="141"/>
    <m/>
    <n v="1"/>
    <n v="0"/>
    <s v="I-70A Ward Rd &amp; 44th Ave"/>
    <n v="10.659000000000001"/>
    <s v="SH 93A"/>
    <m/>
    <s v="Detour_Intra01"/>
    <m/>
  </r>
  <r>
    <s v="072A02"/>
    <x v="141"/>
    <m/>
    <n v="2"/>
    <n v="10.659000000000001"/>
    <s v="SH 93A"/>
    <n v="29.378"/>
    <s v="SH 119A NO Rollinsville"/>
    <m/>
    <s v="Detour_Intra01"/>
    <s v="Coal Creek; South Boulder Creek"/>
  </r>
  <r>
    <s v="072B01"/>
    <x v="142"/>
    <m/>
    <n v="1"/>
    <n v="32.369"/>
    <s v="SH 119A Nederland"/>
    <n v="54.064"/>
    <s v="SH 7A EO Allenspark"/>
    <m/>
    <s v="Detour_Intra02x3"/>
    <s v="South Saint Vrain Creek; Middle Saint Vrain Creek"/>
  </r>
  <r>
    <s v="074A01"/>
    <x v="143"/>
    <m/>
    <n v="1"/>
    <n v="0"/>
    <s v="I-70A Evergreen Pkwy"/>
    <n v="0.374"/>
    <s v="US 40B El Rancho"/>
    <s v="Within interchange"/>
    <s v="Detour_Intra02x4"/>
    <m/>
  </r>
  <r>
    <s v="074A02"/>
    <x v="143"/>
    <m/>
    <n v="2"/>
    <n v="0.374"/>
    <s v="US 40B El Rancho"/>
    <n v="18.11"/>
    <s v="SH 8A Morrison"/>
    <s v="Dom by I-70A &amp; C-470A"/>
    <s v="Detour_Intra02x4"/>
    <s v="Bear Creek"/>
  </r>
  <r>
    <s v="075B01"/>
    <x v="144"/>
    <m/>
    <n v="1"/>
    <n v="5.2869999999999999"/>
    <s v="Bowles Ave WO US 85B"/>
    <n v="8.5229999999999997"/>
    <s v="C-470A WB ramps"/>
    <s v="Spur - no detour possible"/>
    <s v="not created"/>
    <s v="South Platte River"/>
  </r>
  <r>
    <s v="076A01"/>
    <x v="145"/>
    <m/>
    <n v="1"/>
    <n v="0"/>
    <s v="I-70A EO SH 121A Wadsworth Blvd"/>
    <n v="1.768"/>
    <s v="SH 95A Sheridan Blvd"/>
    <m/>
    <s v="Detour_OOS01"/>
    <s v="Clear Creek"/>
  </r>
  <r>
    <s v="076A02"/>
    <x v="145"/>
    <m/>
    <n v="2"/>
    <n v="1.768"/>
    <s v="SH 95A Sheridan Blvd"/>
    <n v="3.2229999999999999"/>
    <s v="US 287C Federal Blvd"/>
    <m/>
    <s v="Detour_OOS01"/>
    <s v="Clear Creek"/>
  </r>
  <r>
    <s v="076A03"/>
    <x v="145"/>
    <m/>
    <n v="3"/>
    <n v="3.2229999999999999"/>
    <s v="US 287C Federal Blvd"/>
    <n v="5.7770000000000001"/>
    <s v="I-25A Turnpike Tangle"/>
    <m/>
    <s v="Detour_OOS01"/>
    <s v="Clear Creek"/>
  </r>
  <r>
    <s v="076A04"/>
    <x v="145"/>
    <m/>
    <n v="4"/>
    <n v="5.7770000000000001"/>
    <s v="I-25A Turnpike Tangle"/>
    <n v="6.8029999999999999"/>
    <s v="I-270A I-270B Turnpike Tangle"/>
    <m/>
    <s v="Detour_OOS01"/>
    <s v="Clear Creek"/>
  </r>
  <r>
    <s v="076A05"/>
    <x v="145"/>
    <m/>
    <n v="5"/>
    <n v="6.8029999999999999"/>
    <s v="I-270A I-270B Turnpike Tangle"/>
    <n v="8.0519999999999996"/>
    <s v="SH 224A 74th Ave"/>
    <m/>
    <s v="Detour_OOS01"/>
    <s v="Clear Creek; South Platte River"/>
  </r>
  <r>
    <s v="076A06"/>
    <x v="145"/>
    <m/>
    <n v="6"/>
    <n v="8.0519999999999996"/>
    <s v="SH 224A 74th Ave"/>
    <n v="9.4830000000000005"/>
    <s v="US 6H"/>
    <m/>
    <s v="Detour_OOS01"/>
    <s v="South Platte River"/>
  </r>
  <r>
    <s v="076A07"/>
    <x v="145"/>
    <m/>
    <n v="7"/>
    <n v="9.4830000000000005"/>
    <s v="US 6H"/>
    <n v="12.427"/>
    <s v="US 85C"/>
    <m/>
    <s v="Detour_OOS01"/>
    <s v="South Platte River"/>
  </r>
  <r>
    <s v="076A08"/>
    <x v="145"/>
    <m/>
    <n v="8"/>
    <n v="12.427"/>
    <s v="US 85C"/>
    <n v="16.477"/>
    <s v="SH 2D Sable Blvd Hansen Blvd"/>
    <m/>
    <s v="Detour_OOS01"/>
    <m/>
  </r>
  <r>
    <s v="076A09"/>
    <x v="145"/>
    <m/>
    <n v="9"/>
    <n v="16.477"/>
    <s v="SH 2D Sable Blvd Hansen Blvd"/>
    <n v="18.079000000000001"/>
    <s v="E-470B"/>
    <m/>
    <s v="Detour_OOS01"/>
    <m/>
  </r>
  <r>
    <s v="076A10"/>
    <x v="145"/>
    <m/>
    <n v="10"/>
    <n v="18.079000000000001"/>
    <s v="E-470B"/>
    <n v="31.48"/>
    <s v="SH 52A Hudson"/>
    <m/>
    <s v="Detour_OOS01"/>
    <s v="Barr Lake"/>
  </r>
  <r>
    <s v="076A11"/>
    <x v="145"/>
    <m/>
    <n v="11"/>
    <n v="31.48"/>
    <s v="SH 52A Hudson"/>
    <n v="38.924999999999997"/>
    <s v="I-76B Keenesburg"/>
    <m/>
    <s v="Detour_OOS01"/>
    <s v="Box Elder Creek"/>
  </r>
  <r>
    <s v="076A12"/>
    <x v="145"/>
    <m/>
    <n v="12"/>
    <n v="38.924999999999997"/>
    <s v="I-76B Keenesburg"/>
    <n v="59.798999999999999"/>
    <s v="Weld CR 36 to SH 144A"/>
    <m/>
    <s v="Detour_OOS01"/>
    <m/>
  </r>
  <r>
    <s v="076A13"/>
    <x v="145"/>
    <m/>
    <n v="13"/>
    <n v="59.798999999999999"/>
    <s v="Weld CR 36 to SH 144A"/>
    <n v="63.883000000000003"/>
    <s v="US 6I Wiggins"/>
    <m/>
    <s v="Detour_OOS01"/>
    <m/>
  </r>
  <r>
    <s v="076A14"/>
    <x v="145"/>
    <m/>
    <n v="14"/>
    <n v="63.883000000000003"/>
    <s v="US 6I Wiggins"/>
    <n v="66.099000000000004"/>
    <s v="SH 39A NEO Wiggins"/>
    <m/>
    <s v="Detour_OOS01"/>
    <m/>
  </r>
  <r>
    <s v="076A15"/>
    <x v="145"/>
    <m/>
    <n v="15"/>
    <n v="66.099000000000004"/>
    <s v="SH 39A NEO Wiggins"/>
    <n v="66.287999999999997"/>
    <s v="US 34A US 6I NEO Wiggins"/>
    <s v="Within interchange"/>
    <s v="Detour_OOS01"/>
    <m/>
  </r>
  <r>
    <s v="076A16"/>
    <x v="145"/>
    <m/>
    <n v="16"/>
    <n v="66.287999999999997"/>
    <s v="US 34A US 6I NEO Wiggins"/>
    <n v="75.703999999999994"/>
    <s v="US 34B WO Fort Morgan"/>
    <m/>
    <s v="Detour_OOS01"/>
    <m/>
  </r>
  <r>
    <s v="076A17"/>
    <x v="145"/>
    <m/>
    <n v="17"/>
    <n v="75.703999999999994"/>
    <s v="US 34B WO Fort Morgan"/>
    <n v="78.852000000000004"/>
    <s v="SH 144A Log Lane Village"/>
    <m/>
    <s v="Detour_OOS01"/>
    <m/>
  </r>
  <r>
    <s v="076A18"/>
    <x v="145"/>
    <m/>
    <n v="18"/>
    <n v="78.852000000000004"/>
    <s v="SH 144A Log Lane Village"/>
    <n v="80.138999999999996"/>
    <s v="SH 52B Fort Morgan"/>
    <m/>
    <s v="Detour_OOS01"/>
    <s v="South Platte River"/>
  </r>
  <r>
    <s v="076A19"/>
    <x v="145"/>
    <m/>
    <n v="19"/>
    <n v="80.138999999999996"/>
    <s v="SH 52B Fort Morgan"/>
    <n v="89.643000000000001"/>
    <s v="SH 71E Brush"/>
    <m/>
    <s v="Detour_OOS01"/>
    <s v="South Platte River"/>
  </r>
  <r>
    <s v="076A20"/>
    <x v="145"/>
    <m/>
    <n v="20"/>
    <n v="89.643000000000001"/>
    <s v="SH 71E Brush"/>
    <n v="91.692999999999998"/>
    <s v="US 6J US 34E EO Brush"/>
    <m/>
    <s v="Detour_OOS01"/>
    <s v="South Platte River"/>
  </r>
  <r>
    <s v="076A21"/>
    <x v="145"/>
    <m/>
    <n v="21"/>
    <n v="91.692999999999998"/>
    <s v="US 6J US 34E EO Brush"/>
    <n v="115.197"/>
    <s v="SH 63A SO Atwood"/>
    <m/>
    <s v="Detour_OOS01"/>
    <s v="South Platte River"/>
  </r>
  <r>
    <s v="076A22"/>
    <x v="145"/>
    <m/>
    <n v="22"/>
    <n v="115.197"/>
    <s v="SH 63A SO Atwood"/>
    <n v="124.756"/>
    <s v="US 6J EO Sterling"/>
    <m/>
    <s v="Detour_OOS01"/>
    <s v="South Platte River"/>
  </r>
  <r>
    <s v="076A23"/>
    <x v="145"/>
    <m/>
    <n v="23"/>
    <n v="124.756"/>
    <s v="US 6J EO Sterling"/>
    <n v="148.88"/>
    <s v="SH 55A SO Crook"/>
    <m/>
    <s v="Detour_OOS01"/>
    <s v="South Platte River"/>
  </r>
  <r>
    <s v="076A24"/>
    <x v="145"/>
    <m/>
    <n v="24"/>
    <n v="148.88"/>
    <s v="SH 55A SO Crook"/>
    <n v="164.93299999999999"/>
    <s v="SH 59B SO Sedgwick"/>
    <m/>
    <s v="Detour_OOS01"/>
    <s v="South Platte River"/>
  </r>
  <r>
    <s v="076A25"/>
    <x v="145"/>
    <m/>
    <n v="25"/>
    <n v="164.93299999999999"/>
    <s v="SH 59B SO Sedgwick"/>
    <n v="180.221"/>
    <s v="US 385D SO Julesburg"/>
    <m/>
    <s v="Detour_OOS01"/>
    <s v="South Platte River"/>
  </r>
  <r>
    <s v="076A26"/>
    <x v="145"/>
    <m/>
    <n v="26"/>
    <n v="180.221"/>
    <s v="US 385D SO Julesburg"/>
    <n v="184.13499999999999"/>
    <s v="Nebraska state line"/>
    <m/>
    <s v="Detour_OOS01"/>
    <s v="South Platte River"/>
  </r>
  <r>
    <s v="076B01"/>
    <x v="146"/>
    <m/>
    <n v="1"/>
    <n v="0"/>
    <s v="start Weld CR 18"/>
    <n v="0.18099999999999999"/>
    <s v="I-76A Keenesburg"/>
    <s v="Spur - no detour possible"/>
    <s v="not created"/>
    <m/>
  </r>
  <r>
    <s v="076B02"/>
    <x v="146"/>
    <m/>
    <n v="2"/>
    <n v="0.18099999999999999"/>
    <s v="I-76A Keenesburg"/>
    <n v="0.47199999999999998"/>
    <s v="end RR Xing NO Woodward Ave"/>
    <s v="Spur - no detour possible"/>
    <s v="not created"/>
    <m/>
  </r>
  <r>
    <s v="078A01"/>
    <x v="147"/>
    <m/>
    <n v="1"/>
    <n v="0"/>
    <s v="SH 165A SO Fairview"/>
    <n v="12.71"/>
    <s v="SH 78B spur to Beulah"/>
    <s v="Portions dirt"/>
    <s v="Detour_Intra02x4"/>
    <m/>
  </r>
  <r>
    <s v="078A02"/>
    <x v="147"/>
    <m/>
    <n v="2"/>
    <n v="12.71"/>
    <s v="SH 78B spur to Beulah"/>
    <n v="33.271999999999998"/>
    <s v="SH 45A Pueblo Blvd"/>
    <m/>
    <s v="Detour_Intra02x4"/>
    <s v="North Saint Charles River"/>
  </r>
  <r>
    <s v="078B01"/>
    <x v="148"/>
    <m/>
    <n v="1"/>
    <n v="0"/>
    <s v="SH 78A Beulah Valley"/>
    <n v="1.4930000000000001"/>
    <s v="ends Pennsylvania Ave Beulah"/>
    <s v="Spur - no detour possible"/>
    <s v="not created"/>
    <s v="Middle Creek; North Saint Charles River"/>
  </r>
  <r>
    <s v="079A01"/>
    <x v="149"/>
    <m/>
    <n v="1"/>
    <n v="0"/>
    <s v="I-70A Bennett exit"/>
    <n v="1.24"/>
    <s v="SH 36C Bennett"/>
    <m/>
    <s v="Detour_Intra02x4"/>
    <m/>
  </r>
  <r>
    <s v="079B01"/>
    <x v="150"/>
    <m/>
    <n v="1"/>
    <n v="1.58"/>
    <s v="SH 36C SH 36B Bennett"/>
    <n v="23.891999999999999"/>
    <s v="SH 52A EO Hudson"/>
    <m/>
    <s v="Detour_Intra02x4"/>
    <s v="Kiowa Creek"/>
  </r>
  <r>
    <s v="082A01"/>
    <x v="151"/>
    <s v="082B"/>
    <n v="1"/>
    <n v="0"/>
    <s v="I-70A Glenwood Spgs exit"/>
    <n v="7.0000000000000007E-2"/>
    <s v="US 6K roundabout"/>
    <m/>
    <s v="Detour_Virt2x1"/>
    <s v="Colorado River; Roaring Fork River"/>
  </r>
  <r>
    <s v="082A02"/>
    <x v="151"/>
    <s v="082B"/>
    <n v="2"/>
    <n v="7.0000000000000007E-2"/>
    <s v="US 6K roundabout"/>
    <n v="11.699"/>
    <s v="SH 133A Carbondale"/>
    <m/>
    <s v="Detour_Virt2x1"/>
    <s v="Colorado River; Roaring Fork River"/>
  </r>
  <r>
    <s v="082A03"/>
    <x v="151"/>
    <s v="082C"/>
    <n v="3"/>
    <n v="11.699"/>
    <s v="SH 133A Carbondale"/>
    <n v="85.293000000000006"/>
    <s v="US 24A Twin Lakes"/>
    <m/>
    <s v="Detour_Virt2x1"/>
    <s v="Roaring Fork River; Lake Creek"/>
  </r>
  <r>
    <s v="083A01"/>
    <x v="152"/>
    <s v="083B"/>
    <n v="1"/>
    <n v="20.367999999999999"/>
    <s v="SH 21B Interquest Pkwy"/>
    <n v="50.756"/>
    <s v="SH 86A Franktown"/>
    <m/>
    <s v="Detour_Virt1x1a"/>
    <s v="Cherry Creek"/>
  </r>
  <r>
    <s v="083A02"/>
    <x v="152"/>
    <s v="083B"/>
    <n v="2"/>
    <n v="50.756"/>
    <s v="SH 86A Franktown"/>
    <n v="62.075000000000003"/>
    <s v="E-470B"/>
    <m/>
    <s v="Detour_Virt1x1a"/>
    <s v="Cherry Creek"/>
  </r>
  <r>
    <s v="083A03"/>
    <x v="152"/>
    <s v="083B"/>
    <n v="3"/>
    <n v="62.075000000000003"/>
    <s v="E-470B"/>
    <n v="65.319999999999993"/>
    <s v="SH 88B Arapahoe Rd"/>
    <m/>
    <s v="Detour_Virt1x1a"/>
    <s v="Cherry Creek"/>
  </r>
  <r>
    <s v="083A04"/>
    <x v="152"/>
    <s v="083B"/>
    <n v="4"/>
    <n v="65.319999999999993"/>
    <s v="SH 88B Arapahoe Rd"/>
    <n v="70.566000000000003"/>
    <s v="I-225A Nine Mile"/>
    <m/>
    <s v="Detour_Virt1x1a"/>
    <s v="Cherry Creek"/>
  </r>
  <r>
    <s v="083A05"/>
    <x v="152"/>
    <s v="083C"/>
    <n v="5"/>
    <n v="70.566000000000003"/>
    <s v="I-225A Nine Mile"/>
    <n v="72.132999999999996"/>
    <s v="SH 30A Havana St"/>
    <m/>
    <s v="Detour_Virt1x2"/>
    <m/>
  </r>
  <r>
    <s v="083A06"/>
    <x v="152"/>
    <s v="083C"/>
    <n v="6"/>
    <n v="72.132999999999996"/>
    <s v="SH 30A Havana St"/>
    <n v="77.266999999999996"/>
    <s v="SH 2A Colorado Blvd"/>
    <m/>
    <s v="Detour_Virt1x2"/>
    <m/>
  </r>
  <r>
    <s v="084A01"/>
    <x v="153"/>
    <m/>
    <n v="1"/>
    <n v="0"/>
    <s v="New Mexico state line"/>
    <n v="27.923999999999999"/>
    <s v="US 160A EO Pagosa Spgs"/>
    <m/>
    <s v="Detour_OOS02"/>
    <s v="Navajo River; Rio Blanco"/>
  </r>
  <r>
    <s v="085A01"/>
    <x v="154"/>
    <s v="085P"/>
    <n v="1"/>
    <n v="127.651"/>
    <s v="I-25A Fountain"/>
    <n v="131.56100000000001"/>
    <s v="SH 16A Mesa Ridge Pkwy"/>
    <s v="Dom by I-25A"/>
    <s v="Detour_Virt3x3"/>
    <s v="Fountain Creek"/>
  </r>
  <r>
    <s v="085A02"/>
    <x v="154"/>
    <s v="085Q"/>
    <n v="2"/>
    <n v="131.56100000000001"/>
    <s v="SH 16A Mesa Ridge Pkwy"/>
    <n v="137.04"/>
    <s v="ends B St &amp;Ventucci Blvd"/>
    <s v="Spur - no detour possible"/>
    <s v="Detour_Virt3x2"/>
    <s v="Fountain Creek"/>
  </r>
  <r>
    <s v="085B01"/>
    <x v="155"/>
    <s v="085O"/>
    <n v="1"/>
    <n v="184.667"/>
    <s v="I-25A SH 86B Castle Rock"/>
    <n v="190.36699999999999"/>
    <s v="SH 67E Sedalia"/>
    <m/>
    <s v="Detour_Virt2x2"/>
    <s v="East Plum Creek"/>
  </r>
  <r>
    <s v="085B02"/>
    <x v="155"/>
    <s v="085M"/>
    <n v="2"/>
    <n v="190.36699999999999"/>
    <s v="SH 67E Sedalia"/>
    <n v="200.38800000000001"/>
    <s v="C-470A"/>
    <m/>
    <s v="Detour_Virt2x1"/>
    <s v="Plum Creek"/>
  </r>
  <r>
    <s v="085B03"/>
    <x v="155"/>
    <s v="085N"/>
    <n v="3"/>
    <n v="200.38800000000001"/>
    <s v="C-470A"/>
    <n v="204.755"/>
    <s v="SH 88A Belleview Ave"/>
    <m/>
    <s v="Detour_Virt2x2"/>
    <s v="South Platte River"/>
  </r>
  <r>
    <s v="085B04"/>
    <x v="155"/>
    <s v="085N"/>
    <n v="4"/>
    <n v="204.755"/>
    <s v="SH 88A Belleview Ave"/>
    <n v="206.78700000000001"/>
    <s v="US 285D Hampden Ave"/>
    <m/>
    <s v="Detour_Virt2x2"/>
    <s v="South Platte River"/>
  </r>
  <r>
    <s v="085B05"/>
    <x v="155"/>
    <s v="085N"/>
    <n v="5"/>
    <n v="206.78700000000001"/>
    <s v="US 285D Hampden Ave"/>
    <n v="210.864"/>
    <s v="I-25A"/>
    <m/>
    <s v="Detour_Virt2x2"/>
    <s v="South Platte River"/>
  </r>
  <r>
    <s v="085C01"/>
    <x v="156"/>
    <m/>
    <n v="1"/>
    <n v="226.797"/>
    <s v="I-76A"/>
    <n v="227.38800000000001"/>
    <s v="SH 44A 104th Ave"/>
    <m/>
    <s v="Detour_Intra01"/>
    <s v="South Platte River"/>
  </r>
  <r>
    <s v="085C02"/>
    <x v="156"/>
    <m/>
    <n v="2"/>
    <n v="227.38800000000001"/>
    <s v="SH 44A 104th Ave"/>
    <n v="230.3"/>
    <s v="SH 22A 124th Ave"/>
    <m/>
    <s v="Detour_Intra01"/>
    <s v="South Platte River"/>
  </r>
  <r>
    <s v="085C03"/>
    <x v="156"/>
    <m/>
    <n v="3"/>
    <n v="230.3"/>
    <s v="SH 22A 124th Ave"/>
    <n v="231.227"/>
    <s v="E-470B"/>
    <m/>
    <s v="Detour_Intra01"/>
    <s v="South Platte River"/>
  </r>
  <r>
    <s v="085C04"/>
    <x v="156"/>
    <m/>
    <n v="4"/>
    <n v="231.227"/>
    <s v="E-470B"/>
    <n v="234.87100000000001"/>
    <s v="SH 7D Bridge St Brighton"/>
    <m/>
    <s v="Detour_Intra01"/>
    <s v="South Platte River"/>
  </r>
  <r>
    <s v="085C05"/>
    <x v="156"/>
    <m/>
    <n v="5"/>
    <n v="234.87100000000001"/>
    <s v="SH 7D Bridge St Brighton"/>
    <n v="241.58500000000001"/>
    <s v="SH 52A Fort Lupton"/>
    <m/>
    <s v="Detour_Intra01"/>
    <s v="South Platte River"/>
  </r>
  <r>
    <s v="085C06"/>
    <x v="156"/>
    <m/>
    <n v="6"/>
    <n v="241.58500000000001"/>
    <s v="SH 52A Fort Lupton"/>
    <n v="242.66"/>
    <s v="US 85E business Fort Lupton"/>
    <m/>
    <s v="Detour_Intra01"/>
    <s v="South Platte River"/>
  </r>
  <r>
    <s v="085C07"/>
    <x v="156"/>
    <m/>
    <n v="7"/>
    <n v="242.66"/>
    <s v="US 85E business Fort Lupton"/>
    <n v="249.22200000000001"/>
    <s v="Weld CR 28 to US 85F SO Platteville"/>
    <m/>
    <s v="Detour_Intra01"/>
    <s v="South Platte River"/>
  </r>
  <r>
    <s v="085C08"/>
    <x v="156"/>
    <m/>
    <n v="8"/>
    <n v="249.22200000000001"/>
    <s v="Weld CR 28 to US 85F SO Platteville"/>
    <n v="250.64599999999999"/>
    <s v="SH 66B Platteville"/>
    <m/>
    <s v="Detour_Intra01"/>
    <s v="South Platte River"/>
  </r>
  <r>
    <s v="085C09"/>
    <x v="156"/>
    <m/>
    <n v="9"/>
    <n v="250.64599999999999"/>
    <s v="SH 66B Platteville"/>
    <n v="251.79499999999999"/>
    <s v="US 85F business Platteville"/>
    <m/>
    <s v="Detour_Intra01"/>
    <m/>
  </r>
  <r>
    <s v="085C10"/>
    <x v="156"/>
    <m/>
    <n v="10"/>
    <n v="251.79499999999999"/>
    <s v="US 85F business Platteville"/>
    <n v="253.809"/>
    <s v="SH 60B (Weld CR 27)"/>
    <m/>
    <s v="Detour_Intra01"/>
    <m/>
  </r>
  <r>
    <s v="085C11"/>
    <x v="156"/>
    <m/>
    <n v="11"/>
    <n v="253.809"/>
    <s v="SH 60B (Weld CR 27)"/>
    <n v="265.38299999999998"/>
    <s v="US 85G business Greeley"/>
    <m/>
    <s v="Detour_Intra01"/>
    <s v="South Platte River"/>
  </r>
  <r>
    <s v="085C12"/>
    <x v="156"/>
    <m/>
    <n v="12"/>
    <n v="265.38299999999998"/>
    <s v="US 85G business Greeley"/>
    <n v="265.76299999999998"/>
    <s v="US 34A Greeley Evans"/>
    <m/>
    <s v="Detour_Intra01"/>
    <m/>
  </r>
  <r>
    <s v="085E01"/>
    <x v="157"/>
    <m/>
    <n v="1"/>
    <n v="0"/>
    <s v="SH 52A Fort Lupton"/>
    <n v="1.5149999999999999"/>
    <s v="US 85C &amp; Weld CR 16"/>
    <m/>
    <s v="Detour_Intra02x4"/>
    <m/>
  </r>
  <r>
    <s v="085F01"/>
    <x v="158"/>
    <s v="085R"/>
    <n v="1"/>
    <n v="0"/>
    <s v="Weld CR 28 to US 85C"/>
    <n v="1.238"/>
    <s v="SH 66B Platteville"/>
    <s v="Dom by US 85C"/>
    <s v="Detour_Virt3x3"/>
    <s v="South Platte River"/>
  </r>
  <r>
    <s v="085F02"/>
    <x v="158"/>
    <s v="085S"/>
    <n v="2"/>
    <n v="1.238"/>
    <s v="SH 66B Platteville"/>
    <n v="2.69"/>
    <s v="US 85C Platteville"/>
    <s v="Dom by US 85C"/>
    <s v="Detour_Virt3x3"/>
    <s v="South Platte River"/>
  </r>
  <r>
    <s v="085G01"/>
    <x v="159"/>
    <m/>
    <n v="1"/>
    <n v="0"/>
    <s v="US 85C "/>
    <n v="0.23"/>
    <s v="US 34A Greeley Evans"/>
    <m/>
    <s v="Detour_Intra02x4"/>
    <m/>
  </r>
  <r>
    <s v="085G02"/>
    <x v="159"/>
    <m/>
    <n v="2"/>
    <n v="0.23"/>
    <s v="US 34A Greeley Evans"/>
    <n v="1.629"/>
    <s v="US 34D 18th St Greeley"/>
    <m/>
    <s v="Detour_Intra02x4"/>
    <m/>
  </r>
  <r>
    <s v="085H01"/>
    <x v="160"/>
    <m/>
    <n v="1"/>
    <n v="0"/>
    <s v="US 34D 10th St Greeley"/>
    <n v="2.2389999999999999"/>
    <s v="US 85L Greeley north side"/>
    <m/>
    <s v="Detour_Intra02x4"/>
    <s v="Cache la Poudre River"/>
  </r>
  <r>
    <s v="085L01"/>
    <x v="161"/>
    <m/>
    <n v="1"/>
    <n v="265.84899999999999"/>
    <s v="US 34A Greeley Evans"/>
    <n v="267.178"/>
    <s v="US 34D 18th St Greeley"/>
    <m/>
    <s v="Detour_OOS01"/>
    <s v="Cache la Poudre River"/>
  </r>
  <r>
    <s v="085L02"/>
    <x v="161"/>
    <m/>
    <n v="2"/>
    <n v="267.178"/>
    <s v="US 34D 18th St Greeley"/>
    <n v="270.25299999999999"/>
    <s v="US 85H business Greeley"/>
    <m/>
    <s v="Detour_OOS01"/>
    <s v="Cache la Poudre River"/>
  </r>
  <r>
    <s v="085L03"/>
    <x v="161"/>
    <m/>
    <n v="3"/>
    <n v="270.25299999999999"/>
    <s v="US 85H business Greeley"/>
    <n v="272.48399999999998"/>
    <s v="SH 392B Lucerne"/>
    <m/>
    <s v="Detour_OOS01"/>
    <m/>
  </r>
  <r>
    <s v="085L04"/>
    <x v="161"/>
    <m/>
    <n v="4"/>
    <n v="272.48399999999998"/>
    <s v="SH 392B Lucerne"/>
    <n v="279.762"/>
    <s v="SH 14C Ault"/>
    <m/>
    <s v="Detour_OOS01"/>
    <m/>
  </r>
  <r>
    <s v="085L05"/>
    <x v="161"/>
    <m/>
    <n v="5"/>
    <n v="279.762"/>
    <s v="SH 14C Ault"/>
    <n v="309.54199999999997"/>
    <s v="Wyoming state line"/>
    <m/>
    <s v="Detour_OOS01"/>
    <m/>
  </r>
  <r>
    <s v="086A01"/>
    <x v="162"/>
    <m/>
    <n v="1"/>
    <n v="1.8540000000000001"/>
    <s v="SH 86B Founders Pkwy"/>
    <n v="6.82"/>
    <s v="SH 83A Franktown"/>
    <m/>
    <s v="Detour_Intra02x4"/>
    <s v="Cherry Creek"/>
  </r>
  <r>
    <s v="086A02"/>
    <x v="162"/>
    <m/>
    <n v="2"/>
    <n v="6.82"/>
    <s v="SH 83A Franktown"/>
    <n v="59.279000000000003"/>
    <s v="I-70A WO Limon"/>
    <m/>
    <s v="Detour_Intra02x4"/>
    <s v="Kiowa Creek"/>
  </r>
  <r>
    <s v="086B01"/>
    <x v="163"/>
    <m/>
    <n v="1"/>
    <n v="100"/>
    <s v="I-25A US 85B Castle Rock"/>
    <n v="104.348"/>
    <s v="SH 86A 5th St Castle Rock"/>
    <m/>
    <s v="Detour_Intra02x4"/>
    <m/>
  </r>
  <r>
    <s v="088A01"/>
    <x v="164"/>
    <s v="088C"/>
    <n v="1"/>
    <n v="0"/>
    <s v="US 40C US 287C Colfax Ave"/>
    <n v="1.0900000000000001"/>
    <s v="US 6G 6th Ave Fwy"/>
    <m/>
    <s v="Detour_Virt3x3"/>
    <s v="Lakewood Gulch; Weir Gulch"/>
  </r>
  <r>
    <s v="088A02"/>
    <x v="164"/>
    <s v="088C"/>
    <n v="2"/>
    <n v="1.0900000000000001"/>
    <s v="US 6G 6th Ave Fwy"/>
    <n v="1.978"/>
    <s v="SH 26B Alameda Ave"/>
    <m/>
    <s v="Detour_Virt3x3"/>
    <m/>
  </r>
  <r>
    <s v="088A03"/>
    <x v="164"/>
    <s v="088D"/>
    <n v="3"/>
    <n v="1.978"/>
    <s v="SH 26B Alameda Ave"/>
    <n v="6.0119999999999996"/>
    <s v="US 285D Hampden Ave"/>
    <s v="OK WB"/>
    <s v="Detour_Virt3x3"/>
    <s v="Sanderson Gulch; Harvard Gulch"/>
  </r>
  <r>
    <s v="088A04"/>
    <x v="164"/>
    <s v="088D"/>
    <n v="4"/>
    <n v="6.0119999999999996"/>
    <s v="US 285D Hampden Ave"/>
    <n v="8.7110000000000003"/>
    <s v="US 85B Santa Fe Dr"/>
    <s v="Dom WB by US 85A US 285D"/>
    <s v="Detour_Virt3x3"/>
    <s v="Bear Creek; South Platte River"/>
  </r>
  <r>
    <s v="088A05"/>
    <x v="164"/>
    <s v="088E"/>
    <n v="5"/>
    <n v="8.7110000000000003"/>
    <s v="US 85B Santa Fe Dr"/>
    <n v="11.56"/>
    <s v="SH 177A University Blvd"/>
    <m/>
    <s v="Detour_Virt3x2"/>
    <s v="Big Dry Creek"/>
  </r>
  <r>
    <s v="088A06"/>
    <x v="164"/>
    <s v="088E"/>
    <n v="6"/>
    <n v="11.56"/>
    <s v="SH 177A University Blvd"/>
    <n v="14.77"/>
    <s v="I-25A Denver Tech Center"/>
    <m/>
    <s v="Detour_Virt3x2"/>
    <m/>
  </r>
  <r>
    <s v="088B01"/>
    <x v="165"/>
    <m/>
    <n v="1"/>
    <n v="16.827000000000002"/>
    <s v="I-25A Arapahoe Rd exit"/>
    <n v="21.734000000000002"/>
    <s v="SH 83A Parker Rd Arapahoe Crossing"/>
    <m/>
    <s v="Detour_Intra02x4"/>
    <s v="Cherry Creek"/>
  </r>
  <r>
    <s v="089A01"/>
    <x v="166"/>
    <m/>
    <n v="1"/>
    <n v="0"/>
    <s v="SH 116A Lycan"/>
    <n v="34.340000000000003"/>
    <s v="US 50B Holly"/>
    <m/>
    <s v="Detour_Intra02x4"/>
    <s v="Arkansas River"/>
  </r>
  <r>
    <s v="090A01"/>
    <x v="167"/>
    <m/>
    <n v="1"/>
    <n v="0"/>
    <s v="Utah state line"/>
    <n v="33.874000000000002"/>
    <s v="SH 141A WO Naturita"/>
    <m/>
    <s v="Detour_OOS02"/>
    <s v="La Sal Creek; Dolores River"/>
  </r>
  <r>
    <s v="090B01"/>
    <x v="168"/>
    <m/>
    <n v="1"/>
    <n v="81.533000000000001"/>
    <s v="starts SWO Shavano Valley Rd"/>
    <n v="89.858000000000004"/>
    <s v="US 550B Montrose"/>
    <s v="Spur - no detour possible"/>
    <s v="not created"/>
    <s v="Uncompahgre River"/>
  </r>
  <r>
    <s v="091A01"/>
    <x v="169"/>
    <m/>
    <n v="1"/>
    <n v="0"/>
    <s v="US 24A NO Leadville"/>
    <n v="22.605"/>
    <s v="I-70A Copper Mtn (Wheeler Jct)"/>
    <m/>
    <s v="Detour_Intra02x4"/>
    <s v="East Fork Arkansas River; Tenmile Creek"/>
  </r>
  <r>
    <s v="092A01"/>
    <x v="170"/>
    <s v="092B"/>
    <n v="1"/>
    <n v="0"/>
    <s v="US 50A Delta"/>
    <n v="3.8140000000000001"/>
    <s v="SH 65A SO Orchard City"/>
    <m/>
    <s v="Detour_Virt3x3"/>
    <s v="Gunnison River"/>
  </r>
  <r>
    <s v="092A02"/>
    <x v="170"/>
    <s v="092B"/>
    <n v="2"/>
    <n v="3.8140000000000001"/>
    <s v="SH 65A SO Orchard City"/>
    <n v="20.722999999999999"/>
    <s v="SH 133A Hotchkiss"/>
    <m/>
    <s v="Detour_Virt3x3"/>
    <s v="Gunnison River; NorthFork Gunnison River"/>
  </r>
  <r>
    <s v="092A03"/>
    <x v="170"/>
    <s v="092C"/>
    <n v="3"/>
    <n v="20.722999999999999"/>
    <s v="SH 133A Hotchkiss"/>
    <n v="73.259"/>
    <s v="US 50A Sapinero (Curecanti NRA)"/>
    <m/>
    <s v="Detour_Virt3x5"/>
    <s v="North Fork Gunnison River; Crystal Creek; Gunnison River"/>
  </r>
  <r>
    <s v="093A01"/>
    <x v="171"/>
    <m/>
    <n v="1"/>
    <n v="0"/>
    <s v="SH 6G SH 58A Golden Clear Creek Cyn"/>
    <n v="7.5730000000000004"/>
    <s v="SH 72A Coal Creek Cyn Rd"/>
    <m/>
    <s v="Detour_Intra01"/>
    <m/>
  </r>
  <r>
    <s v="093A02"/>
    <x v="171"/>
    <m/>
    <n v="2"/>
    <n v="7.5730000000000004"/>
    <s v="SH 72A Coal Creek Cyn Rd"/>
    <n v="11.781000000000001"/>
    <s v="SH 128A"/>
    <m/>
    <s v="Detour_Intra01"/>
    <s v="Coal Creek"/>
  </r>
  <r>
    <s v="093A03"/>
    <x v="171"/>
    <m/>
    <n v="3"/>
    <n v="11.781000000000001"/>
    <s v="SH 128A"/>
    <n v="13.632"/>
    <s v="SH 170A Eldorado Spgs Rd Marshall Rd"/>
    <m/>
    <s v="Detour_Intra01"/>
    <m/>
  </r>
  <r>
    <s v="093A04"/>
    <x v="171"/>
    <m/>
    <n v="4"/>
    <n v="13.632"/>
    <s v="SH 170A Eldorado Spgs Rd Marshall Rd"/>
    <n v="17.422000000000001"/>
    <s v="US 36E Baseline Rd"/>
    <m/>
    <s v="Detour_Intra01"/>
    <s v="South Boulder Creek"/>
  </r>
  <r>
    <s v="093A05"/>
    <x v="171"/>
    <m/>
    <n v="5"/>
    <n v="17.422000000000001"/>
    <s v="US 36E Baseline Rd"/>
    <n v="18.849"/>
    <s v="SH 119A SH 7B Boulder Cyn Dr Canyon Blvd"/>
    <m/>
    <s v="Detour_Intra01"/>
    <s v="Boulder Creek"/>
  </r>
  <r>
    <s v="094A01"/>
    <x v="172"/>
    <m/>
    <n v="1"/>
    <n v="0.54800000000000004"/>
    <s v="US 24G EO Colorado Spgs"/>
    <n v="54.581000000000003"/>
    <s v="SH 71C Punkin Center"/>
    <m/>
    <s v="Detour_Intra02x4"/>
    <s v="Jimmy Camp Creek; Big Springs Creek"/>
  </r>
  <r>
    <s v="094A02"/>
    <x v="172"/>
    <m/>
    <n v="2"/>
    <n v="54.581000000000003"/>
    <s v="SH 71C Punkin Center"/>
    <n v="86.174000000000007"/>
    <s v="US 40H Aroya"/>
    <m/>
    <s v="Detour_Intra02x4"/>
    <m/>
  </r>
  <r>
    <s v="095A01"/>
    <x v="173"/>
    <m/>
    <n v="1"/>
    <n v="0"/>
    <s v="US 285D Hampden Ave"/>
    <n v="3.9750000000000001"/>
    <s v="SH 26B Alameda Ave"/>
    <m/>
    <s v="Detour_Intra02x4"/>
    <s v="Bear Creek"/>
  </r>
  <r>
    <s v="095A02"/>
    <x v="173"/>
    <m/>
    <n v="2"/>
    <n v="3.9750000000000001"/>
    <s v="SH 26B Alameda Ave"/>
    <n v="5.0179999999999998"/>
    <s v="US 6G 6th Ave Fwy"/>
    <m/>
    <s v="Detour_Intra02x4"/>
    <m/>
  </r>
  <r>
    <s v="095A03"/>
    <x v="173"/>
    <m/>
    <n v="3"/>
    <n v="5.0179999999999998"/>
    <s v="US 6G 6th Ave Fwy"/>
    <n v="6.0309999999999997"/>
    <s v="US 40C Colfax Ave"/>
    <m/>
    <s v="Detour_Intra02x4"/>
    <s v="Lakewood Gulch; Dry Gulch"/>
  </r>
  <r>
    <s v="095A04"/>
    <x v="173"/>
    <m/>
    <n v="4"/>
    <n v="6.0309999999999997"/>
    <s v="US 40C Colfax Ave"/>
    <n v="9.0129999999999999"/>
    <s v="I-70A"/>
    <m/>
    <s v="Detour_Intra02x4"/>
    <m/>
  </r>
  <r>
    <s v="095A05"/>
    <x v="173"/>
    <m/>
    <n v="5"/>
    <n v="9.0129999999999999"/>
    <s v="I-70A"/>
    <n v="9.8889999999999993"/>
    <s v="I-76A"/>
    <m/>
    <s v="Detour_Intra02x4"/>
    <m/>
  </r>
  <r>
    <s v="095A06"/>
    <x v="173"/>
    <m/>
    <n v="6"/>
    <n v="9.8889999999999993"/>
    <s v="I-76A"/>
    <n v="14.375999999999999"/>
    <s v="US 36B"/>
    <m/>
    <s v="Detour_Intra02x4"/>
    <s v="Clear Creek"/>
  </r>
  <r>
    <s v="096A01"/>
    <x v="174"/>
    <m/>
    <n v="1"/>
    <n v="0"/>
    <s v="SH 69A Westcliffe"/>
    <n v="16.608000000000001"/>
    <s v="SH 165A"/>
    <m/>
    <s v="Detour_Intra02x4"/>
    <s v="Silver Park Creek"/>
  </r>
  <r>
    <s v="096A02"/>
    <x v="174"/>
    <m/>
    <n v="2"/>
    <n v="16.608000000000001"/>
    <s v="SH 165A"/>
    <n v="26.273"/>
    <s v="SH 67A Wetmore"/>
    <m/>
    <s v="Detour_Intra02x4"/>
    <s v="Hardscrabble Creek"/>
  </r>
  <r>
    <s v="096A03"/>
    <x v="174"/>
    <m/>
    <n v="3"/>
    <n v="26.273"/>
    <s v="SH 67A Wetmore"/>
    <n v="52.784999999999997"/>
    <s v="SH 45A Pueblo Blvd"/>
    <m/>
    <s v="Detour_Intra02x4"/>
    <s v="Hardscrabble Creek; Rush Creek"/>
  </r>
  <r>
    <s v="096A04"/>
    <x v="174"/>
    <m/>
    <n v="4"/>
    <n v="52.784999999999997"/>
    <s v="SH 45A Pueblo Blvd"/>
    <n v="56.091000000000001"/>
    <s v="US 50C Santa Fe Dr Pueblo"/>
    <m/>
    <s v="Detour_Intra02x4"/>
    <s v="Arkansas River"/>
  </r>
  <r>
    <s v="096A05"/>
    <x v="174"/>
    <m/>
    <n v="5"/>
    <n v="56.091000000000001"/>
    <s v="US 50C Santa Fe Dr Pueblo"/>
    <n v="56.189"/>
    <s v="I-25A"/>
    <m/>
    <s v="Detour_Intra02x4"/>
    <m/>
  </r>
  <r>
    <s v="096A06"/>
    <x v="174"/>
    <m/>
    <n v="6"/>
    <n v="56.189"/>
    <s v="I-25A"/>
    <n v="58.811999999999998"/>
    <s v="US 50B SH 47A "/>
    <m/>
    <s v="Detour_Intra02x4"/>
    <s v="Fountain Creek"/>
  </r>
  <r>
    <s v="096B01"/>
    <x v="175"/>
    <m/>
    <n v="1"/>
    <n v="69.498999999999995"/>
    <s v="US 50B WO North Avondale"/>
    <n v="75.495999999999995"/>
    <s v="SH 209A Boone"/>
    <m/>
    <s v="Detour_Intra01"/>
    <s v="Arkansas River"/>
  </r>
  <r>
    <s v="096B02"/>
    <x v="175"/>
    <m/>
    <n v="2"/>
    <n v="75.495999999999995"/>
    <s v="SH 209A Boone"/>
    <n v="90.147999999999996"/>
    <s v="SH 167A NO Fowler"/>
    <m/>
    <s v="Detour_Intra01"/>
    <s v="Arkansas River"/>
  </r>
  <r>
    <s v="096B03"/>
    <x v="175"/>
    <m/>
    <n v="3"/>
    <n v="90.147999999999996"/>
    <s v="SH 167A NO Fowler"/>
    <n v="99.58"/>
    <s v="SH 207A Crowley"/>
    <m/>
    <s v="Detour_Intra01"/>
    <s v="Arkansas River"/>
  </r>
  <r>
    <s v="096B04"/>
    <x v="175"/>
    <m/>
    <n v="4"/>
    <n v="99.58"/>
    <s v="SH 207A Crowley"/>
    <n v="105.83"/>
    <s v="SH 71C Ordway"/>
    <m/>
    <s v="Detour_Intra01"/>
    <s v="Arkansas River"/>
  </r>
  <r>
    <s v="096C01"/>
    <x v="176"/>
    <m/>
    <n v="1"/>
    <n v="106.036"/>
    <s v="SH 71C Ordway"/>
    <n v="166.114"/>
    <s v="US 287B Eads"/>
    <m/>
    <s v="Detour_Intra02x4"/>
    <s v="Adobe Creek"/>
  </r>
  <r>
    <s v="096D01"/>
    <x v="177"/>
    <m/>
    <n v="1"/>
    <n v="168.99199999999999"/>
    <s v="US 287B EO Eads"/>
    <n v="193.05"/>
    <s v="US 385A WO Sheridan Lake"/>
    <m/>
    <s v="Detour_OOS02"/>
    <s v="Big Sandy Creek (Sand Creek)"/>
  </r>
  <r>
    <s v="096D02"/>
    <x v="177"/>
    <m/>
    <n v="2"/>
    <n v="193.05"/>
    <s v="US 385A WO Sheridan Lake"/>
    <n v="193.85"/>
    <s v="US 385B Sheridan Lake"/>
    <m/>
    <s v="Detour_OOS02"/>
    <m/>
  </r>
  <r>
    <s v="096D03"/>
    <x v="177"/>
    <m/>
    <n v="3"/>
    <n v="193.85"/>
    <s v="US 385B Sheridan Lake"/>
    <n v="207.45400000000001"/>
    <s v="Kansas state line"/>
    <m/>
    <s v="Detour_OOS02"/>
    <m/>
  </r>
  <r>
    <s v="097A01"/>
    <x v="178"/>
    <m/>
    <n v="1"/>
    <n v="0"/>
    <s v="SH 141A Naturita"/>
    <n v="4.5839999999999996"/>
    <s v="ends 3rd Ave Nucla"/>
    <s v="Spur - no detour possible"/>
    <s v="not created"/>
    <s v="San Miguel River"/>
  </r>
  <r>
    <s v="100A01"/>
    <x v="179"/>
    <m/>
    <n v="1"/>
    <n v="0"/>
    <s v="US 160C NO Vilas"/>
    <n v="0.41899999999999998"/>
    <s v="ends Main St Vilas"/>
    <s v="Spur - no detour possible"/>
    <s v="not in network"/>
    <m/>
  </r>
  <r>
    <s v="101A01"/>
    <x v="180"/>
    <m/>
    <n v="1"/>
    <n v="0"/>
    <s v="US 50B Las Animas"/>
    <n v="21.413"/>
    <s v="ends Bent CR K Toonerville"/>
    <s v="Spur - no detour possible"/>
    <s v="not created"/>
    <s v="Purgatoire River"/>
  </r>
  <r>
    <s v="103A01"/>
    <x v="181"/>
    <m/>
    <n v="1"/>
    <n v="8.2000000000000003E-2"/>
    <s v="start Idaho St Idaho Spgs"/>
    <n v="0.11899999999999999"/>
    <s v="I-70A"/>
    <s v="Spur - no detour possible"/>
    <s v="not created"/>
    <m/>
  </r>
  <r>
    <s v="103A02"/>
    <x v="181"/>
    <m/>
    <n v="2"/>
    <n v="0.11899999999999999"/>
    <s v="I-70A"/>
    <n v="13.265000000000001"/>
    <s v="SH 5A to Mount Evans Summit"/>
    <s v="Spur - no detour possible"/>
    <s v="not created"/>
    <s v="Clear Creek; Chicago Creek"/>
  </r>
  <r>
    <s v="103A03"/>
    <x v="181"/>
    <m/>
    <n v="3"/>
    <n v="13.265000000000001"/>
    <s v="SH 5A to Mount Evans Summit"/>
    <n v="22.488"/>
    <s v="WO Little Bear Creek Rd"/>
    <s v="Spur - no detour possible"/>
    <s v="not created"/>
    <m/>
  </r>
  <r>
    <s v="105A01"/>
    <x v="182"/>
    <m/>
    <n v="1"/>
    <n v="4.7309999999999999"/>
    <s v="start Jackson Creek Pkwy"/>
    <n v="5.2110000000000003"/>
    <s v="I-25A Monument"/>
    <s v="Spur - no detour possible"/>
    <s v="not created"/>
    <m/>
  </r>
  <r>
    <s v="105A02"/>
    <x v="182"/>
    <m/>
    <n v="2"/>
    <n v="5.2110000000000003"/>
    <s v="I-25A Monument"/>
    <n v="9.48"/>
    <s v="end Douglas/El Paso county line"/>
    <s v="Spur - no detour possible"/>
    <s v="not created"/>
    <s v="Monument Creek"/>
  </r>
  <r>
    <s v="105B01"/>
    <x v="183"/>
    <m/>
    <n v="1"/>
    <n v="28.16"/>
    <s v="start Wolfensberger Rd"/>
    <n v="32.628"/>
    <s v="SH 67E SO Sedalia"/>
    <s v="Spur - no detour possible"/>
    <s v="not created"/>
    <s v="West Plum Creek"/>
  </r>
  <r>
    <s v="109A01"/>
    <x v="184"/>
    <m/>
    <n v="1"/>
    <n v="0"/>
    <s v="US 160C NO Kim"/>
    <n v="56.01"/>
    <s v="SH 109B to US 50B La Junta"/>
    <m/>
    <s v="Detour_Intra02x4"/>
    <s v="Purgatoire River"/>
  </r>
  <r>
    <s v="109A02"/>
    <x v="184"/>
    <m/>
    <n v="2"/>
    <n v="56.01"/>
    <s v="SH 109B to US 50B La Junta"/>
    <n v="56.95"/>
    <s v="SH 194A North La Junta"/>
    <m/>
    <s v="Detour_Intra02x4"/>
    <s v="Arkansas River"/>
  </r>
  <r>
    <s v="109A03"/>
    <x v="184"/>
    <m/>
    <n v="3"/>
    <n v="56.95"/>
    <s v="SH 194A North La Junta"/>
    <n v="63.255000000000003"/>
    <s v="SH 266A"/>
    <m/>
    <s v="Detour_Intra02x4"/>
    <m/>
  </r>
  <r>
    <s v="109A04"/>
    <x v="184"/>
    <m/>
    <n v="4"/>
    <n v="63.255000000000003"/>
    <s v="SH 266A"/>
    <n v="65.326999999999998"/>
    <s v="end Cheraw"/>
    <s v="Spur - no detour possible"/>
    <s v="Detour_Intra02x4"/>
    <s v="Cheraw Lake"/>
  </r>
  <r>
    <s v="109B01"/>
    <x v="185"/>
    <m/>
    <n v="1"/>
    <n v="0"/>
    <s v="US 50B La Junta"/>
    <n v="0.184"/>
    <s v="SH 109A La Junta"/>
    <m/>
    <s v="Detour_Intra02x4"/>
    <m/>
  </r>
  <r>
    <s v="110A01"/>
    <x v="186"/>
    <m/>
    <n v="1"/>
    <n v="0"/>
    <s v="US 550B Silverton"/>
    <n v="0.14000000000000001"/>
    <s v="end 6th St Silverton (CDOT maint)"/>
    <s v="Spur - no detour possible"/>
    <s v="not in network"/>
    <m/>
  </r>
  <r>
    <s v="112A01"/>
    <x v="187"/>
    <m/>
    <n v="1"/>
    <n v="0"/>
    <s v="US 160A Del Norte"/>
    <n v="13.138"/>
    <s v="US 285B WO Center"/>
    <m/>
    <s v="Detour_Intra02x4"/>
    <s v="Rio Grande"/>
  </r>
  <r>
    <s v="112A01"/>
    <x v="187"/>
    <m/>
    <n v="1"/>
    <n v="13.138"/>
    <s v="US 285B WO Center"/>
    <n v="27.802"/>
    <s v="SH 17B Hooper"/>
    <m/>
    <s v="Detour_Intra02x4"/>
    <m/>
  </r>
  <r>
    <s v="113A01"/>
    <x v="188"/>
    <m/>
    <n v="1"/>
    <n v="0"/>
    <s v="US 138A SWO Iliff"/>
    <n v="18.829999999999998"/>
    <s v="Nebraska state line"/>
    <m/>
    <s v="Detour_OOS02"/>
    <m/>
  </r>
  <r>
    <s v="114A01"/>
    <x v="189"/>
    <m/>
    <n v="1"/>
    <n v="0"/>
    <s v="US 50A WO Parlin"/>
    <n v="61.697000000000003"/>
    <s v="US 285B Saguache"/>
    <s v="Dom by US 50A US 285B"/>
    <s v="Detour_Intra02x4"/>
    <s v="Cochetopa Creek; Saguache Creek"/>
  </r>
  <r>
    <s v="115A01"/>
    <x v="190"/>
    <s v="115B"/>
    <n v="1"/>
    <n v="0"/>
    <s v="US 50A Canon City"/>
    <n v="8.6940000000000008"/>
    <s v="SH 67B Florence"/>
    <s v="Dom by US 50A"/>
    <s v="Detour_Virt2x1"/>
    <s v="Arkansas River"/>
  </r>
  <r>
    <s v="115A02"/>
    <x v="190"/>
    <s v="115B"/>
    <n v="2"/>
    <n v="8.6940000000000008"/>
    <s v="SH 67B Florence"/>
    <n v="8.9849999999999994"/>
    <s v="SH 67A Florence"/>
    <s v="Dom by US 50A"/>
    <s v="Detour_Virt2x1"/>
    <s v="Arkansas River"/>
  </r>
  <r>
    <s v="115A03"/>
    <x v="190"/>
    <s v="115C"/>
    <n v="3"/>
    <n v="8.9849999999999994"/>
    <s v="SH 67A Florence"/>
    <n v="11.045999999999999"/>
    <s v="SH 120A"/>
    <m/>
    <s v="Detour_Virt2x1"/>
    <s v="Arkansas River"/>
  </r>
  <r>
    <s v="115A04"/>
    <x v="190"/>
    <s v="115C"/>
    <n v="4"/>
    <n v="11.045999999999999"/>
    <s v="SH 120A"/>
    <n v="13.96"/>
    <s v="US 50A Penrose"/>
    <m/>
    <s v="Detour_Virt2x1"/>
    <s v="Arkansas River"/>
  </r>
  <r>
    <s v="115A05"/>
    <x v="190"/>
    <s v="115C"/>
    <n v="5"/>
    <n v="13.96"/>
    <s v="US 50A Penrose"/>
    <n v="47.496000000000002"/>
    <s v="I-25A Colorado Spgs"/>
    <m/>
    <s v="Detour_Virt2x1"/>
    <s v="Turkey Creek"/>
  </r>
  <r>
    <s v="116A01"/>
    <x v="191"/>
    <m/>
    <n v="1"/>
    <n v="0"/>
    <s v="US 287A WO Two Buttes"/>
    <n v="27"/>
    <s v="SH 89A Lycan"/>
    <m/>
    <s v="Detour_Intra02x4"/>
    <m/>
  </r>
  <r>
    <s v="116A02"/>
    <x v="191"/>
    <m/>
    <n v="2"/>
    <n v="27"/>
    <s v="SH 89A Lycan"/>
    <n v="32.322000000000003"/>
    <s v="Kansas state line"/>
    <s v="Spur - no detour possible"/>
    <s v="Detour_Intra02x4"/>
    <m/>
  </r>
  <r>
    <s v="119A01"/>
    <x v="192"/>
    <m/>
    <n v="1"/>
    <n v="0"/>
    <s v="US 6G Clear Creek Cyn"/>
    <n v="12.492000000000001"/>
    <s v="SH 46A Golden Gate Cyn"/>
    <m/>
    <s v="Detour_Intra02x4"/>
    <s v="North Clear Creek; Missouri Creek"/>
  </r>
  <r>
    <s v="119A02"/>
    <x v="192"/>
    <m/>
    <n v="2"/>
    <n v="12.492000000000001"/>
    <s v="SH 46A Golden Gate Cyn"/>
    <n v="22.748000000000001"/>
    <s v="SH 72A NO Rollinsville"/>
    <m/>
    <s v="Detour_Intra02x4"/>
    <s v="Ralston Creek; South Boulder Creek"/>
  </r>
  <r>
    <s v="119A03"/>
    <x v="192"/>
    <m/>
    <n v="3"/>
    <n v="22.748000000000001"/>
    <s v="SH 72A NO Rollinsville"/>
    <n v="25.754000000000001"/>
    <s v="SH 72B Nederland"/>
    <m/>
    <s v="Detour_Intra02x4"/>
    <s v="Middle Boulder Creek"/>
  </r>
  <r>
    <s v="119A04"/>
    <x v="192"/>
    <m/>
    <n v="4"/>
    <n v="25.754000000000001"/>
    <s v="SH 72B Nederland"/>
    <n v="41.892000000000003"/>
    <s v="SH 7B SH 93A downtown Boulder"/>
    <m/>
    <s v="Detour_Intra02x4"/>
    <s v="Boulder Creek"/>
  </r>
  <r>
    <s v="119B01"/>
    <x v="193"/>
    <m/>
    <n v="1"/>
    <n v="44.237000000000002"/>
    <s v="US 36B 28th St Boulder"/>
    <n v="44.984000000000002"/>
    <s v="SH 157A Foothills Pkwy"/>
    <m/>
    <s v="Detour_Intra02x4"/>
    <m/>
  </r>
  <r>
    <s v="119B02"/>
    <x v="193"/>
    <m/>
    <n v="2"/>
    <n v="44.984000000000002"/>
    <s v="SH 157A Foothills Pkwy"/>
    <n v="49.533999999999999"/>
    <s v="SH 52A Mineral Rd"/>
    <m/>
    <s v="Detour_Intra02x4"/>
    <s v="Dry Creek"/>
  </r>
  <r>
    <s v="119B03"/>
    <x v="193"/>
    <m/>
    <n v="3"/>
    <n v="49.533999999999999"/>
    <s v="SH 52A Mineral Rd"/>
    <n v="56.201999999999998"/>
    <s v="US 287C Main St Longmont"/>
    <m/>
    <s v="Detour_Intra02x4"/>
    <s v="Left Hand Creek"/>
  </r>
  <r>
    <s v="119B04"/>
    <x v="193"/>
    <m/>
    <n v="4"/>
    <n v="56.201999999999998"/>
    <s v="US 287C Main St Longmont"/>
    <n v="59.088999999999999"/>
    <s v="becomes SH 119C"/>
    <m/>
    <s v="Detour_Intra02x4"/>
    <s v="Left Hand Creek; Saint Vrain Creek"/>
  </r>
  <r>
    <s v="119C01"/>
    <x v="194"/>
    <m/>
    <n v="1"/>
    <n v="59.088999999999999"/>
    <s v="continues from SH 119B"/>
    <n v="63.7"/>
    <s v="I-25A Firestone"/>
    <m/>
    <s v="Detour_Intra01"/>
    <s v="Saint Vrain Creek"/>
  </r>
  <r>
    <s v="120A01"/>
    <x v="195"/>
    <m/>
    <n v="1"/>
    <n v="0"/>
    <s v="SH 115A EO Florence"/>
    <n v="7.1859999999999999"/>
    <s v="US 50A &amp; R St Penrose"/>
    <s v="Dom by SH 115A US 50A"/>
    <s v="Detour_Intra02x4"/>
    <s v="Arkansas River; Hardscrabble Creek"/>
  </r>
  <r>
    <s v="121A01"/>
    <x v="196"/>
    <s v="121C"/>
    <n v="1"/>
    <n v="0"/>
    <s v="C-470A"/>
    <n v="7.4930000000000003"/>
    <s v="US 285D Hampden Ave"/>
    <m/>
    <s v="Detour_Virt3x5"/>
    <m/>
  </r>
  <r>
    <s v="121A02"/>
    <x v="196"/>
    <s v="121C"/>
    <n v="2"/>
    <n v="7.4930000000000003"/>
    <s v="US 285D Hampden Ave"/>
    <n v="9.0619999999999994"/>
    <s v="SH 8A Morrison Rd"/>
    <m/>
    <s v="Detour_Virt3x5"/>
    <s v="Bear Creek"/>
  </r>
  <r>
    <s v="121A03"/>
    <x v="196"/>
    <s v="121D"/>
    <n v="3"/>
    <n v="9.0619999999999994"/>
    <s v="SH 8A Morrison Rd"/>
    <n v="12.444000000000001"/>
    <s v="US 6G 6th Ave Fwy"/>
    <m/>
    <s v="Detour_Virt3x5"/>
    <s v="Weir Gulch"/>
  </r>
  <r>
    <s v="121A04"/>
    <x v="196"/>
    <s v="121D"/>
    <n v="4"/>
    <n v="12.444000000000001"/>
    <s v="US 6G 6th Ave Fwy"/>
    <n v="13.596"/>
    <s v="US 40C Colfax Ave"/>
    <m/>
    <s v="Detour_Virt3x5"/>
    <s v="Lakewood Gulch"/>
  </r>
  <r>
    <s v="121A05"/>
    <x v="196"/>
    <s v="121D"/>
    <n v="5"/>
    <n v="13.596"/>
    <s v="US 40C Colfax Ave"/>
    <n v="16.79"/>
    <s v="I-70A"/>
    <m/>
    <s v="Detour_Virt3x5"/>
    <s v="Clear Creek"/>
  </r>
  <r>
    <s v="121A06"/>
    <x v="196"/>
    <s v="121D"/>
    <n v="6"/>
    <n v="16.79"/>
    <s v="I-70A"/>
    <n v="25.683"/>
    <s v="SH 128A 120th Ave"/>
    <m/>
    <s v="Detour_Virt3x5"/>
    <s v="Ralston Creek; Big Dry Creek"/>
  </r>
  <r>
    <s v="121A07"/>
    <x v="196"/>
    <s v="121D"/>
    <n v="7"/>
    <n v="25.683"/>
    <s v="SH 128A 120th Ave"/>
    <n v="26.02"/>
    <s v="US 36B Boulder Turnpike"/>
    <m/>
    <s v="Detour_Virt3x5"/>
    <m/>
  </r>
  <r>
    <s v="121A08"/>
    <x v="196"/>
    <s v="121D"/>
    <n v="8"/>
    <n v="26.02"/>
    <s v="US 36B Boulder Turnpike"/>
    <n v="26.452000000000002"/>
    <s v="US 287C"/>
    <m/>
    <s v="Detour_Virt3x5"/>
    <m/>
  </r>
  <r>
    <s v="121B01"/>
    <x v="197"/>
    <m/>
    <n v="1"/>
    <n v="0"/>
    <s v="start Glenn L Martin Blvd"/>
    <n v="4.4130000000000003"/>
    <s v="C-470A"/>
    <s v="Spur - no detour possible"/>
    <s v="not created"/>
    <s v="South Platte River"/>
  </r>
  <r>
    <s v="125A01"/>
    <x v="198"/>
    <m/>
    <n v="1"/>
    <n v="0"/>
    <s v="US 40A WO Granby"/>
    <n v="52.02"/>
    <s v="SH 14A SWO Walden"/>
    <m/>
    <s v="Detour_OOS02"/>
    <s v="Willow Creek (Grand County); Pass Creek; Willow Creek (Jackson County)"/>
  </r>
  <r>
    <s v="125A02"/>
    <x v="198"/>
    <m/>
    <n v="2"/>
    <n v="52.02"/>
    <s v="SH 14A SWO Walden"/>
    <n v="53.287999999999997"/>
    <s v="SH 14B Walden"/>
    <m/>
    <s v="Detour_OOS02"/>
    <s v="Illinois River"/>
  </r>
  <r>
    <s v="125A03"/>
    <x v="198"/>
    <m/>
    <n v="3"/>
    <n v="53.287999999999997"/>
    <s v="SH 14B Walden"/>
    <n v="66.558000000000007"/>
    <s v="SH 127A NO Cowdry"/>
    <m/>
    <s v="Detour_OOS02"/>
    <s v="Michigan River; Canadian River"/>
  </r>
  <r>
    <s v="125A04"/>
    <x v="198"/>
    <m/>
    <n v="4"/>
    <n v="66.558000000000007"/>
    <s v="SH 127A NO Cowdry"/>
    <n v="75.406000000000006"/>
    <s v="Wyoming state line"/>
    <m/>
    <s v="Detour_OOS02"/>
    <s v="North Platte River"/>
  </r>
  <r>
    <s v="127A01"/>
    <x v="199"/>
    <m/>
    <n v="1"/>
    <n v="0"/>
    <s v="SH 125A NO Cowdry"/>
    <n v="9.202"/>
    <s v="Wyoming state line"/>
    <m/>
    <s v="Detour_OOS02"/>
    <s v="Pinkham Creek; Camp Creek"/>
  </r>
  <r>
    <s v="128A01"/>
    <x v="200"/>
    <m/>
    <n v="1"/>
    <n v="0"/>
    <s v="SH 93A"/>
    <n v="7.9729999999999999"/>
    <s v="SH 121A Wadsworth Pkwy"/>
    <m/>
    <s v="Detour_Intra02x5"/>
    <s v="Coal Creek"/>
  </r>
  <r>
    <s v="128A02"/>
    <x v="200"/>
    <m/>
    <n v="2"/>
    <n v="7.9729999999999999"/>
    <s v="SH 121A Wadsworth Pkwy"/>
    <n v="8.6890000000000001"/>
    <s v="Old Wadsworth Blvd (2015)"/>
    <s v="Spur - no detour possible"/>
    <s v="Detour_Intra02x5"/>
    <m/>
  </r>
  <r>
    <s v="128B01"/>
    <x v="201"/>
    <m/>
    <n v="1"/>
    <n v="12.167999999999999"/>
    <s v="US 287C Federal Blvd"/>
    <n v="14.113"/>
    <s v="I-25A"/>
    <m/>
    <s v="Detour_Intra02x5"/>
    <m/>
  </r>
  <r>
    <s v="131A01"/>
    <x v="202"/>
    <m/>
    <n v="1"/>
    <n v="0"/>
    <s v="I-70A Wolcott exit"/>
    <n v="0.32300000000000001"/>
    <s v="US 6E EO Wolcott"/>
    <m/>
    <s v="Detour_Intra02x5"/>
    <m/>
  </r>
  <r>
    <s v="131B01"/>
    <x v="203"/>
    <m/>
    <n v="1"/>
    <n v="5.2999999999999999E-2"/>
    <s v="US 6E Wolcott"/>
    <n v="32.904000000000003"/>
    <s v="SH 134A Toponas"/>
    <m/>
    <s v="Detour_Intra02x5"/>
    <s v="Eagle River; Colorado River"/>
  </r>
  <r>
    <s v="131B02"/>
    <x v="203"/>
    <m/>
    <n v="2"/>
    <n v="32.904000000000003"/>
    <s v="SH 134A Toponas"/>
    <n v="68.721000000000004"/>
    <s v="US 40A SO Steamboat Spgs"/>
    <m/>
    <s v="Detour_Intra02x5"/>
    <s v="Bear River; Yampa River"/>
  </r>
  <r>
    <s v="133A01"/>
    <x v="204"/>
    <m/>
    <n v="1"/>
    <n v="0"/>
    <s v="SH 92A Hotchkiss"/>
    <n v="12.17"/>
    <s v="SH 133B WO Bowie"/>
    <m/>
    <s v="Detour_Intra01"/>
    <s v="North Fork Gunnison River"/>
  </r>
  <r>
    <s v="133A02"/>
    <x v="204"/>
    <m/>
    <n v="2"/>
    <n v="12.17"/>
    <s v="SH 133B WO Bowie"/>
    <n v="16.158000000000001"/>
    <s v="SH 133B EO Bowie"/>
    <m/>
    <s v="Detour_Intra01"/>
    <s v="North Fork Gunnison River"/>
  </r>
  <r>
    <s v="133A03"/>
    <x v="204"/>
    <m/>
    <n v="3"/>
    <n v="16.158000000000001"/>
    <s v="SH 133B EO Bowie"/>
    <n v="68.820999999999998"/>
    <s v="SH 82A Carbondale"/>
    <m/>
    <s v="Detour_Intra01"/>
    <s v="North Fork Gunnison River; Crystal River"/>
  </r>
  <r>
    <s v="133B01"/>
    <x v="205"/>
    <m/>
    <n v="1"/>
    <n v="12.159000000000001"/>
    <s v="SH 133A WO Bowie"/>
    <n v="16.067"/>
    <s v="SH 133A EO Bowie"/>
    <s v="Dom by SH 113A"/>
    <s v="Detour_Intra02x5"/>
    <s v="North Fork Gunnison River"/>
  </r>
  <r>
    <s v="134A01"/>
    <x v="206"/>
    <m/>
    <n v="1"/>
    <n v="0"/>
    <s v="SH 131A Toponas"/>
    <n v="27.163"/>
    <s v="US 40A NO Kremmling"/>
    <m/>
    <s v="Detour_Intra02x5"/>
    <s v="Toponas Creek; Pass Creek"/>
  </r>
  <r>
    <s v="135A01"/>
    <x v="207"/>
    <m/>
    <n v="1"/>
    <n v="0"/>
    <s v="US 50A Gunnison"/>
    <n v="27.484000000000002"/>
    <s v="end Elk Ave Crested Butte"/>
    <s v="Spur - no detour possible"/>
    <s v="not created"/>
    <s v="East River; Gunnison River"/>
  </r>
  <r>
    <s v="136A01"/>
    <x v="208"/>
    <m/>
    <n v="1"/>
    <n v="0"/>
    <s v="US 285A La Jara"/>
    <n v="4.4690000000000003"/>
    <s v="end Ivy St Sanford"/>
    <s v="Spur - no detour possible"/>
    <s v="not created"/>
    <m/>
  </r>
  <r>
    <s v="138A01"/>
    <x v="209"/>
    <s v="138B"/>
    <n v="1"/>
    <n v="0"/>
    <s v="US 6J Chestnut St Sterling"/>
    <n v="0.54600000000000004"/>
    <s v="US 138Z Broadway St Sterling"/>
    <m/>
    <s v="Detour_Virt3x5"/>
    <m/>
  </r>
  <r>
    <s v="138A02"/>
    <x v="209"/>
    <s v="138B"/>
    <n v="2"/>
    <n v="0.54600000000000004"/>
    <s v="US 138Z Broadway St Sterling"/>
    <n v="8.9700000000000006"/>
    <s v="SH 113A SWO Iliff"/>
    <m/>
    <s v="Detour_Virt3x5"/>
    <s v="South Platte River"/>
  </r>
  <r>
    <s v="138A03"/>
    <x v="209"/>
    <s v="138C"/>
    <n v="3"/>
    <n v="8.9700000000000006"/>
    <s v="SH 113A SWO Iliff"/>
    <n v="27.503"/>
    <s v="SH 55A Crook"/>
    <m/>
    <s v="Detour_Virt3x5"/>
    <s v="South Platte River"/>
  </r>
  <r>
    <s v="138A04"/>
    <x v="209"/>
    <s v="138D"/>
    <n v="4"/>
    <n v="27.503"/>
    <s v="SH 55A Crook"/>
    <n v="43.412999999999997"/>
    <s v="SH 59B Sedgwick"/>
    <s v="Dom by I-76A"/>
    <s v="Detour_Virt3x5"/>
    <s v="South Platte River"/>
  </r>
  <r>
    <s v="138A05"/>
    <x v="209"/>
    <s v="138E"/>
    <n v="5"/>
    <n v="43.412999999999997"/>
    <s v="SH 59B Sedgwick"/>
    <n v="54.81"/>
    <s v="US 385E WO Julesburg"/>
    <m/>
    <s v="Detour_Virt3x5"/>
    <s v="South Platte River"/>
  </r>
  <r>
    <s v="138A06"/>
    <x v="209"/>
    <s v="138F"/>
    <n v="6"/>
    <n v="54.81"/>
    <s v="US 385E WO Julesburg"/>
    <n v="56.956000000000003"/>
    <s v="SH 11A Julesburg"/>
    <m/>
    <s v="Detour_Virt3x5"/>
    <m/>
  </r>
  <r>
    <s v="138A07"/>
    <x v="209"/>
    <s v="138F"/>
    <n v="7"/>
    <n v="56.956000000000003"/>
    <s v="SH 11A Julesburg"/>
    <n v="58.533999999999999"/>
    <s v="US 385D Julesburg"/>
    <m/>
    <s v="Detour_Virt3x5"/>
    <m/>
  </r>
  <r>
    <s v="138A08"/>
    <x v="209"/>
    <s v="138F"/>
    <n v="8"/>
    <n v="58.533999999999999"/>
    <s v="US 385D Julesburg"/>
    <n v="59.823"/>
    <s v="Nebraska state line"/>
    <m/>
    <s v="Detour_Virt3x5"/>
    <s v="South Platte River"/>
  </r>
  <r>
    <s v="138Z01"/>
    <x v="210"/>
    <m/>
    <n v="1"/>
    <n v="0"/>
    <s v="US 138A 3rd St Sterling"/>
    <n v="0.61399999999999999"/>
    <s v="US 6Z Chestnut St &amp; 4th St Sterling"/>
    <m/>
    <s v="Detour_Virt3x5"/>
    <m/>
  </r>
  <r>
    <s v="139A01"/>
    <x v="211"/>
    <m/>
    <n v="1"/>
    <n v="0"/>
    <s v="I-70A Loma exit"/>
    <n v="1.2849999999999999"/>
    <s v="US 6A Loma"/>
    <m/>
    <s v="Detour_Intra02x5"/>
    <m/>
  </r>
  <r>
    <s v="139A02"/>
    <x v="211"/>
    <m/>
    <n v="2"/>
    <n v="1.2849999999999999"/>
    <s v="US 6A Loma"/>
    <n v="72.064999999999998"/>
    <s v="SH 64A Rangely"/>
    <m/>
    <s v="Detour_Intra02x5"/>
    <s v="Douglas Creek"/>
  </r>
  <r>
    <s v="140A01"/>
    <x v="212"/>
    <m/>
    <n v="1"/>
    <n v="0"/>
    <s v="New Mexico state line"/>
    <n v="23.434999999999999"/>
    <s v="US 160A Hesperus"/>
    <m/>
    <s v="Detour_OOS02"/>
    <s v="La Plata River"/>
  </r>
  <r>
    <s v="141A01"/>
    <x v="213"/>
    <s v="141C"/>
    <n v="1"/>
    <n v="0"/>
    <s v="US 491B Dove Creek"/>
    <n v="56.704999999999998"/>
    <s v="SH 145A EO Naturita"/>
    <m/>
    <s v="Detour_Virt3x5"/>
    <s v="Dolores River; Naturita Creek"/>
  </r>
  <r>
    <s v="141A02"/>
    <x v="213"/>
    <s v="141C"/>
    <n v="2"/>
    <n v="56.704999999999998"/>
    <s v="SH 145A EO Naturita"/>
    <n v="60.451999999999998"/>
    <s v="SH 97A Naturita"/>
    <m/>
    <s v="Detour_Virt3x5"/>
    <s v="Naturita Creek; San Miguel Rier"/>
  </r>
  <r>
    <s v="141A03"/>
    <x v="213"/>
    <s v="141C"/>
    <n v="3"/>
    <n v="60.451999999999998"/>
    <s v="SH 97A Naturita"/>
    <n v="62.436"/>
    <s v="SH 90A WO Naturita"/>
    <m/>
    <s v="Detour_Virt3x5"/>
    <s v="San Miguel River"/>
  </r>
  <r>
    <s v="141A04"/>
    <x v="213"/>
    <s v="141D"/>
    <n v="4"/>
    <n v="62.436"/>
    <s v="SH 90A WO Naturita"/>
    <n v="154.10900000000001"/>
    <s v="US 50A SEO Orchard Mesa"/>
    <m/>
    <s v="Detour_Virt3x5"/>
    <s v="San Miguel River; Dolores River; Gunnison River"/>
  </r>
  <r>
    <s v="141B01"/>
    <x v="214"/>
    <m/>
    <n v="1"/>
    <n v="156.74600000000001"/>
    <s v="US 50A SEO Orchard Mesa"/>
    <n v="162.297"/>
    <s v="I-70B Clifton"/>
    <m/>
    <s v="Detour_Intra02x5"/>
    <s v="Colorado River"/>
  </r>
  <r>
    <s v="142A01"/>
    <x v="215"/>
    <m/>
    <n v="1"/>
    <n v="0"/>
    <s v="US 285A Romeo"/>
    <n v="33.840000000000003"/>
    <s v="SH 159A San Luis"/>
    <m/>
    <s v="Detour_Intra02x5"/>
    <s v="Rio Grande"/>
  </r>
  <r>
    <s v="144A01"/>
    <x v="216"/>
    <s v="144B"/>
    <n v="1"/>
    <n v="0"/>
    <s v="I-76A North Frontage Rd WO Wiggins"/>
    <n v="2.8210000000000002"/>
    <s v="US 34A NWO Wiggins"/>
    <m/>
    <s v="Detour_Virt3x5"/>
    <m/>
  </r>
  <r>
    <s v="144A02"/>
    <x v="216"/>
    <s v="144B"/>
    <n v="2"/>
    <n v="2.8210000000000002"/>
    <s v="US 34A NWO Wiggins"/>
    <n v="10.493"/>
    <s v="SH 39A NEO Orchard"/>
    <m/>
    <s v="Detour_Virt3x5"/>
    <s v="South Platte River"/>
  </r>
  <r>
    <s v="144A03"/>
    <x v="216"/>
    <s v="144C"/>
    <n v="3"/>
    <n v="10.493"/>
    <s v="SH 39A NEO Orchard"/>
    <n v="27.41"/>
    <s v="I-76A Log Lane Village"/>
    <s v="Dom by SH 39A &amp; I-76A"/>
    <s v="Detour_Virt3x5"/>
    <s v="South Platte River"/>
  </r>
  <r>
    <s v="144A04"/>
    <x v="216"/>
    <s v="144D"/>
    <n v="4"/>
    <n v="27.41"/>
    <s v="I-76A Log Lane Village"/>
    <n v="28.795999999999999"/>
    <s v="SH 52B Fort Morgan"/>
    <s v="Dom by I-76A"/>
    <s v="Detour_Virt3x2"/>
    <s v="South Platte River"/>
  </r>
  <r>
    <s v="145A01"/>
    <x v="217"/>
    <s v="145B"/>
    <n v="1"/>
    <n v="0"/>
    <s v="US 160A Cortez"/>
    <n v="7.8639999999999999"/>
    <s v="SH 184A WO Dolores"/>
    <m/>
    <s v="Detour_Virt2x1"/>
    <m/>
  </r>
  <r>
    <s v="145A02"/>
    <x v="217"/>
    <s v="145B"/>
    <n v="2"/>
    <n v="7.8639999999999999"/>
    <s v="SH 184A WO Dolores"/>
    <n v="8.7289999999999992"/>
    <s v="SH 184B WO Dolores"/>
    <m/>
    <s v="Detour_Virt2x1"/>
    <s v="McPhee Reservoir"/>
  </r>
  <r>
    <s v="145A03"/>
    <x v="217"/>
    <s v="145B"/>
    <n v="3"/>
    <n v="8.7289999999999992"/>
    <s v="SH 184B WO Dolores"/>
    <n v="84.289000000000001"/>
    <s v="SH 62A Placerville"/>
    <m/>
    <s v="Detour_Virt2x1"/>
    <s v="Dolores River; San Miguel River"/>
  </r>
  <r>
    <s v="145A04"/>
    <x v="217"/>
    <s v="145C"/>
    <n v="4"/>
    <n v="84.289000000000001"/>
    <s v="SH 62A Placerville"/>
    <n v="116.879"/>
    <s v="SH 141A EO Naturita"/>
    <m/>
    <s v="Detour_Virt2x1"/>
    <s v="San Miguel River"/>
  </r>
  <r>
    <s v="149A01"/>
    <x v="218"/>
    <m/>
    <n v="1"/>
    <n v="0"/>
    <s v="US 160A South Fork"/>
    <n v="117.52200000000001"/>
    <s v="US 50A SWO Gunnison"/>
    <m/>
    <s v="Detour_Intra02x5"/>
    <s v="Rio Grande; Lake Fork Gunnison River; Cebolla Creek; Gunnison River"/>
  </r>
  <r>
    <s v="150A01"/>
    <x v="219"/>
    <m/>
    <n v="1"/>
    <n v="0"/>
    <s v="US 160A NWO Blanca"/>
    <n v="16.114000000000001"/>
    <s v="Great Sand Dunes NP entrance"/>
    <s v="Spur - no detour possible"/>
    <s v="not created"/>
    <m/>
  </r>
  <r>
    <s v="151A01"/>
    <x v="220"/>
    <m/>
    <n v="1"/>
    <n v="0"/>
    <s v="SH 172A Ignacio"/>
    <n v="33.96"/>
    <s v="US 160A NEO Chimney Rock NM"/>
    <m/>
    <s v="Detour_Intra02x5"/>
    <s v="Los Pinos River; Piedra River"/>
  </r>
  <r>
    <s v="157A01"/>
    <x v="221"/>
    <m/>
    <n v="1"/>
    <n v="0"/>
    <s v="US 36B Table Mesa Stn"/>
    <n v="2.036"/>
    <s v="SH 7C Arapahoe Ave"/>
    <m/>
    <s v="Detour_Intra02x5"/>
    <m/>
  </r>
  <r>
    <s v="157A02"/>
    <x v="221"/>
    <m/>
    <n v="2"/>
    <n v="2.036"/>
    <s v="SH 7C Arapahoe Ave"/>
    <n v="4.53"/>
    <s v="Jct SH 119B Longmont Diagonal"/>
    <m/>
    <s v="Detour_Intra02x5"/>
    <s v="Boulder Creek"/>
  </r>
  <r>
    <s v="159A01"/>
    <x v="222"/>
    <m/>
    <n v="1"/>
    <n v="0"/>
    <s v="New Mexico state line"/>
    <n v="17.928999999999998"/>
    <s v="SH 142A San Luis"/>
    <m/>
    <s v="Detour_OOS02"/>
    <s v="Culebra Creek"/>
  </r>
  <r>
    <s v="159A02"/>
    <x v="222"/>
    <m/>
    <n v="2"/>
    <n v="17.928999999999998"/>
    <s v="SH 142A San Luis"/>
    <n v="33.661000000000001"/>
    <s v="US 160A Fort Garland"/>
    <m/>
    <s v="Detour_OOS02"/>
    <s v="Sangre de Cristo Creek"/>
  </r>
  <r>
    <s v="160A01"/>
    <x v="223"/>
    <m/>
    <n v="1"/>
    <n v="0"/>
    <s v="New Mexico state line"/>
    <n v="4.883"/>
    <s v="SH 41A SWO Towaoc"/>
    <m/>
    <s v="Detour_OOS01"/>
    <s v="San Juan River"/>
  </r>
  <r>
    <s v="160A02"/>
    <x v="223"/>
    <m/>
    <n v="2"/>
    <n v="4.883"/>
    <s v="SH 41A SWO Towaoc"/>
    <n v="18.297999999999998"/>
    <s v="US 491A SO Towaoc"/>
    <m/>
    <s v="Detour_OOS01"/>
    <s v="Navajo Springs Creek"/>
  </r>
  <r>
    <s v="160A03"/>
    <x v="223"/>
    <m/>
    <n v="3"/>
    <n v="18.297999999999998"/>
    <s v="US 491A SO Towaoc"/>
    <n v="37.72"/>
    <s v="US 491B Cortez"/>
    <m/>
    <s v="Detour_OOS01"/>
    <s v="McElmo Creek"/>
  </r>
  <r>
    <s v="160A04"/>
    <x v="223"/>
    <m/>
    <n v="4"/>
    <n v="37.72"/>
    <s v="US 491B Cortez"/>
    <n v="38.195999999999998"/>
    <s v="US 491C Cortez"/>
    <m/>
    <s v="Detour_OOS01"/>
    <m/>
  </r>
  <r>
    <s v="160A05"/>
    <x v="223"/>
    <m/>
    <n v="5"/>
    <n v="38.195999999999998"/>
    <s v="US 491C Cortez"/>
    <n v="40.295000000000002"/>
    <s v="SH 145A Cortez"/>
    <m/>
    <s v="Detour_OOS01"/>
    <m/>
  </r>
  <r>
    <s v="160A06"/>
    <x v="223"/>
    <m/>
    <n v="6"/>
    <n v="40.295000000000002"/>
    <s v="SH 145A Cortez"/>
    <n v="54.752000000000002"/>
    <s v="US 160D WO Mancos"/>
    <m/>
    <s v="Detour_OOS01"/>
    <s v="McElmo Creek"/>
  </r>
  <r>
    <s v="160A07"/>
    <x v="223"/>
    <m/>
    <n v="7"/>
    <n v="54.752000000000002"/>
    <s v="US 160D WO Mancos"/>
    <n v="56.064999999999998"/>
    <s v="SH 184B Mancos"/>
    <m/>
    <s v="Detour_OOS01"/>
    <s v="Chicken Creek"/>
  </r>
  <r>
    <s v="160A08"/>
    <x v="223"/>
    <m/>
    <n v="8"/>
    <n v="56.064999999999998"/>
    <s v="SH 184B Mancos"/>
    <n v="56.993000000000002"/>
    <s v="US 160E EO Mancos"/>
    <m/>
    <s v="Detour_OOS01"/>
    <s v="Mancos River"/>
  </r>
  <r>
    <s v="160A09"/>
    <x v="223"/>
    <m/>
    <n v="9"/>
    <n v="56.993000000000002"/>
    <s v="US 160E EO Mancos"/>
    <n v="72.754999999999995"/>
    <s v="SH 140A Hesperus"/>
    <m/>
    <s v="Detour_OOS01"/>
    <s v="Mancos River; La Plata River"/>
  </r>
  <r>
    <s v="160A10"/>
    <x v="223"/>
    <m/>
    <n v="10"/>
    <n v="72.754999999999995"/>
    <s v="SH 140A Hesperus"/>
    <n v="83.206999999999994"/>
    <s v="US 550B Durango"/>
    <m/>
    <s v="Detour_OOS01"/>
    <s v="Lightner Creek; Las Animas River"/>
  </r>
  <r>
    <s v="160A11"/>
    <x v="223"/>
    <m/>
    <n v="11"/>
    <n v="83.206999999999994"/>
    <s v="US 550B Durango"/>
    <n v="83.945999999999998"/>
    <s v="SH 3A Santa Rita Dr Durango"/>
    <m/>
    <s v="Detour_OOS01"/>
    <s v="Las Animas River"/>
  </r>
  <r>
    <s v="160A12"/>
    <x v="223"/>
    <m/>
    <n v="12"/>
    <n v="83.945999999999998"/>
    <s v="SH 3A Santa Rita Dr Durango"/>
    <n v="85.941000000000003"/>
    <s v="SH 3A Carbon Jct Durango"/>
    <m/>
    <s v="Detour_OOS01"/>
    <s v="Las Animas River"/>
  </r>
  <r>
    <s v="160A13"/>
    <x v="223"/>
    <m/>
    <n v="13"/>
    <n v="85.941000000000003"/>
    <s v="SH 3A Carbon Jct Durango"/>
    <n v="88.316000000000003"/>
    <s v="US 550A WO Wilson Gulch rab"/>
    <m/>
    <s v="Detour_OOS01"/>
    <s v="Las Animas River"/>
  </r>
  <r>
    <s v="160A14"/>
    <x v="223"/>
    <m/>
    <n v="14"/>
    <n v="88.316000000000003"/>
    <s v="US 550A WO Wilson Gulch rab"/>
    <n v="91.477999999999994"/>
    <s v="SH 172A"/>
    <m/>
    <s v="Detour_OOS01"/>
    <m/>
  </r>
  <r>
    <s v="160A15"/>
    <x v="223"/>
    <m/>
    <n v="15"/>
    <n v="91.477999999999994"/>
    <s v="SH 172A"/>
    <n v="126.968"/>
    <s v="SH 151A NEO Chimney Rock NM"/>
    <m/>
    <s v="Detour_OOS01"/>
    <s v="Florida River; Los Pinos River; Beaver Creek; Yellowjacket Creek; Piedra River"/>
  </r>
  <r>
    <s v="160A16"/>
    <x v="223"/>
    <m/>
    <n v="16"/>
    <n v="126.968"/>
    <s v="SH 151A NEO Chimney Rock NM"/>
    <n v="144.459"/>
    <s v="US 84A EO Pagosa Spgs"/>
    <m/>
    <s v="Detour_OOS01"/>
    <s v="Stollsteimer Creek; San Juan River"/>
  </r>
  <r>
    <s v="160A17"/>
    <x v="223"/>
    <m/>
    <n v="17"/>
    <n v="144.459"/>
    <s v="US 84A EO Pagosa Spgs"/>
    <n v="186.12299999999999"/>
    <s v="SH 149A South Fork"/>
    <m/>
    <s v="Detour_OOS01"/>
    <s v="San Juan River; Wolf Creek; Pass Creek; South Fork Rio Grande"/>
  </r>
  <r>
    <s v="160A18"/>
    <x v="223"/>
    <m/>
    <n v="18"/>
    <n v="186.12299999999999"/>
    <s v="SH 149A South Fork"/>
    <n v="202.08199999999999"/>
    <s v="SH 112A Del Norte"/>
    <m/>
    <s v="Detour_OOS01"/>
    <s v="South Fork Rio Grande; Rio Grande"/>
  </r>
  <r>
    <s v="160A19"/>
    <x v="223"/>
    <m/>
    <n v="19"/>
    <n v="202.08199999999999"/>
    <s v="SH 112A Del Norte"/>
    <n v="215.69800000000001"/>
    <s v="US 285B SH 15A Monte Vista"/>
    <m/>
    <s v="Detour_OOS01"/>
    <s v="Rio Grande"/>
  </r>
  <r>
    <s v="160A20"/>
    <x v="223"/>
    <m/>
    <n v="20"/>
    <n v="215.69800000000001"/>
    <s v="US 285B SH 15A Monte Vista"/>
    <n v="232.483"/>
    <s v="US 160Z Richarson Ave Alamosa"/>
    <m/>
    <s v="Detour_OOS01"/>
    <m/>
  </r>
  <r>
    <s v="160A21"/>
    <x v="223"/>
    <m/>
    <n v="21"/>
    <n v="232.483"/>
    <s v="US 160Z Richarson Ave Alamosa"/>
    <n v="232.76900000000001"/>
    <s v="US 285A Alamosa"/>
    <m/>
    <s v="Detour_OOS01"/>
    <m/>
  </r>
  <r>
    <s v="160A22"/>
    <x v="223"/>
    <m/>
    <n v="22"/>
    <n v="232.76900000000001"/>
    <s v="US 285A Alamosa"/>
    <n v="233.48699999999999"/>
    <s v="US 160Z Denver Ave Alamosa"/>
    <m/>
    <s v="Detour_OOS01"/>
    <m/>
  </r>
  <r>
    <s v="160A23"/>
    <x v="223"/>
    <m/>
    <n v="23"/>
    <n v="233.48699999999999"/>
    <s v="US 160Z Denver Ave Alamosa"/>
    <n v="234.00800000000001"/>
    <s v="SH 17B Alamosa East"/>
    <m/>
    <s v="Detour_OOS01"/>
    <s v="Rio Grande"/>
  </r>
  <r>
    <s v="160A24"/>
    <x v="223"/>
    <m/>
    <n v="24"/>
    <n v="234.00800000000001"/>
    <s v="SH 17B Alamosa East"/>
    <n v="247.928"/>
    <s v="SH 150A NWO Blanca"/>
    <m/>
    <s v="Detour_OOS01"/>
    <m/>
  </r>
  <r>
    <s v="160A25"/>
    <x v="223"/>
    <m/>
    <n v="25"/>
    <n v="247.928"/>
    <s v="SH 150A NWO Blanca"/>
    <n v="258.27199999999999"/>
    <s v="SH 159A Fort Garland"/>
    <m/>
    <s v="Detour_OOS01"/>
    <m/>
  </r>
  <r>
    <s v="160A26"/>
    <x v="223"/>
    <m/>
    <n v="26"/>
    <n v="258.27199999999999"/>
    <s v="SH 159A Fort Garland"/>
    <n v="294.17200000000003"/>
    <s v="SH 12A NEO La Veta"/>
    <m/>
    <s v="Detour_OOS01"/>
    <s v="Sangre de Cristo Creek; South Abeyta Creek"/>
  </r>
  <r>
    <s v="160A27"/>
    <x v="223"/>
    <m/>
    <n v="27"/>
    <n v="294.17200000000003"/>
    <s v="SH 12A NEO La Veta"/>
    <n v="305.38"/>
    <s v="I-25C &amp; 7th St Walsenburg"/>
    <m/>
    <s v="Detour_OOS01"/>
    <s v="Cucharas River"/>
  </r>
  <r>
    <s v="160B01"/>
    <x v="224"/>
    <m/>
    <n v="1"/>
    <n v="305.52600000000001"/>
    <s v="I-25C &amp; 5th St Walsenburg"/>
    <n v="306.35000000000002"/>
    <s v="I-25A SH 10A Walsenburg"/>
    <m/>
    <s v="Detour_Intra02x5"/>
    <m/>
  </r>
  <r>
    <s v="160C01"/>
    <x v="225"/>
    <m/>
    <n v="1"/>
    <n v="344.572"/>
    <s v="I-25A SH 239A Trinidad"/>
    <n v="350.76900000000001"/>
    <s v="US 350A Beshoar Jct NEO Trinidad"/>
    <m/>
    <s v="Detour_OOS02"/>
    <s v="Purgatoire River"/>
  </r>
  <r>
    <s v="160C02"/>
    <x v="225"/>
    <m/>
    <n v="2"/>
    <n v="350.76900000000001"/>
    <s v="US 350A Beshoar Jct NEO Trinidad"/>
    <n v="382.774"/>
    <s v="SH 389A Walt's Corner NO Branson"/>
    <m/>
    <s v="Detour_OOS02"/>
    <s v="Trinchera Creek"/>
  </r>
  <r>
    <s v="160C03"/>
    <x v="225"/>
    <m/>
    <n v="3"/>
    <n v="382.774"/>
    <s v="SH 389A Walt's Corner NO Branson"/>
    <n v="416.53100000000001"/>
    <s v="SH 109A NO Kim"/>
    <m/>
    <s v="Detour_OOS02"/>
    <m/>
  </r>
  <r>
    <s v="160C04"/>
    <x v="225"/>
    <m/>
    <n v="4"/>
    <n v="416.53100000000001"/>
    <s v="SH 109A NO Kim"/>
    <n v="464.43299999999999"/>
    <s v="US 287A SO Springfield"/>
    <m/>
    <s v="Detour_OOS02"/>
    <m/>
  </r>
  <r>
    <s v="160C05"/>
    <x v="225"/>
    <m/>
    <n v="5"/>
    <n v="464.43299999999999"/>
    <s v="US 287A SO Springfield"/>
    <n v="473.654"/>
    <s v="SH 100A NO Vilas"/>
    <m/>
    <s v="Detour_OOS02"/>
    <m/>
  </r>
  <r>
    <s v="160C06"/>
    <x v="225"/>
    <m/>
    <n v="6"/>
    <n v="473.654"/>
    <s v="SH 100A NO Vilas"/>
    <n v="497.22300000000001"/>
    <s v="Kansas state line"/>
    <m/>
    <s v="Detour_OOS02"/>
    <m/>
  </r>
  <r>
    <s v="160D01"/>
    <x v="226"/>
    <s v="160E"/>
    <n v="1"/>
    <n v="0"/>
    <s v="US 160A WO Mancos"/>
    <n v="1.4570000000000001"/>
    <s v="SH 184A Mancos"/>
    <s v="Dom by US 160A"/>
    <s v="Detour_Virt3x5"/>
    <s v="Chicken Creek"/>
  </r>
  <r>
    <s v="160D02"/>
    <x v="226"/>
    <s v="160F"/>
    <n v="2"/>
    <n v="1.4570000000000001"/>
    <s v="SH 184A Mancos"/>
    <n v="2.488"/>
    <s v="US 160A EO Mancos"/>
    <s v="Dom by US 160A"/>
    <s v="Detour_Virt3x5"/>
    <s v="Mancos River"/>
  </r>
  <r>
    <s v="160Z01"/>
    <x v="227"/>
    <m/>
    <n v="1"/>
    <n v="0"/>
    <s v="US 160A Denver Ave Alamosa"/>
    <n v="0.66400000000000003"/>
    <s v="US 285A Alamosa"/>
    <m/>
    <s v="Detour_OOS01"/>
    <m/>
  </r>
  <r>
    <s v="160Z02"/>
    <x v="227"/>
    <m/>
    <n v="2"/>
    <n v="0.66400000000000003"/>
    <s v="US 285A Alamosa"/>
    <n v="0.92900000000000005"/>
    <s v="US 160A Richarson Ave Alamosa"/>
    <m/>
    <s v="Detour_OOS01"/>
    <m/>
  </r>
  <r>
    <s v="165A01"/>
    <x v="228"/>
    <m/>
    <n v="1"/>
    <n v="0"/>
    <s v="SH 96A SWO Greenwood"/>
    <n v="15.31"/>
    <s v="SH 78A SWO Beulah Valley"/>
    <m/>
    <s v="Detour_Intra01"/>
    <s v="South Fork North Hardscrabble Creek; South Hardscrabble Creek; Middle Creek;"/>
  </r>
  <r>
    <s v="165A02"/>
    <x v="228"/>
    <m/>
    <n v="2"/>
    <n v="15.31"/>
    <s v="SH 78A SWO Beulah Valley"/>
    <n v="36.893999999999998"/>
    <s v="I-25A Colorado City"/>
    <m/>
    <s v="Detour_Intra01"/>
    <s v="Saint Charles River; Muddy Creek branches; Greenhorn Creek"/>
  </r>
  <r>
    <s v="167A01"/>
    <x v="229"/>
    <m/>
    <n v="1"/>
    <n v="0"/>
    <s v="SH 96B WO Olney Spgs"/>
    <n v="1.673"/>
    <s v="US 50B Fowler"/>
    <m/>
    <s v="Detour_Intra02x5"/>
    <s v="Arkansas River"/>
  </r>
  <r>
    <s v="167A02"/>
    <x v="229"/>
    <m/>
    <n v="2"/>
    <n v="1.673"/>
    <s v="US 50B Fowler"/>
    <n v="4.8600000000000003"/>
    <s v="ends Otero CR JJ SO Fowler"/>
    <s v="Spur - no detour possible"/>
    <s v="Detour_Intra02x5"/>
    <m/>
  </r>
  <r>
    <s v="170A01"/>
    <x v="230"/>
    <m/>
    <n v="1"/>
    <n v="0"/>
    <s v="begins Eldorado Spgs"/>
    <n v="2.7250000000000001"/>
    <s v="SH 93A"/>
    <s v="Spur - no detour possible"/>
    <s v="Detour_Intra02x5"/>
    <s v="South Boulder Creek"/>
  </r>
  <r>
    <s v="170A02"/>
    <x v="230"/>
    <m/>
    <n v="2"/>
    <n v="2.7250000000000001"/>
    <s v="SH 93A"/>
    <n v="6.9779999999999998"/>
    <s v="US 36B McCaslin Blvd"/>
    <m/>
    <s v="Detour_Intra02x5"/>
    <m/>
  </r>
  <r>
    <s v="172A01"/>
    <x v="231"/>
    <s v="172B"/>
    <n v="1"/>
    <n v="0"/>
    <s v="New Mexico state line"/>
    <n v="8.9030000000000005"/>
    <s v="SH 151A Ignacio"/>
    <m/>
    <s v="Detour_Virt1x1a"/>
    <s v="Los Pinos River"/>
  </r>
  <r>
    <s v="172A02"/>
    <x v="231"/>
    <s v="172C"/>
    <n v="2"/>
    <n v="8.9030000000000005"/>
    <s v="SH 151A Ignacio"/>
    <n v="24.498999999999999"/>
    <s v="US 160A EO Durango"/>
    <m/>
    <s v="Detour_Virt1x1a"/>
    <s v="Los Pinos River; Ignacio Creek; Florida River"/>
  </r>
  <r>
    <s v="177A01"/>
    <x v="232"/>
    <m/>
    <n v="1"/>
    <n v="0"/>
    <s v="C-470A Highlands Ranch"/>
    <n v="4.117"/>
    <s v="SH 88A Belleview Ave"/>
    <m/>
    <s v="Detour_Intra02x5"/>
    <s v="Little Dry Creek"/>
  </r>
  <r>
    <s v="177A02"/>
    <x v="232"/>
    <m/>
    <n v="2"/>
    <n v="4.117"/>
    <s v="SH 88A Belleview Ave"/>
    <n v="6.1109999999999998"/>
    <s v="US 285D Hampden Ave"/>
    <m/>
    <s v="Detour_Intra02x5"/>
    <m/>
  </r>
  <r>
    <s v="183A01"/>
    <x v="233"/>
    <m/>
    <n v="1"/>
    <n v="0"/>
    <s v="US 50B NEO Las Animas"/>
    <n v="1"/>
    <s v="Bent CR HH Fort Lyon"/>
    <s v="Spur - no detour possible"/>
    <s v="not in network"/>
    <m/>
  </r>
  <r>
    <s v="184A01"/>
    <x v="234"/>
    <m/>
    <n v="1"/>
    <n v="0"/>
    <s v="US 491B SO Lewis"/>
    <n v="8.1590000000000007"/>
    <s v="SH 145A WO Dolores"/>
    <m/>
    <s v="Detour_Intra02x5"/>
    <s v="Narraguinnep Reservoir; McPhee Reservoir"/>
  </r>
  <r>
    <s v="184B01"/>
    <x v="235"/>
    <s v="184C"/>
    <n v="1"/>
    <n v="8.9"/>
    <s v="SH 145A WO Dolores"/>
    <n v="26.443999999999999"/>
    <s v="US 160A Mancos"/>
    <s v="Dom by SH 145A &amp; US 160A"/>
    <s v="Detour_Virt3x5"/>
    <s v="Lost Canyon Creek; Chicken Creek"/>
  </r>
  <r>
    <s v="184B02"/>
    <x v="235"/>
    <s v="184D"/>
    <n v="2"/>
    <n v="26.443999999999999"/>
    <s v="US 160A Mancos"/>
    <n v="26.599"/>
    <s v="US 160D business Mancos"/>
    <m/>
    <s v="Detour_Virt3x5"/>
    <s v="Mancos River"/>
  </r>
  <r>
    <s v="194A01"/>
    <x v="236"/>
    <m/>
    <n v="1"/>
    <n v="0"/>
    <s v="SH 109A NO La Junta"/>
    <n v="20.327000000000002"/>
    <s v="US 50B NO Las Animas"/>
    <m/>
    <s v="Detour_Intra02x5"/>
    <s v="Arkansas River"/>
  </r>
  <r>
    <s v="196A01"/>
    <x v="237"/>
    <m/>
    <n v="1"/>
    <n v="0"/>
    <s v="US 50B SO McClave"/>
    <n v="8.9220000000000006"/>
    <s v="US 287B NO Lamar"/>
    <s v="Dom???"/>
    <s v="Detour_Intra02x5"/>
    <s v="Graveyard Creek"/>
  </r>
  <r>
    <s v="202A01"/>
    <x v="238"/>
    <m/>
    <n v="1"/>
    <n v="0"/>
    <s v="US 50Z Rocky Ford"/>
    <n v="0.11"/>
    <s v="US 50B Rocky Ford"/>
    <m/>
    <s v="Detour_Intra03x1"/>
    <m/>
  </r>
  <r>
    <s v="202A02"/>
    <x v="238"/>
    <m/>
    <n v="2"/>
    <n v="0.11"/>
    <s v="US 50B Rocky Ford"/>
    <n v="3.2280000000000002"/>
    <s v="ends Otero CR 16"/>
    <s v="Spur - no detour possible"/>
    <s v="Detour_Intra03x1"/>
    <m/>
  </r>
  <r>
    <s v="207A01"/>
    <x v="239"/>
    <m/>
    <n v="1"/>
    <n v="0"/>
    <s v="US 50B Manzanola"/>
    <n v="5.9349999999999996"/>
    <s v="SH 96B NEO Olney Spgs"/>
    <m/>
    <s v="Detour_Intra02x5"/>
    <s v="Arkansas River"/>
  </r>
  <r>
    <s v="209A01"/>
    <x v="240"/>
    <m/>
    <n v="1"/>
    <n v="0"/>
    <s v="US 50B SO Boone"/>
    <n v="1.528"/>
    <s v="SH 96B Boone"/>
    <m/>
    <s v="Detour_Intra02x5"/>
    <s v="Arkansas River"/>
  </r>
  <r>
    <s v="224A01"/>
    <x v="241"/>
    <s v="224B"/>
    <n v="1"/>
    <n v="0"/>
    <s v="US 36B Broadway exit"/>
    <n v="0.26800000000000002"/>
    <s v="SH 53A 70th &amp; Broadway"/>
    <m/>
    <s v="Detour_Virt3x5"/>
    <m/>
  </r>
  <r>
    <s v="224A02"/>
    <x v="241"/>
    <s v="224C"/>
    <n v="2"/>
    <n v="0.26800000000000002"/>
    <s v="SH 53A 70th &amp; Broadway"/>
    <n v="0.47399999999999998"/>
    <s v="I-25A "/>
    <m/>
    <s v="Detour_Virt3x5"/>
    <m/>
  </r>
  <r>
    <s v="224A03"/>
    <x v="241"/>
    <s v="224C"/>
    <n v="3"/>
    <n v="0.47399999999999998"/>
    <s v="I-25A "/>
    <n v="2.75"/>
    <s v="I-76A"/>
    <m/>
    <s v="Detour_Virt3x5"/>
    <s v="Clear Creek; South Platte River"/>
  </r>
  <r>
    <s v="224A04"/>
    <x v="241"/>
    <s v="224C"/>
    <n v="4"/>
    <n v="2.75"/>
    <s v="I-76A"/>
    <n v="3.6339999999999999"/>
    <s v="US 6H Brighton Blvd"/>
    <m/>
    <s v="Detour_Virt3x5"/>
    <m/>
  </r>
  <r>
    <s v="225A01"/>
    <x v="242"/>
    <m/>
    <n v="1"/>
    <n v="0"/>
    <s v="I-25A Full House"/>
    <n v="3.9369999999999998"/>
    <s v="SH 83A Nine Mile Stn"/>
    <m/>
    <s v="Detour_Intra02x5"/>
    <s v="Cherry Creek"/>
  </r>
  <r>
    <s v="225A02"/>
    <x v="242"/>
    <m/>
    <n v="2"/>
    <n v="3.9369999999999998"/>
    <s v="SH 83A Nine Mile Stn"/>
    <n v="8.9540000000000006"/>
    <s v="SH 30A 6th Ave"/>
    <m/>
    <s v="Detour_Intra02x5"/>
    <m/>
  </r>
  <r>
    <s v="225A03"/>
    <x v="242"/>
    <m/>
    <n v="3"/>
    <n v="8.9540000000000006"/>
    <s v="SH 30A 6th Ave"/>
    <n v="9.9009999999999998"/>
    <s v="US 40C Colfax Ave"/>
    <m/>
    <s v="Detour_Intra02x5"/>
    <s v="Toll Gate Creek"/>
  </r>
  <r>
    <s v="225A04"/>
    <x v="242"/>
    <m/>
    <n v="4"/>
    <n v="9.9009999999999998"/>
    <s v="US 40C Colfax Ave"/>
    <n v="12.430999999999999"/>
    <s v="I-70A"/>
    <m/>
    <s v="Detour_Intra02x5"/>
    <s v="Toll Gate Creek"/>
  </r>
  <r>
    <s v="227A01"/>
    <x v="243"/>
    <m/>
    <n v="1"/>
    <n v="0"/>
    <s v="start Socorro Pl"/>
    <n v="0.05"/>
    <s v="US 50C Santa Fe Dr Pueblo"/>
    <s v="Spur/within interchange"/>
    <s v="not created"/>
    <s v="Salt Creek"/>
  </r>
  <r>
    <s v="227A02"/>
    <x v="243"/>
    <m/>
    <n v="2"/>
    <n v="0.05"/>
    <s v="US 50C Santa Fe Dr Pueblo"/>
    <n v="0.33200000000000002"/>
    <s v="end Salt Creek"/>
    <s v="Spur/within interchange"/>
    <s v="not created"/>
    <s v="Salt Creek"/>
  </r>
  <r>
    <s v="231A01"/>
    <x v="244"/>
    <m/>
    <n v="1"/>
    <n v="0"/>
    <s v="US 50C Vineland"/>
    <n v="2.0499999999999998"/>
    <s v="US 50A Devine"/>
    <m/>
    <s v="Detour_Intra02x6"/>
    <s v="Arkansas River"/>
  </r>
  <r>
    <s v="239A01"/>
    <x v="245"/>
    <m/>
    <n v="1"/>
    <n v="0"/>
    <s v="I-25A US 160C Trinidad"/>
    <n v="3.3450000000000002"/>
    <s v="end Las Animas CR 32 El Moro"/>
    <s v="Spur - no detour possible"/>
    <s v="not created"/>
    <s v="Purgatoire River"/>
  </r>
  <r>
    <s v="257A01"/>
    <x v="246"/>
    <m/>
    <n v="1"/>
    <n v="0"/>
    <s v="SH 60B Milliken"/>
    <n v="5.1239999999999997"/>
    <s v="US 34A WO Greeley"/>
    <m/>
    <s v="Detour_Intra02x6"/>
    <s v="Little Thompson River; Big Thompson River"/>
  </r>
  <r>
    <s v="257A02"/>
    <x v="246"/>
    <m/>
    <n v="2"/>
    <n v="5.1239999999999997"/>
    <s v="US 34A WO Greeley"/>
    <n v="5.423"/>
    <s v="US 34B business Greeley"/>
    <m/>
    <s v="Detour_Intra02x6"/>
    <m/>
  </r>
  <r>
    <s v="257A03"/>
    <x v="246"/>
    <m/>
    <n v="3"/>
    <n v="5.423"/>
    <s v="US 34B business Greeley"/>
    <n v="10.595000000000001"/>
    <s v="SH 392B Windsor"/>
    <m/>
    <s v="Detour_Intra02x6"/>
    <s v="Cache la Poudre River"/>
  </r>
  <r>
    <s v="257A04"/>
    <x v="246"/>
    <m/>
    <n v="4"/>
    <n v="10.595000000000001"/>
    <s v="SH 392B Windsor"/>
    <n v="11.58"/>
    <s v="SH 392A Windsor"/>
    <m/>
    <s v="Detour_Intra02x6"/>
    <s v="Windsor Lake"/>
  </r>
  <r>
    <s v="257A05"/>
    <x v="246"/>
    <m/>
    <n v="5"/>
    <n v="11.58"/>
    <s v="SH 392A Windsor"/>
    <n v="18.486999999999998"/>
    <s v="SH 14C "/>
    <m/>
    <s v="Detour_Intra02x6"/>
    <s v="Windsor Lake"/>
  </r>
  <r>
    <s v="257B01"/>
    <x v="247"/>
    <m/>
    <n v="1"/>
    <n v="3.6999999999999998E-2"/>
    <s v="start WO Missile Park Rd"/>
    <n v="1.1459999999999999"/>
    <s v="US 34B &amp; Promontory Pkwy"/>
    <s v="Spur - no detour possible"/>
    <s v="not in network"/>
    <m/>
  </r>
  <r>
    <s v="265A01"/>
    <x v="248"/>
    <m/>
    <n v="1"/>
    <n v="1.177"/>
    <s v="start York St"/>
    <n v="3.621"/>
    <s v="US 6H Vasquez Blvd"/>
    <s v="Spur - no detour possible"/>
    <s v="Detour_Intra02x6"/>
    <s v="Sand Creek"/>
  </r>
  <r>
    <s v="265B01"/>
    <x v="249"/>
    <m/>
    <n v="1"/>
    <n v="3.4000000000000002E-2"/>
    <s v="I-70A EB Brighton Blvd ramps"/>
    <n v="0.14699999999999999"/>
    <s v="ends 47th Ave"/>
    <s v="Spur - no detour possible"/>
    <s v="Detour_Intra02x6"/>
    <m/>
  </r>
  <r>
    <s v="266A01"/>
    <x v="250"/>
    <m/>
    <n v="1"/>
    <n v="0"/>
    <s v="US 50B Rocky Ford"/>
    <n v="0.06"/>
    <s v="US 50Z Rocky Ford"/>
    <m/>
    <s v="Detour_Intra02x6"/>
    <m/>
  </r>
  <r>
    <s v="266A02"/>
    <x v="250"/>
    <m/>
    <n v="2"/>
    <n v="0.06"/>
    <s v="US 50Z Rocky Ford"/>
    <n v="11.516"/>
    <s v="SH 109A SWO Cheraw"/>
    <m/>
    <s v="Detour_Intra02x6"/>
    <s v="Arkansas River"/>
  </r>
  <r>
    <s v="270A01"/>
    <x v="251"/>
    <s v="270F"/>
    <n v="1"/>
    <n v="0"/>
    <s v="I-76A I-270B Turnpike Tangle"/>
    <n v="2.3580000000000001"/>
    <s v="US 6H Vasquez Blvd"/>
    <m/>
    <s v="Detour_Virt2x2"/>
    <s v="South Platte River; Sand Creek"/>
  </r>
  <r>
    <s v="270A02"/>
    <x v="251"/>
    <s v="270F"/>
    <n v="2"/>
    <n v="2.3580000000000001"/>
    <s v="US 6H Vasquez Blvd"/>
    <n v="4.569"/>
    <s v="SH 35A Quebec St"/>
    <m/>
    <s v="Detour_Virt2x2"/>
    <s v="Sand Creek"/>
  </r>
  <r>
    <s v="270A03"/>
    <x v="251"/>
    <s v="270F"/>
    <n v="3"/>
    <n v="4.569"/>
    <s v="SH 35A Quebec St"/>
    <n v="5.9859999999999998"/>
    <s v="I-70A Central Park Blvd"/>
    <m/>
    <s v="Detour_Virt2x2"/>
    <s v="Sand Creek"/>
  </r>
  <r>
    <s v="270B01"/>
    <x v="252"/>
    <s v="270F"/>
    <n v="1"/>
    <n v="0.17699999999999999"/>
    <s v="I-25A US 36B Turnpike Tangle"/>
    <n v="1.1000000000000001"/>
    <s v="I-76A I-270A Turnpike Tangle"/>
    <m/>
    <s v="Detour_Virt2x2"/>
    <s v="Clear Creek"/>
  </r>
  <r>
    <s v="285A01"/>
    <x v="253"/>
    <m/>
    <n v="1"/>
    <n v="0"/>
    <s v="New Mexico state line"/>
    <n v="5.2110000000000003"/>
    <s v="SH 17A Antonito"/>
    <m/>
    <s v="Detour_OOS02"/>
    <s v="Rio San Antonio"/>
  </r>
  <r>
    <s v="285A02"/>
    <x v="253"/>
    <m/>
    <n v="2"/>
    <n v="5.2110000000000003"/>
    <s v="SH 17A Antonito"/>
    <n v="12.707000000000001"/>
    <s v="SH 142A Romeo"/>
    <m/>
    <s v="Detour_OOS02"/>
    <s v="Conejos River"/>
  </r>
  <r>
    <s v="285A03"/>
    <x v="253"/>
    <m/>
    <n v="3"/>
    <n v="12.707000000000001"/>
    <s v="SH 142A Romeo"/>
    <n v="19.817"/>
    <s v="SH 136A La Jara"/>
    <m/>
    <s v="Detour_OOS02"/>
    <m/>
  </r>
  <r>
    <s v="285A04"/>
    <x v="253"/>
    <m/>
    <n v="4"/>
    <n v="19.817"/>
    <s v="SH 136A La Jara"/>
    <n v="20.417999999999999"/>
    <s v="SH 15B NO La Jara"/>
    <m/>
    <s v="Detour_OOS02"/>
    <m/>
  </r>
  <r>
    <s v="285A05"/>
    <x v="253"/>
    <m/>
    <n v="5"/>
    <n v="20.417999999999999"/>
    <s v="SH 15B NO La Jara"/>
    <n v="26.829000000000001"/>
    <s v="SH 368A Estrella"/>
    <m/>
    <s v="Detour_OOS02"/>
    <s v="La Jara Creek; Alamosa River"/>
  </r>
  <r>
    <s v="285A06"/>
    <x v="253"/>
    <m/>
    <n v="6"/>
    <n v="26.829000000000001"/>
    <s v="SH 368A Estrella"/>
    <n v="31.257000000000001"/>
    <s v="SH 370A SO Alamosa"/>
    <m/>
    <s v="Detour_OOS02"/>
    <m/>
  </r>
  <r>
    <s v="285A07"/>
    <x v="253"/>
    <m/>
    <n v="7"/>
    <n v="31.257000000000001"/>
    <s v="SH 370A SO Alamosa"/>
    <n v="34.027999999999999"/>
    <s v="US 160A 6th St Alamosa"/>
    <m/>
    <s v="Detour_OOS02"/>
    <m/>
  </r>
  <r>
    <s v="285A08"/>
    <x v="253"/>
    <m/>
    <n v="8"/>
    <n v="34.027999999999999"/>
    <s v="US 160A 6th St Alamosa"/>
    <n v="34.101999999999997"/>
    <s v="US 160Z Main St Alamosa"/>
    <m/>
    <s v="Detour_OOS02"/>
    <m/>
  </r>
  <r>
    <s v="285B01"/>
    <x v="254"/>
    <m/>
    <n v="1"/>
    <n v="51.158999999999999"/>
    <s v="US 160A SH 15A Monte Vista"/>
    <n v="62.904000000000003"/>
    <s v="SH 112A WO Center"/>
    <m/>
    <s v="Detour_Intra02x6"/>
    <s v="Rio Grande"/>
  </r>
  <r>
    <s v="285B02"/>
    <x v="254"/>
    <m/>
    <n v="2"/>
    <n v="62.904000000000003"/>
    <s v="SH 112A WO Center"/>
    <n v="86.29"/>
    <s v="SH 114A Saguache"/>
    <m/>
    <s v="Detour_Intra02x6"/>
    <m/>
  </r>
  <r>
    <s v="285B03"/>
    <x v="254"/>
    <m/>
    <n v="3"/>
    <n v="86.29"/>
    <s v="SH 114A Saguache"/>
    <n v="100.518"/>
    <s v="SH 17B SO Villa Grove"/>
    <m/>
    <s v="Detour_Intra02x6"/>
    <m/>
  </r>
  <r>
    <s v="285B04"/>
    <x v="254"/>
    <m/>
    <n v="4"/>
    <n v="100.518"/>
    <s v="SH 17B SO Villa Grove"/>
    <n v="126.48"/>
    <s v="US 50A Poncha Spgs"/>
    <m/>
    <s v="Detour_Intra02x6"/>
    <s v="San Luis Creek; Poncha Creek; South Arkansas River"/>
  </r>
  <r>
    <s v="285C01"/>
    <x v="255"/>
    <m/>
    <n v="1"/>
    <n v="126.85299999999999"/>
    <s v="US 50A Poncha Spgs"/>
    <n v="133.88300000000001"/>
    <s v="SH 291A NWO Salida"/>
    <m/>
    <s v="Detour_Intra01"/>
    <s v="Arkansas River"/>
  </r>
  <r>
    <s v="285C02"/>
    <x v="255"/>
    <m/>
    <n v="2"/>
    <n v="133.88300000000001"/>
    <s v="SH 291A NWO Salida"/>
    <n v="148.065"/>
    <s v="US 24A Johnson Village"/>
    <m/>
    <s v="Detour_Intra01"/>
    <s v="Arkansas River"/>
  </r>
  <r>
    <s v="285D01"/>
    <x v="256"/>
    <m/>
    <n v="1"/>
    <n v="161.78899999999999"/>
    <s v="US 24A Antero Jct"/>
    <n v="181.971"/>
    <s v="SH 9B SO Fairplay"/>
    <m/>
    <s v="Detour_Intra01"/>
    <s v="South Fork South Platte River"/>
  </r>
  <r>
    <s v="285D02"/>
    <x v="256"/>
    <m/>
    <n v="2"/>
    <n v="181.971"/>
    <s v="SH 9B SO Fairplay"/>
    <n v="182.989"/>
    <s v="SH 9C Fairplay"/>
    <m/>
    <s v="Detour_Intra01"/>
    <s v="Middle Fork South Platte River"/>
  </r>
  <r>
    <s v="285D03"/>
    <x v="256"/>
    <m/>
    <n v="3"/>
    <n v="182.989"/>
    <s v="SH 9C Fairplay"/>
    <n v="248.44300000000001"/>
    <s v="SH 8A SO Morrison"/>
    <m/>
    <s v="Detour_Intra01"/>
    <s v="Tarryall Creek; Kenosha Creek; North Fork South Platte River; Turkey Creek"/>
  </r>
  <r>
    <s v="285D04"/>
    <x v="256"/>
    <m/>
    <n v="4"/>
    <n v="248.44300000000001"/>
    <s v="SH 8A SO Morrison"/>
    <n v="250.08199999999999"/>
    <s v="C-470A"/>
    <m/>
    <s v="Detour_Intra01"/>
    <s v="Turkey Creek"/>
  </r>
  <r>
    <s v="285D05"/>
    <x v="256"/>
    <m/>
    <n v="5"/>
    <n v="250.08199999999999"/>
    <s v="C-470A"/>
    <n v="253.512"/>
    <s v="SH 391A Kipling St"/>
    <m/>
    <s v="Detour_Intra01"/>
    <s v="Turkey Creek"/>
  </r>
  <r>
    <s v="285D06"/>
    <x v="256"/>
    <m/>
    <n v="6"/>
    <n v="253.512"/>
    <s v="SH 391A Kipling St"/>
    <n v="255.03399999999999"/>
    <s v="SH 121A Wadsworth Blvd"/>
    <m/>
    <s v="Detour_Intra01"/>
    <m/>
  </r>
  <r>
    <s v="285D07"/>
    <x v="256"/>
    <m/>
    <n v="7"/>
    <n v="255.03399999999999"/>
    <s v="SH 121A Wadsworth Blvd"/>
    <n v="256.54700000000003"/>
    <s v="SH 95A Sheridan Blvd"/>
    <m/>
    <s v="Detour_Intra01"/>
    <s v="Bear Creek"/>
  </r>
  <r>
    <s v="285D08"/>
    <x v="256"/>
    <m/>
    <n v="8"/>
    <n v="256.54700000000003"/>
    <s v="SH 95A Sheridan Blvd"/>
    <n v="258.06299999999999"/>
    <s v="SH 88A Federal Blvd"/>
    <m/>
    <s v="Detour_Intra01"/>
    <s v="Bear Creek"/>
  </r>
  <r>
    <s v="285D09"/>
    <x v="256"/>
    <m/>
    <n v="9"/>
    <n v="258.06299999999999"/>
    <s v="SH 88A Federal Blvd"/>
    <n v="259.32600000000002"/>
    <s v="US 85B Santa Fe Dr"/>
    <m/>
    <s v="Detour_Intra01"/>
    <s v="Bear Creek; South Platte River"/>
  </r>
  <r>
    <s v="285D10"/>
    <x v="256"/>
    <m/>
    <n v="10"/>
    <n v="259.32600000000002"/>
    <s v="US 85B Santa Fe Dr"/>
    <n v="261.71600000000001"/>
    <s v="SH 177A University Blvd"/>
    <m/>
    <s v="Detour_Intra01"/>
    <s v="Little Dry Creek"/>
  </r>
  <r>
    <s v="285D11"/>
    <x v="256"/>
    <m/>
    <n v="11"/>
    <n v="261.71600000000001"/>
    <s v="SH 177A University Blvd"/>
    <n v="262.68799999999999"/>
    <s v="SH 2A Colorado Blvd"/>
    <m/>
    <s v="Detour_Intra01"/>
    <m/>
  </r>
  <r>
    <s v="285D12"/>
    <x v="256"/>
    <m/>
    <n v="12"/>
    <n v="262.68799999999999"/>
    <s v="SH 2A Colorado Blvd"/>
    <n v="263.947"/>
    <s v="I-25A SH 30A Hampden Ave exit"/>
    <m/>
    <s v="Detour_Intra01"/>
    <m/>
  </r>
  <r>
    <s v="287A01"/>
    <x v="257"/>
    <m/>
    <n v="1"/>
    <n v="0"/>
    <s v="Oklahoma state line"/>
    <n v="28.777000000000001"/>
    <s v="US 160C SO Springfield"/>
    <m/>
    <s v="Detour_OOS02"/>
    <s v="Cat Creek"/>
  </r>
  <r>
    <s v="287A02"/>
    <x v="257"/>
    <m/>
    <n v="2"/>
    <n v="28.777000000000001"/>
    <s v="US 160C SO Springfield"/>
    <n v="40.771999999999998"/>
    <s v="SH 116A WO Two Buttes"/>
    <m/>
    <s v="Detour_OOS02"/>
    <m/>
  </r>
  <r>
    <s v="287A03"/>
    <x v="257"/>
    <m/>
    <n v="3"/>
    <n v="40.771999999999998"/>
    <s v="SH 116A WO Two Buttes"/>
    <n v="77.638999999999996"/>
    <s v="US 50B Lamar"/>
    <m/>
    <s v="Detour_OOS02"/>
    <s v="Clay Creek"/>
  </r>
  <r>
    <s v="287B01"/>
    <x v="258"/>
    <m/>
    <n v="1"/>
    <n v="85.188000000000002"/>
    <s v="US 50B NWO Lamar"/>
    <n v="87.370999999999995"/>
    <s v="SH 196A SO Wiley"/>
    <m/>
    <s v="Detour_Intra02x6"/>
    <m/>
  </r>
  <r>
    <s v="287B02"/>
    <x v="258"/>
    <m/>
    <n v="2"/>
    <n v="87.370999999999995"/>
    <s v="SH 196A SO Wiley"/>
    <n v="110.59"/>
    <s v="SH 96D EO Eads"/>
    <m/>
    <s v="Detour_Intra02x6"/>
    <s v="Neenoshe Reservoir"/>
  </r>
  <r>
    <s v="287B03"/>
    <x v="258"/>
    <m/>
    <n v="3"/>
    <n v="110.59"/>
    <s v="SH 96D EO Eads"/>
    <n v="113.42"/>
    <s v="SH 96C Eads"/>
    <m/>
    <s v="Detour_Intra02x6"/>
    <m/>
  </r>
  <r>
    <s v="287B04"/>
    <x v="258"/>
    <m/>
    <n v="4"/>
    <n v="113.42"/>
    <s v="SH 96C Eads"/>
    <n v="133.24"/>
    <s v="US 40H EO Kit Carson"/>
    <m/>
    <s v="Detour_Intra02x6"/>
    <s v="Rush Creek; Big Sandy Creek"/>
  </r>
  <r>
    <s v="287C01"/>
    <x v="259"/>
    <s v="287D"/>
    <n v="1"/>
    <n v="282.7"/>
    <s v="US 40C SH 88A Colfax Ave &amp; Federal Blvd"/>
    <n v="285.75200000000001"/>
    <s v="I-70A Federal Blvd exit"/>
    <m/>
    <s v="Detour_Virt1x1a"/>
    <m/>
  </r>
  <r>
    <s v="287C02"/>
    <x v="259"/>
    <s v="287D"/>
    <n v="2"/>
    <n v="285.75200000000001"/>
    <s v="I-70A Federal Blvd exit"/>
    <n v="286.91300000000001"/>
    <s v="I-76A Federal Blvd exit"/>
    <m/>
    <s v="Detour_Virt1x1a"/>
    <m/>
  </r>
  <r>
    <s v="287C03"/>
    <x v="259"/>
    <s v="287D"/>
    <n v="3"/>
    <n v="286.91300000000001"/>
    <s v="I-76A Federal Blvd exit"/>
    <n v="289.36700000000002"/>
    <s v="US 36B Federal Blvd exit"/>
    <m/>
    <s v="Detour_Virt1x1a"/>
    <s v="Clear Creek; Little Dry Creek"/>
  </r>
  <r>
    <s v="287C04"/>
    <x v="259"/>
    <s v="287E"/>
    <n v="4"/>
    <n v="289.36700000000002"/>
    <s v="US 36B Federal Blvd exit"/>
    <n v="294.71100000000001"/>
    <s v="SH 128B 120th Ave"/>
    <m/>
    <s v="Detour_Virt1x2"/>
    <m/>
  </r>
  <r>
    <s v="287C05"/>
    <x v="259"/>
    <s v="287F"/>
    <n v="5"/>
    <n v="294.71100000000001"/>
    <s v="SH 128B 120th Ave"/>
    <n v="297.44299999999998"/>
    <s v="[later than 2015] SH 128A Upham St"/>
    <m/>
    <s v="Detour_Virt1x1a"/>
    <s v="Big Dry Creek"/>
  </r>
  <r>
    <s v="287C06"/>
    <x v="259"/>
    <s v="287F"/>
    <n v="6"/>
    <n v="297.44299999999998"/>
    <s v="[later than 2015] SH 128A Upham St"/>
    <n v="298.08199999999999"/>
    <s v="SH 121A Wadsworth Pkwy"/>
    <m/>
    <s v="Detour_Virt1x1a"/>
    <m/>
  </r>
  <r>
    <s v="287C07"/>
    <x v="259"/>
    <s v="287F"/>
    <n v="7"/>
    <n v="298.08199999999999"/>
    <s v="SH 121A Wadsworth Pkwy"/>
    <n v="300.88600000000002"/>
    <s v="SH 470N Northwest Pkwy"/>
    <m/>
    <s v="Detour_Virt1x1a"/>
    <s v="Rock Creek"/>
  </r>
  <r>
    <s v="287C08"/>
    <x v="259"/>
    <s v="287F"/>
    <n v="8"/>
    <n v="300.88600000000002"/>
    <s v="SH 470N Northwest Pkwy"/>
    <n v="301.82499999999999"/>
    <s v="SH 42A Empire Rd"/>
    <m/>
    <s v="Detour_Virt1x1a"/>
    <m/>
  </r>
  <r>
    <s v="287C09"/>
    <x v="259"/>
    <s v="287F"/>
    <n v="9"/>
    <n v="301.82499999999999"/>
    <s v="SH 42A Empire Rd"/>
    <n v="304.27300000000002"/>
    <s v="SH 7D Baseline Rd (168th Ave)"/>
    <m/>
    <s v="Detour_Virt1x1a"/>
    <s v="Coal Creek"/>
  </r>
  <r>
    <s v="287C10"/>
    <x v="259"/>
    <s v="287F"/>
    <n v="10"/>
    <n v="304.27300000000002"/>
    <s v="SH 7D Baseline Rd (168th Ave)"/>
    <n v="305.36099999999999"/>
    <s v="SH 7C Arapahoe Ave"/>
    <m/>
    <s v="Detour_Virt1x1a"/>
    <s v="South Boulder Creek"/>
  </r>
  <r>
    <s v="287C11"/>
    <x v="259"/>
    <s v="287G"/>
    <n v="11"/>
    <n v="305.36099999999999"/>
    <s v="SH 7C Arapahoe Ave"/>
    <n v="301.39"/>
    <s v="SH 52A Mineral Rd"/>
    <m/>
    <s v="Detour_Virt1x1a"/>
    <s v="Boulder Creek"/>
  </r>
  <r>
    <s v="287C12"/>
    <x v="259"/>
    <s v="287G"/>
    <n v="12"/>
    <n v="301.39"/>
    <s v="SH 52A Mineral Rd"/>
    <n v="314.90199999999999"/>
    <s v="SH 119B Ken Pratt Blvd"/>
    <m/>
    <s v="Detour_Virt1x1a"/>
    <s v="Left Hand Creek"/>
  </r>
  <r>
    <s v="287C13"/>
    <x v="259"/>
    <s v="287G"/>
    <n v="13"/>
    <n v="314.90199999999999"/>
    <s v="SH 119B Ken Pratt Blvd"/>
    <n v="318.32600000000002"/>
    <s v="SH 66B Ute Hwy"/>
    <m/>
    <s v="Detour_Virt1x1a"/>
    <s v="Saint Vrain Creek"/>
  </r>
  <r>
    <s v="287C14"/>
    <x v="259"/>
    <s v="287H"/>
    <n v="14"/>
    <n v="318.32600000000002"/>
    <s v="SH 66B Ute Hwy"/>
    <n v="325.529"/>
    <s v="SH 56B Berthoud"/>
    <m/>
    <s v="Detour_Virt1x1a"/>
    <s v="Little Thompson River; Dry Creek"/>
  </r>
  <r>
    <s v="287C15"/>
    <x v="259"/>
    <s v="287H"/>
    <n v="15"/>
    <n v="325.529"/>
    <s v="SH 56B Berthoud"/>
    <n v="330.02300000000002"/>
    <s v="SH 60A Campion"/>
    <m/>
    <s v="Detour_Virt1x1a"/>
    <m/>
  </r>
  <r>
    <s v="287C16"/>
    <x v="259"/>
    <s v="287H"/>
    <n v="16"/>
    <n v="330.02300000000002"/>
    <s v="SH 60A Campion"/>
    <n v="332.02800000000002"/>
    <s v="SH 402A 14th St SE Loveland"/>
    <m/>
    <s v="Detour_Virt1x1a"/>
    <m/>
  </r>
  <r>
    <s v="287C17"/>
    <x v="259"/>
    <s v="287H"/>
    <n v="17"/>
    <n v="332.02800000000002"/>
    <s v="SH 402A 14th St SE Loveland"/>
    <n v="332.613"/>
    <s v="US 287Z Loveland"/>
    <m/>
    <s v="Detour_Virt1x1a"/>
    <s v="Big Thompson River"/>
  </r>
  <r>
    <s v="287C18"/>
    <x v="259"/>
    <s v="287H"/>
    <n v="18"/>
    <n v="332.613"/>
    <s v="US 287Z Loveland"/>
    <n v="334.053"/>
    <s v="US 34A Eisenhower Blvd Loveland"/>
    <m/>
    <s v="Detour_Virt1x1a"/>
    <m/>
  </r>
  <r>
    <s v="287C19"/>
    <x v="259"/>
    <s v="287H"/>
    <n v="19"/>
    <n v="334.053"/>
    <s v="US 34A Eisenhower Blvd Loveland"/>
    <n v="334.31200000000001"/>
    <s v="US 287Z Loveland"/>
    <m/>
    <s v="Detour_Virt1x1a"/>
    <m/>
  </r>
  <r>
    <s v="287C20"/>
    <x v="259"/>
    <s v="287H"/>
    <n v="20"/>
    <n v="334.31200000000001"/>
    <s v="US 287Z Loveland"/>
    <n v="339.12799999999999"/>
    <s v="SH 392A Carpenter Rd Fort Collins"/>
    <m/>
    <s v="Detour_Virt1x1a"/>
    <s v="Dry Creek"/>
  </r>
  <r>
    <s v="287C21"/>
    <x v="259"/>
    <s v="287I"/>
    <n v="21"/>
    <n v="339.12799999999999"/>
    <s v="SH 392A Carpenter Rd Fort Collins"/>
    <n v="346.87400000000002"/>
    <s v="SH 14C Jefferson St Fort Collins"/>
    <m/>
    <s v="Detour_Virt1x1a"/>
    <s v="Fossil Creek; Mail Creek; Spring Creek"/>
  </r>
  <r>
    <s v="287C22"/>
    <x v="259"/>
    <s v="287I"/>
    <n v="22"/>
    <n v="346.87400000000002"/>
    <s v="SH 14C Jefferson St Fort Collins"/>
    <n v="348.63499999999999"/>
    <s v="SH 1A Terry Lake Rd Fort Collins"/>
    <m/>
    <s v="Detour_Virt1x1a"/>
    <s v="Cache la Poudre River"/>
  </r>
  <r>
    <s v="287C23"/>
    <x v="259"/>
    <s v="287I"/>
    <n v="23"/>
    <n v="348.63499999999999"/>
    <s v="SH 1A Terry Lake Rd Fort Collins"/>
    <n v="355.85599999999999"/>
    <s v="SH 14B Ted's Place"/>
    <m/>
    <s v="Detour_Virt1x1a"/>
    <s v="Cache la Poudre River"/>
  </r>
  <r>
    <s v="287C24"/>
    <x v="259"/>
    <s v="287I"/>
    <n v="24"/>
    <n v="355.85599999999999"/>
    <s v="SH 14B Ted's Place"/>
    <n v="385.22300000000001"/>
    <s v="Wyoming state line"/>
    <m/>
    <s v="Detour_Virt1x1a"/>
    <s v="Stonewall Creek; Tenmile Creek; Deadman Creek; Dale Creek"/>
  </r>
  <r>
    <s v="287Z01"/>
    <x v="260"/>
    <m/>
    <n v="1"/>
    <n v="0"/>
    <s v="US 287C Loveland"/>
    <n v="0.30399999999999999"/>
    <s v="US 34A Eisenhower Blvd Loveland"/>
    <m/>
    <s v="Detour_Virt1x1a"/>
    <m/>
  </r>
  <r>
    <s v="287Z02"/>
    <x v="260"/>
    <m/>
    <n v="2"/>
    <n v="0.30399999999999999"/>
    <s v="US 34A Eisenhower Blvd Loveland"/>
    <n v="1.7629999999999999"/>
    <s v="US 287C Loveland"/>
    <m/>
    <s v="Detour_Virt1x1a"/>
    <m/>
  </r>
  <r>
    <s v="291A01"/>
    <x v="261"/>
    <m/>
    <n v="1"/>
    <n v="0"/>
    <s v="US 50A Salida"/>
    <n v="9.1349999999999998"/>
    <s v="US 285C NO Poncha Spgs"/>
    <m/>
    <s v="Detour_Intra02x6"/>
    <s v="Arkansas River"/>
  </r>
  <r>
    <s v="300A01"/>
    <x v="262"/>
    <m/>
    <n v="1"/>
    <n v="0"/>
    <s v="US 24A SWO Leadville"/>
    <n v="3.3559999999999999"/>
    <s v="ends at fish hatchery on Lake CR 5A"/>
    <s v="Spur - no detour possible"/>
    <s v="not created"/>
    <s v="Arkansas River; Lake Fork"/>
  </r>
  <r>
    <s v="317A01"/>
    <x v="263"/>
    <m/>
    <n v="1"/>
    <n v="0"/>
    <s v="SH 13A SO Craig"/>
    <n v="12.237"/>
    <s v="ends near Pagoda NO Flat Tops Wilderness"/>
    <s v="Spur - no detour possible"/>
    <s v="not created"/>
    <s v="Williams Fork Yampa River"/>
  </r>
  <r>
    <s v="318A01"/>
    <x v="264"/>
    <m/>
    <n v="1"/>
    <n v="0"/>
    <s v="starts at Utah state line"/>
    <n v="60.697000000000003"/>
    <s v="US 40A SEO Sunbeam"/>
    <s v="Spur - no detour possible"/>
    <s v="not created"/>
    <s v="Green River; Little Snake River; Yampa River"/>
  </r>
  <r>
    <s v="325A01"/>
    <x v="265"/>
    <m/>
    <n v="1"/>
    <n v="0"/>
    <s v="SH 13A Rifle"/>
    <n v="11.395"/>
    <s v="ends at Rifle Falls State Park"/>
    <s v="Spur - no detour possible"/>
    <s v="not created"/>
    <s v="Rifle Creek"/>
  </r>
  <r>
    <s v="330A01"/>
    <x v="266"/>
    <m/>
    <n v="1"/>
    <n v="0"/>
    <s v="SH 65A NO Mesa"/>
    <n v="11.395"/>
    <s v="ends at Mesa County 58.5 Rd Collbran"/>
    <s v="Spur - no detour possible"/>
    <s v="not created"/>
    <s v="Plateau Creek"/>
  </r>
  <r>
    <s v="340A01"/>
    <x v="267"/>
    <s v="340B"/>
    <n v="1"/>
    <n v="0"/>
    <s v="US 6A Fruita"/>
    <n v="0.50700000000000001"/>
    <s v="I-70A Fruita exit"/>
    <m/>
    <s v="Detour_Virt3x5"/>
    <m/>
  </r>
  <r>
    <s v="340A02"/>
    <x v="267"/>
    <s v="340C"/>
    <n v="2"/>
    <n v="0.50700000000000001"/>
    <s v="I-70A Fruita exit"/>
    <n v="13.340999999999999"/>
    <s v="I-70B &amp; Grand Ave"/>
    <s v="Dom by I-70A &amp; I-70B"/>
    <s v="Detour_Virt3x2"/>
    <s v="Colorado River"/>
  </r>
  <r>
    <s v="347A01"/>
    <x v="268"/>
    <m/>
    <n v="1"/>
    <n v="0"/>
    <s v="US 50A EO Montrose"/>
    <n v="5.2480000000000002"/>
    <s v="ends at entrance to Black Cyn of the Gunnison NP"/>
    <s v="Spur - no detour possible"/>
    <s v="not created"/>
    <s v="Gunnison River"/>
  </r>
  <r>
    <s v="348A01"/>
    <x v="269"/>
    <s v="348B"/>
    <n v="1"/>
    <n v="0"/>
    <s v="US 50A Delta"/>
    <n v="16.832000000000001"/>
    <s v="US 50D business Olathe"/>
    <s v="Dom by US 50A"/>
    <s v="Detour_Virt3x5"/>
    <s v="Uncompahgre River; Buttermilk Creek; Dry Creek"/>
  </r>
  <r>
    <s v="348A02"/>
    <x v="269"/>
    <s v="348C"/>
    <n v="2"/>
    <n v="16.832000000000001"/>
    <s v="US 50D business Olathe"/>
    <n v="17.059000000000001"/>
    <s v="US 50A Olathe"/>
    <m/>
    <s v="Detour_Virt3x5"/>
    <m/>
  </r>
  <r>
    <s v="350A01"/>
    <x v="270"/>
    <m/>
    <n v="1"/>
    <n v="0"/>
    <s v="US 160C Beshoar Jct NEO Trinidad"/>
    <n v="59.411999999999999"/>
    <s v="SH 71A NEO Timpas"/>
    <m/>
    <s v="Detour_Intra02x6"/>
    <s v="Purgatoire River; Timpas Creek"/>
  </r>
  <r>
    <s v="350A02"/>
    <x v="270"/>
    <m/>
    <n v="2"/>
    <n v="59.411999999999999"/>
    <s v="SH 71A NEO Timpas"/>
    <n v="72.718000000000004"/>
    <s v="US 50B La Junta"/>
    <m/>
    <s v="Detour_Intra02x6"/>
    <m/>
  </r>
  <r>
    <s v="368A01"/>
    <x v="271"/>
    <m/>
    <n v="1"/>
    <n v="0"/>
    <s v="SH 370A SEO Monte Vista"/>
    <n v="6.0220000000000002"/>
    <s v="SH 371A WO Estrella"/>
    <m/>
    <s v="Detour_Intra02x6"/>
    <m/>
  </r>
  <r>
    <s v="368A02"/>
    <x v="271"/>
    <m/>
    <n v="2"/>
    <n v="6.0220000000000002"/>
    <s v="SH 371A WO Estrella"/>
    <n v="12.329000000000001"/>
    <s v="US 285A Estrella"/>
    <m/>
    <s v="Detour_Intra02x6"/>
    <m/>
  </r>
  <r>
    <s v="370A01"/>
    <x v="272"/>
    <m/>
    <n v="1"/>
    <n v="0"/>
    <s v="SH 15A SO Monte Vista"/>
    <n v="3.996"/>
    <s v="SH 368A SEO Monte Vista"/>
    <m/>
    <s v="Detour_Intra02x6"/>
    <m/>
  </r>
  <r>
    <s v="370A02"/>
    <x v="272"/>
    <m/>
    <n v="2"/>
    <n v="3.996"/>
    <s v="SH 368A SEO Monte Vista"/>
    <n v="14.115"/>
    <s v="US 285A SO Alamosa"/>
    <m/>
    <s v="Detour_Intra02x6"/>
    <m/>
  </r>
  <r>
    <s v="371A01"/>
    <x v="273"/>
    <m/>
    <n v="1"/>
    <n v="0"/>
    <s v="SH 15B EO Capulin"/>
    <n v="6.0759999999999996"/>
    <s v="SH 368A WO Estrella"/>
    <m/>
    <s v="Detour_Intra02x6"/>
    <m/>
  </r>
  <r>
    <s v="385A01"/>
    <x v="274"/>
    <m/>
    <n v="1"/>
    <n v="95"/>
    <s v="US 50B Granada"/>
    <n v="122.879"/>
    <s v="SH 96D WO Sheridan Lake"/>
    <m/>
    <s v="Detour_Intra02x6"/>
    <s v="Wolf Creek; Arkansas River; Buffalo Creek"/>
  </r>
  <r>
    <s v="385B01"/>
    <x v="275"/>
    <m/>
    <n v="1"/>
    <n v="123.682"/>
    <s v="SH 96D Sheridan Lake"/>
    <n v="149.70099999999999"/>
    <s v="US 40H EO Cheyenne Wells"/>
    <m/>
    <s v="Detour_Intra02x6"/>
    <m/>
  </r>
  <r>
    <s v="385C01"/>
    <x v="276"/>
    <s v="385F"/>
    <n v="1"/>
    <n v="150.251"/>
    <s v="US 40H Cheyenne Wells"/>
    <n v="187.411"/>
    <s v="I-70A Burlington south exit"/>
    <m/>
    <s v="Detour_Virt3x5"/>
    <s v="Smoky Hill River"/>
  </r>
  <r>
    <s v="385C02"/>
    <x v="276"/>
    <s v="385F"/>
    <n v="2"/>
    <n v="187.411"/>
    <s v="I-70A Burlington south exit"/>
    <n v="187.886"/>
    <s v="US 24C Rose Ave &amp; Lincoln St"/>
    <m/>
    <s v="Detour_Virt3x5"/>
    <m/>
  </r>
  <r>
    <s v="385C03"/>
    <x v="276"/>
    <s v="385G"/>
    <n v="3"/>
    <n v="187.886"/>
    <s v="US 24C Rose Ave &amp; Lincoln St"/>
    <n v="188.85499999999999"/>
    <s v="US 24D Rose Ave &amp; 8th St"/>
    <m/>
    <s v="Detour_Virt3x5"/>
    <m/>
  </r>
  <r>
    <s v="385C04"/>
    <x v="276"/>
    <s v="385G"/>
    <n v="4"/>
    <n v="188.85499999999999"/>
    <s v="US 24D Rose Ave &amp; 8th St"/>
    <n v="216.86099999999999"/>
    <s v="US 36D EO Idalia"/>
    <m/>
    <s v="Detour_Virt3x5"/>
    <s v="Landsman Creek; South Fork Republican River "/>
  </r>
  <r>
    <s v="385D01"/>
    <x v="277"/>
    <m/>
    <n v="1"/>
    <n v="219.44800000000001"/>
    <s v="US 36D NEO Idalia"/>
    <n v="243.345"/>
    <s v="US 34B Wray"/>
    <m/>
    <s v="Detour_Intra02x6"/>
    <s v="Arikaree River; Sand Creek; Black Wolf Creek; North Fork Republican River"/>
  </r>
  <r>
    <s v="385D02"/>
    <x v="277"/>
    <m/>
    <n v="2"/>
    <n v="243.345"/>
    <s v="US 34B Wray"/>
    <n v="279.42399999999998"/>
    <s v="US 6J Holyoke"/>
    <m/>
    <s v="Detour_Intra02x6"/>
    <s v="North Fork Republican River"/>
  </r>
  <r>
    <s v="385D03"/>
    <x v="277"/>
    <m/>
    <n v="3"/>
    <n v="279.42399999999998"/>
    <s v="US 6J Holyoke"/>
    <n v="279.89299999999997"/>
    <s v="SH 23A Holyoke"/>
    <m/>
    <s v="Detour_Intra02x6"/>
    <m/>
  </r>
  <r>
    <s v="385D04"/>
    <x v="277"/>
    <m/>
    <n v="4"/>
    <n v="279.89299999999997"/>
    <s v="SH 23A Holyoke"/>
    <n v="309.15800000000002"/>
    <s v="I-76A Julesburg exit"/>
    <m/>
    <s v="Detour_Intra02x6"/>
    <m/>
  </r>
  <r>
    <s v="385D05"/>
    <x v="277"/>
    <m/>
    <n v="5"/>
    <n v="309.15800000000002"/>
    <s v="I-76A Julesburg exit"/>
    <n v="310.99599999999998"/>
    <s v="US 138A Julesburg"/>
    <m/>
    <s v="Detour_Intra02x6"/>
    <s v="South Platte River"/>
  </r>
  <r>
    <s v="385E01"/>
    <x v="278"/>
    <m/>
    <n v="1"/>
    <n v="313.84899999999999"/>
    <s v="US 138A WO Julesburg"/>
    <n v="317.63099999999997"/>
    <s v="Nebraska state line"/>
    <m/>
    <s v="Detour_OOS02"/>
    <s v="Lodgepole Creek"/>
  </r>
  <r>
    <s v="389A01"/>
    <x v="279"/>
    <m/>
    <n v="1"/>
    <n v="0"/>
    <s v="New Mexico state line"/>
    <n v="12.803000000000001"/>
    <s v="US 160C Walt's Corner NO Branson"/>
    <m/>
    <s v="Detour_OOS02"/>
    <m/>
  </r>
  <r>
    <s v="391A01"/>
    <x v="280"/>
    <s v="391B"/>
    <n v="1"/>
    <n v="0"/>
    <s v="US 285D Hampden Ave"/>
    <n v="0.98499999999999999"/>
    <s v="SH 8A Morrison Rd"/>
    <m/>
    <s v="Detour_Virt3x5"/>
    <s v="Bear Creek"/>
  </r>
  <r>
    <s v="391A02"/>
    <x v="280"/>
    <s v="391B"/>
    <n v="2"/>
    <n v="0.98499999999999999"/>
    <s v="SH 8A Morrison Rd"/>
    <n v="5.24"/>
    <s v="US 6G 6th Ave Fwy"/>
    <m/>
    <s v="Detour_Virt3x5"/>
    <m/>
  </r>
  <r>
    <s v="391A03"/>
    <x v="280"/>
    <s v="391B"/>
    <n v="3"/>
    <n v="5.24"/>
    <s v="US 6G 6th Ave Fwy"/>
    <n v="6.2679999999999998"/>
    <s v="US 40C Colfax Ave"/>
    <m/>
    <s v="Detour_Virt3x5"/>
    <s v="Lakewood Gulch"/>
  </r>
  <r>
    <s v="391A04"/>
    <x v="280"/>
    <s v="391C"/>
    <n v="4"/>
    <n v="6.2679999999999998"/>
    <s v="US 40C Colfax Ave"/>
    <n v="9.641"/>
    <s v="I-70A"/>
    <m/>
    <s v="Detour_Virt3x5"/>
    <s v="Clear Creek"/>
  </r>
  <r>
    <s v="392A01"/>
    <x v="281"/>
    <m/>
    <n v="1"/>
    <n v="95.305000000000007"/>
    <s v="US 287C &amp; Carpenter Rd Fort Collins"/>
    <n v="100"/>
    <s v="I-25A"/>
    <m/>
    <s v="Detour_Intra02x6"/>
    <s v="Fossil Creek"/>
  </r>
  <r>
    <s v="392A02"/>
    <x v="281"/>
    <m/>
    <n v="2"/>
    <n v="100"/>
    <s v="I-25A"/>
    <n v="104.455"/>
    <s v="SH 257A Windsor"/>
    <m/>
    <s v="Detour_Intra02x6"/>
    <s v="Cache la Poudre River"/>
  </r>
  <r>
    <s v="392B01"/>
    <x v="282"/>
    <m/>
    <n v="1"/>
    <n v="105.43899999999999"/>
    <s v="SH 257A Windsor"/>
    <n v="115.4"/>
    <s v="US 85L Lucerne"/>
    <m/>
    <s v="Detour_Intra02x6"/>
    <s v="Graham Seep"/>
  </r>
  <r>
    <s v="392B02"/>
    <x v="282"/>
    <m/>
    <n v="2"/>
    <n v="115.4"/>
    <s v="US 85L Lucerne"/>
    <n v="141.583"/>
    <s v="SH 14C Briggsdale"/>
    <m/>
    <s v="Detour_Intra02x6"/>
    <s v="Sand Creek; Lone Tree Creek; Crow Creek"/>
  </r>
  <r>
    <s v="394A01"/>
    <x v="283"/>
    <m/>
    <n v="1"/>
    <n v="0"/>
    <s v="US 40Z Victory Way Craig"/>
    <n v="0.123"/>
    <s v="US 40A 4th St Craig"/>
    <m/>
    <s v="Detour_Intra03x1"/>
    <m/>
  </r>
  <r>
    <s v="394A02"/>
    <x v="283"/>
    <m/>
    <n v="2"/>
    <n v="0.123"/>
    <s v="US 40A 4th St Craig"/>
    <n v="9.3780000000000001"/>
    <s v="ends at Moffat-Routt county line past Craig-Moffat Airport"/>
    <s v="Spur - no detour possible"/>
    <s v="Detour_Intra03x1"/>
    <s v="Yampa River"/>
  </r>
  <r>
    <s v="402A01"/>
    <x v="284"/>
    <m/>
    <n v="1"/>
    <n v="0"/>
    <s v="US 287C &amp; 14th St SE Loveland"/>
    <n v="4.306"/>
    <s v="I-25A"/>
    <m/>
    <s v="Detour_Intra02x6"/>
    <s v="Big Thompson River"/>
  </r>
  <r>
    <s v="470A01"/>
    <x v="285"/>
    <s v="470C"/>
    <n v="1"/>
    <n v="0"/>
    <s v="I-70A C-470W"/>
    <n v="4.2480000000000002"/>
    <s v="SH 8A Morrison"/>
    <m/>
    <s v="Detour_Virt3x5"/>
    <m/>
  </r>
  <r>
    <s v="470A02"/>
    <x v="285"/>
    <s v="470C"/>
    <n v="2"/>
    <n v="4.2480000000000002"/>
    <s v="SH 8A Morrison"/>
    <n v="5.6950000000000003"/>
    <s v="US 285D"/>
    <m/>
    <s v="Detour_Virt3x5"/>
    <s v="Bear Creek; Turkey Creek"/>
  </r>
  <r>
    <s v="470A03"/>
    <x v="285"/>
    <s v="470C"/>
    <n v="3"/>
    <n v="5.6950000000000003"/>
    <s v="US 285D"/>
    <n v="13.901999999999999"/>
    <s v="SH 121A SH 121B Wadsworth Blvd"/>
    <m/>
    <s v="Detour_Virt3x5"/>
    <s v="Turkey Creek"/>
  </r>
  <r>
    <s v="470A04"/>
    <x v="285"/>
    <s v="470C"/>
    <n v="4"/>
    <n v="13.901999999999999"/>
    <s v="SH 121A SH 121B Wadsworth Blvd"/>
    <n v="15.443"/>
    <s v="SH 75B WB ramps Platte Cyn Rd"/>
    <m/>
    <s v="Detour_Virt3x5"/>
    <s v="Chatfield Reservoir"/>
  </r>
  <r>
    <s v="470A05"/>
    <x v="285"/>
    <s v="470C"/>
    <n v="5"/>
    <n v="15.443"/>
    <s v="SH 75B WB ramps Platte Cyn Rd"/>
    <n v="17.05"/>
    <s v="US 85B Santa Fe Dr"/>
    <m/>
    <s v="Detour_Virt3x5"/>
    <s v="South Platte River"/>
  </r>
  <r>
    <s v="470A06"/>
    <x v="285"/>
    <s v="470C"/>
    <n v="6"/>
    <n v="17.05"/>
    <s v="US 85B Santa Fe Dr"/>
    <n v="21.068999999999999"/>
    <s v="SH 177A University Blvd"/>
    <m/>
    <s v="Detour_Virt3x5"/>
    <m/>
  </r>
  <r>
    <s v="470A07"/>
    <x v="285"/>
    <s v="470C"/>
    <n v="7"/>
    <n v="21.068999999999999"/>
    <s v="SH 177A University Blvd"/>
    <n v="26.195"/>
    <s v="I-25A E-470B"/>
    <m/>
    <s v="Detour_Virt3x5"/>
    <s v="Willow Creek"/>
  </r>
  <r>
    <s v="470B01"/>
    <x v="286"/>
    <m/>
    <n v="1"/>
    <n v="0"/>
    <s v="I-25A C-470A"/>
    <n v="5.1749999999999998"/>
    <s v="SH 83A Parker Rd"/>
    <m/>
    <s v="Detour_Intra02x6"/>
    <s v="Cherry Creek"/>
  </r>
  <r>
    <s v="470B02"/>
    <x v="286"/>
    <m/>
    <n v="2"/>
    <n v="5.1749999999999998"/>
    <s v="SH 83A Parker Rd"/>
    <n v="13.352"/>
    <s v="to SH 30A Gun Club Rd at Quincy"/>
    <m/>
    <s v="Detour_Intra02x6"/>
    <m/>
  </r>
  <r>
    <s v="470B03"/>
    <x v="286"/>
    <m/>
    <n v="3"/>
    <n v="13.352"/>
    <s v="to SH 30A Gun Club Rd at Quincy"/>
    <n v="16.350000000000001"/>
    <s v="to SH 30A Gun Club Rd at Jewell"/>
    <m/>
    <s v="Detour_Intra02x6"/>
    <m/>
  </r>
  <r>
    <s v="470B04"/>
    <x v="286"/>
    <m/>
    <n v="4"/>
    <n v="16.350000000000001"/>
    <s v="to SH 30A Gun Club Rd at Jewell"/>
    <n v="20.547000000000001"/>
    <s v="I-70A"/>
    <m/>
    <s v="Detour_Intra02x6"/>
    <m/>
  </r>
  <r>
    <s v="470B05"/>
    <x v="286"/>
    <m/>
    <n v="5"/>
    <n v="20.547000000000001"/>
    <s v="I-70A"/>
    <n v="35.491"/>
    <s v="I-76A"/>
    <m/>
    <s v="Detour_Intra02x6"/>
    <s v="Second Creek; Third Creek"/>
  </r>
  <r>
    <s v="470B06"/>
    <x v="286"/>
    <m/>
    <n v="6"/>
    <n v="35.491"/>
    <s v="I-76A"/>
    <n v="37.83"/>
    <s v="US 85C"/>
    <m/>
    <s v="Detour_Intra02x6"/>
    <m/>
  </r>
  <r>
    <s v="470B07"/>
    <x v="286"/>
    <m/>
    <n v="7"/>
    <n v="37.83"/>
    <s v="US 85C"/>
    <n v="46.398000000000003"/>
    <s v="I-25A SH 470N Northwest Pkwy"/>
    <m/>
    <s v="Detour_Intra02x6"/>
    <s v="South Platte River; Big Dry Creek"/>
  </r>
  <r>
    <s v="470N01"/>
    <x v="287"/>
    <m/>
    <n v="1"/>
    <n v="46.398000000000003"/>
    <s v="I-25A E-470B"/>
    <n v="52.36"/>
    <s v="US 287C"/>
    <m/>
    <s v="Detour_Intra02x6"/>
    <s v="Rock Creek"/>
  </r>
  <r>
    <s v="470N02"/>
    <x v="287"/>
    <m/>
    <n v="2"/>
    <n v="52.36"/>
    <s v="US 287C"/>
    <n v="54.45"/>
    <s v="ends at 96th St &amp; Via Varra"/>
    <s v="Added about 1 mi of 96th St as &quot;within interchange&quot; to reach US 36B"/>
    <s v="Detour_Intra02x6"/>
    <s v="Rock Creek [at 96th St]"/>
  </r>
  <r>
    <s v="470W01"/>
    <x v="288"/>
    <s v="470C"/>
    <n v="1"/>
    <n v="0"/>
    <s v="I-70A C-470A"/>
    <n v="1.212"/>
    <s v="US 6G near JeffCo Govt Ctr Stn"/>
    <m/>
    <s v="Detour_Virt3x5"/>
    <s v="Lena Gulch"/>
  </r>
  <r>
    <s v="491A01"/>
    <x v="289"/>
    <m/>
    <n v="1"/>
    <n v="0"/>
    <s v="New Mexico state line"/>
    <n v="6.4219999999999997"/>
    <s v="US 160A SO Towaoc"/>
    <m/>
    <s v="Detour_OOS01"/>
    <s v="Mancos River"/>
  </r>
  <r>
    <s v="491B01"/>
    <x v="290"/>
    <m/>
    <n v="1"/>
    <n v="26.216999999999999"/>
    <s v="US 160A Cortez"/>
    <n v="26.718"/>
    <s v="US 491C Cortez"/>
    <m/>
    <s v="Detour_OOS01"/>
    <m/>
  </r>
  <r>
    <s v="491B02"/>
    <x v="290"/>
    <m/>
    <n v="2"/>
    <n v="26.718"/>
    <s v="US 491C Cortez"/>
    <n v="36.801000000000002"/>
    <s v="SH 184A SO Lewis"/>
    <m/>
    <s v="Detour_OOS01"/>
    <m/>
  </r>
  <r>
    <s v="491B03"/>
    <x v="290"/>
    <m/>
    <n v="3"/>
    <n v="36.801000000000002"/>
    <s v="SH 184A SO Lewis"/>
    <n v="63.271999999999998"/>
    <s v="SH 141A WO Dove Creek"/>
    <m/>
    <s v="Detour_OOS01"/>
    <m/>
  </r>
  <r>
    <s v="491B04"/>
    <x v="290"/>
    <m/>
    <n v="4"/>
    <n v="63.271999999999998"/>
    <s v="SH 141A WO Dove Creek"/>
    <n v="69.602000000000004"/>
    <s v="Utah state line"/>
    <m/>
    <s v="Detour_OOS01"/>
    <m/>
  </r>
  <r>
    <s v="491C01"/>
    <x v="291"/>
    <m/>
    <n v="1"/>
    <n v="0"/>
    <s v="US 160A &amp; Elm St Cortez"/>
    <n v="0.24199999999999999"/>
    <s v="US 491B &amp; Arbecam Ave Cortez"/>
    <m/>
    <s v="Detour_Intra02x6"/>
    <m/>
  </r>
  <r>
    <s v="550A01"/>
    <x v="292"/>
    <m/>
    <n v="1"/>
    <n v="0"/>
    <s v="New Mexico state line"/>
    <n v="16.561"/>
    <s v="US 160A WO Wilson Gulch Dr rab"/>
    <m/>
    <s v="Detour_OOS01"/>
    <s v="Animas River; Florida River"/>
  </r>
  <r>
    <s v="550B01"/>
    <x v="293"/>
    <m/>
    <n v="1"/>
    <n v="20.916"/>
    <s v="US 160A Durango"/>
    <n v="70.370999999999995"/>
    <s v="SH 110A Silverton"/>
    <m/>
    <s v="Detour_Intra01"/>
    <s v="Animas River"/>
  </r>
  <r>
    <s v="550B02"/>
    <x v="293"/>
    <m/>
    <n v="2"/>
    <n v="70.370999999999995"/>
    <s v="SH 110A Silverton"/>
    <n v="103.702"/>
    <s v="SH 62A Ridgway"/>
    <m/>
    <s v="Detour_Intra01"/>
    <s v="Mineral Creek; Red Mountain Creek; Uncompahgre River"/>
  </r>
  <r>
    <s v="550B03"/>
    <x v="293"/>
    <m/>
    <n v="3"/>
    <n v="103.702"/>
    <s v="SH 62A Ridgway"/>
    <n v="129.25700000000001"/>
    <s v="SH 90B Main St Montrose"/>
    <m/>
    <s v="Detour_Intra01"/>
    <s v="Uncompahgre River"/>
  </r>
  <r>
    <s v="550B04"/>
    <x v="293"/>
    <m/>
    <n v="4"/>
    <n v="129.25700000000001"/>
    <s v="SH 90B Main St Montrose"/>
    <n v="130.21899999999999"/>
    <s v="US 50A San Juan Ave Montrose"/>
    <m/>
    <s v="Detour_Intra01"/>
    <s v="Uncompahgre River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3">
  <r>
    <m/>
    <s v="lc15"/>
    <m/>
    <s v="15th Ave near Bennett"/>
    <s v="I-70A EB off ramp WB on ramp"/>
    <s v="I-70A WB off ramp SH 36D"/>
    <n v="0.504"/>
    <s v="70A"/>
    <n v="306"/>
    <s v="US 40???"/>
    <s v="36D"/>
    <n v="1"/>
    <x v="0"/>
  </r>
  <r>
    <m/>
    <s v="lc3J"/>
    <m/>
    <s v="3rd St La Junta"/>
    <s v="US 50B at Hayes Ave"/>
    <s v="Barnes Ave La Junta"/>
    <n v="0.13500000000000001"/>
    <m/>
    <m/>
    <s v="350A"/>
    <s v="50B, 350A"/>
    <n v="2"/>
    <x v="1"/>
  </r>
  <r>
    <m/>
    <s v="lc44"/>
    <m/>
    <s v="44th Ave Wheat Ridge"/>
    <s v="SH 72A MP 0 Ward Rd"/>
    <s v="I-70A EB ramps"/>
    <n v="9.4E-2"/>
    <s v="70A"/>
    <n v="266"/>
    <s v="SH 58"/>
    <s v="72A"/>
    <n v="1"/>
    <x v="2"/>
  </r>
  <r>
    <m/>
    <s v="lc48"/>
    <m/>
    <s v="48th Ave Denver"/>
    <s v="Harlan St (I-70A exit 270)"/>
    <s v="SH 95A Sheridan Blvd"/>
    <n v="0.499"/>
    <s v="70A"/>
    <s v="270, 271A"/>
    <m/>
    <s v="95A"/>
    <n v="1"/>
    <x v="3"/>
  </r>
  <r>
    <m/>
    <s v="lc5J"/>
    <m/>
    <s v="5th St La Junta"/>
    <s v="US 350A Grant Ave (modeled at Belmont Ave)"/>
    <s v="Barnes Ave La Junta"/>
    <n v="6.4000000000000001E-2"/>
    <m/>
    <m/>
    <s v="350A"/>
    <s v="50B, 350A"/>
    <n v="2"/>
    <x v="1"/>
  </r>
  <r>
    <m/>
    <s v="lc6D"/>
    <m/>
    <s v="6th Ave South Frontage Rd Denver"/>
    <s v="Raritan Waty"/>
    <s v="Osage St Seminole Rd"/>
    <n v="0.19400000000000001"/>
    <m/>
    <m/>
    <m/>
    <s v="6G, 25A"/>
    <n v="1"/>
    <x v="4"/>
  </r>
  <r>
    <m/>
    <s v="lc8D"/>
    <m/>
    <s v="8th Ave Denver"/>
    <s v="Zuni St"/>
    <s v="Wyandot St"/>
    <n v="0.105"/>
    <s v="25A"/>
    <s v="209C"/>
    <s v="US 6"/>
    <m/>
    <n v="1"/>
    <x v="5"/>
  </r>
  <r>
    <m/>
    <s v="lc8G"/>
    <m/>
    <s v="8th Ave Greeley"/>
    <s v="US 85C SB ramps"/>
    <s v="US 34A WB Canal Rd US 34A EB ramp off"/>
    <n v="0.191"/>
    <s v="34A"/>
    <s v="(112-113)"/>
    <s v="US 85?"/>
    <s v="85C, 85G"/>
    <n v="4"/>
    <x v="6"/>
  </r>
  <r>
    <m/>
    <s v="lc96"/>
    <m/>
    <s v="96th St Boulder Interlocken Loop"/>
    <s v="US 36B WB ramps"/>
    <s v="Northwest Pkwy (470N) max MP 96th St Boulder Via Varra"/>
    <n v="0.96199999999999997"/>
    <s v="36B"/>
    <s v="(45-46)"/>
    <m/>
    <s v="470N"/>
    <n v="1"/>
    <x v="7"/>
  </r>
  <r>
    <m/>
    <s v="lcAl"/>
    <m/>
    <s v="Alameda Ave Denver"/>
    <s v="Kalamath St SH 28B east end"/>
    <s v="Santa Fe Dr"/>
    <n v="6.5000000000000002E-2"/>
    <s v="25A"/>
    <s v="207B, 208"/>
    <s v="SH 8"/>
    <s v="26B, 85B"/>
    <n v="1"/>
    <x v="8"/>
  </r>
  <r>
    <m/>
    <s v="lcAr"/>
    <m/>
    <s v="Arapahoe Rd Aurora/Foxfield"/>
    <s v="ramps to SH 83A NB"/>
    <s v="Lewiston Way Outer NB SH 83A ramps"/>
    <n v="0.20200000000000001"/>
    <s v="83A"/>
    <s v="(65-66)"/>
    <m/>
    <s v="88B"/>
    <n v="1"/>
    <x v="9"/>
  </r>
  <r>
    <m/>
    <s v="lcAv"/>
    <m/>
    <s v="Avon Rd"/>
    <s v="US 6E &amp; Village Rd"/>
    <s v="Nottingham Rd SEBR to I-70A WB"/>
    <n v="0.56799999999999995"/>
    <s v="70A"/>
    <n v="167"/>
    <s v="70H"/>
    <s v="6E, 70A"/>
    <n v="3"/>
    <x v="10"/>
  </r>
  <r>
    <m/>
    <s v="lcBC"/>
    <m/>
    <s v="B St Colorado Spgs"/>
    <s v="SBR (porkchop) ramp from Venetucci Blvd"/>
    <s v="US 85A Venetucci Blvd"/>
    <n v="6.5000000000000002E-2"/>
    <m/>
    <m/>
    <m/>
    <s v="85A"/>
    <n v="2"/>
    <x v="11"/>
  </r>
  <r>
    <m/>
    <s v="lcBa"/>
    <m/>
    <s v="Barnes Ave La Junta (US 350A uses Grant Ave)"/>
    <s v="5th St La Junta"/>
    <s v="3rd St La Junta"/>
    <n v="0.13600000000000001"/>
    <s v="50B"/>
    <s v="(378-379)"/>
    <s v="350A"/>
    <s v="350A"/>
    <n v="2"/>
    <x v="1"/>
  </r>
  <r>
    <m/>
    <s v="lcBa"/>
    <m/>
    <s v="Barnes Ave La Junta (US 350A uses Grant Ave)"/>
    <s v="3rd St La Junta"/>
    <s v="US 50B 1st St La Junta"/>
    <n v="9.7000000000000003E-2"/>
    <s v="50B"/>
    <s v="(378-379)"/>
    <s v="350A"/>
    <s v="350A"/>
    <n v="2"/>
    <x v="1"/>
  </r>
  <r>
    <m/>
    <s v="lcBw"/>
    <m/>
    <s v="Broadway Denver"/>
    <s v="Kentucky Ave NBR on ramp to I-25A SEB"/>
    <s v="Ohio Ave"/>
    <n v="0.13"/>
    <s v="25A"/>
    <s v="207A"/>
    <s v="US 85?"/>
    <m/>
    <n v="1"/>
    <x v="8"/>
  </r>
  <r>
    <m/>
    <s v="lcCV"/>
    <m/>
    <s v="Castle Valley Blvd New Castle"/>
    <s v="I-70A EB ramps"/>
    <s v="US 6D"/>
    <n v="0.19400000000000001"/>
    <s v="70A"/>
    <n v="105"/>
    <m/>
    <s v="6D"/>
    <n v="3"/>
    <x v="12"/>
  </r>
  <r>
    <m/>
    <s v="lcCD"/>
    <m/>
    <s v="Cedar Ave Denver"/>
    <s v="Kalamath St (to I-25A NB on ramp)"/>
    <s v="Santa Fe Dr"/>
    <n v="0.06"/>
    <s v="25A"/>
    <s v="207B, 208"/>
    <m/>
    <s v="26B, 85B"/>
    <n v="1"/>
    <x v="8"/>
  </r>
  <r>
    <m/>
    <s v="lcCR"/>
    <m/>
    <s v="Centennial Pkwy Rifle"/>
    <s v="US 6L &amp; SH 13A"/>
    <s v="Railroad Ave"/>
    <n v="0.755"/>
    <m/>
    <m/>
    <s v="6D"/>
    <s v="6L, 13A"/>
    <n v="3"/>
    <x v="13"/>
  </r>
  <r>
    <m/>
    <s v="lcCR"/>
    <m/>
    <s v="Centennial Pkwy Rifle"/>
    <s v="Railroad Ave"/>
    <s v="Whiteriver Ave"/>
    <n v="0.13100000000000001"/>
    <m/>
    <m/>
    <s v="6D"/>
    <s v="13C, 70A"/>
    <n v="3"/>
    <x v="13"/>
  </r>
  <r>
    <m/>
    <s v="lcCR"/>
    <m/>
    <s v="Centennial Pkwy Rifle"/>
    <s v="Whitewater Ave"/>
    <s v="US 6D near continuation of Clarkson Ave"/>
    <n v="0.14699999999999999"/>
    <m/>
    <m/>
    <s v="6D"/>
    <s v="6D"/>
    <n v="3"/>
    <x v="13"/>
  </r>
  <r>
    <m/>
    <s v="lcCT"/>
    <m/>
    <s v="Conifer Town Centre Dr"/>
    <s v="US 285B SB ramps"/>
    <s v="Main St Conifer"/>
    <n v="0.106"/>
    <s v="285D"/>
    <s v="(236-237)"/>
    <m/>
    <m/>
    <n v="1"/>
    <x v="14"/>
  </r>
  <r>
    <m/>
    <s v="lcRi"/>
    <m/>
    <s v="connector: Railroad Ave to Taugenbaugh Blvd"/>
    <s v="I-70A WB ramps"/>
    <s v="Whiteriver Ave"/>
    <n v="0.35"/>
    <m/>
    <m/>
    <n v="13"/>
    <s v="70A"/>
    <n v="3"/>
    <x v="13"/>
  </r>
  <r>
    <m/>
    <s v="lcRi"/>
    <m/>
    <s v="connector: Railroad Ave to Taugenbaugh Blvd"/>
    <s v="Whiteriver Ave"/>
    <s v="Centennial Parkway Rifle"/>
    <n v="0.13100000000000001"/>
    <m/>
    <m/>
    <n v="13"/>
    <s v="6D"/>
    <n v="3"/>
    <x v="13"/>
  </r>
  <r>
    <m/>
    <s v="lcDW"/>
    <m/>
    <s v="Denver West Colorado Mills Pkwy"/>
    <s v="I-70A"/>
    <s v="US 40C Colfax Ave"/>
    <n v="0.187"/>
    <s v="70A"/>
    <n v="263"/>
    <m/>
    <s v="40C"/>
    <n v="1"/>
    <x v="2"/>
  </r>
  <r>
    <m/>
    <s v="lc47"/>
    <m/>
    <s v="E-470 access road"/>
    <s v="US 85C"/>
    <s v="E-470B ramps"/>
    <n v="0.92200000000000004"/>
    <s v="470B"/>
    <n v="38"/>
    <m/>
    <s v="85C, 22A"/>
    <n v="1"/>
    <x v="15"/>
  </r>
  <r>
    <m/>
    <s v="lcX6"/>
    <m/>
    <s v="Exit 6 Rd in Coalbank Cyn"/>
    <s v="cc near I-25A West Frontage Rd"/>
    <s v="bridge over Raton Creek to Fisher Peak Pkwy"/>
    <n v="0.13900000000000001"/>
    <s v="25A"/>
    <n v="6"/>
    <m/>
    <m/>
    <n v="2"/>
    <x v="16"/>
  </r>
  <r>
    <m/>
    <s v="lcX8"/>
    <m/>
    <s v="Exit Rd 8 Crazy French Ranch"/>
    <s v="I-25A SB ramps"/>
    <s v="I-25A NB ramps via Fisher Peak State Park Office"/>
    <n v="0.29799999999999999"/>
    <s v="25A"/>
    <n v="8"/>
    <m/>
    <m/>
    <n v="2"/>
    <x v="17"/>
  </r>
  <r>
    <m/>
    <s v="lcPa"/>
    <m/>
    <s v="Garfield CR 215"/>
    <s v="I-70A EB ramps"/>
    <s v="US 6M First St Parachute I-70 Frontage Rd"/>
    <n v="0.151"/>
    <s v="70A"/>
    <n v="75"/>
    <m/>
    <s v="6M"/>
    <n v="3"/>
    <x v="18"/>
  </r>
  <r>
    <m/>
    <s v="lcRu"/>
    <m/>
    <s v="Garfield CR 323"/>
    <s v="US 6M Frontage Rd"/>
    <s v="I-70A WB ramps Rulison"/>
    <n v="0.161"/>
    <s v="70A"/>
    <n v="81"/>
    <m/>
    <s v="6M"/>
    <n v="3"/>
    <x v="19"/>
  </r>
  <r>
    <m/>
    <s v="lcGr"/>
    <m/>
    <s v="Grapevine Rd"/>
    <s v="I-70A WB Lookout Mountain ramps"/>
    <s v="US 40C near Paradise Hills PnR"/>
    <n v="2.4E-2"/>
    <s v="70A"/>
    <n v="256"/>
    <m/>
    <s v="40C"/>
    <n v="1"/>
    <x v="20"/>
  </r>
  <r>
    <m/>
    <s v="lcGC"/>
    <m/>
    <s v="Gun Club Rd"/>
    <s v="E-470B NB off ramp SB on ramp I-70A South Frontage Rd"/>
    <s v="E-470B NB on ramp SB off ramp 19th Ave Aurora"/>
    <n v="0.32900000000000001"/>
    <s v="470B"/>
    <s v="20, 20A"/>
    <s v="E-470B"/>
    <s v="70A"/>
    <n v="1"/>
    <x v="21"/>
  </r>
  <r>
    <m/>
    <s v="lcHo"/>
    <m/>
    <s v="Homestead Rd"/>
    <s v="I-70A WB Floyd Hill Hyland Hills on ramp"/>
    <s v="US 40B"/>
    <n v="1.6E-2"/>
    <s v="70A"/>
    <n v="247"/>
    <m/>
    <s v="40B"/>
    <n v="1"/>
    <x v="22"/>
  </r>
  <r>
    <m/>
    <s v="lc25"/>
    <m/>
    <s v="I-25A East Frontage Rd"/>
    <s v="SH 60B Weld CR 48"/>
    <s v="SH 60A Weld CR 50"/>
    <n v="0.96099999999999997"/>
    <s v="25A"/>
    <n v="252"/>
    <s v="SH 60???"/>
    <s v="60A, 60B"/>
    <n v="4"/>
    <x v="23"/>
  </r>
  <r>
    <m/>
    <s v="lc76"/>
    <m/>
    <s v="I-76A North Frontage Rd (Morgan CR Q)"/>
    <s v="SH 144A MP 0 Morgan CR 1"/>
    <s v="Morgan CR 3.00 and US 6I"/>
    <n v="2.0009999999999999"/>
    <s v="76A"/>
    <n v="64"/>
    <s v="US 6?"/>
    <s v="6I"/>
    <n v="4"/>
    <x v="24"/>
  </r>
  <r>
    <m/>
    <s v="lcPu"/>
    <m/>
    <s v="Ilex St Pueblo (realigned to D St by 2018)"/>
    <s v="US 50C Santa Fe Ave"/>
    <s v="Runyon Field"/>
    <n v="0.17699999999999999"/>
    <s v="25A"/>
    <s v="98A"/>
    <m/>
    <s v="50C"/>
    <n v="2"/>
    <x v="25"/>
  </r>
  <r>
    <m/>
    <s v="lcBB"/>
    <m/>
    <s v="Jefferson CR 65"/>
    <s v="I-70A Beaver Brook exit"/>
    <s v="US 40B near Beaver Brook P&amp;R"/>
    <n v="9.2999999999999999E-2"/>
    <s v="70A"/>
    <n v="248"/>
    <m/>
    <s v="40B"/>
    <n v="1"/>
    <x v="22"/>
  </r>
  <r>
    <m/>
    <s v="lcJu"/>
    <m/>
    <s v="Jefferson CR 93"/>
    <s v="NBR on ramp to I-70A EB near Stegasaurus Lot"/>
    <s v="US 40C near T-Rex Lot"/>
    <n v="0.253"/>
    <s v="70A"/>
    <n v="259"/>
    <s v="SH 26/93"/>
    <s v="40C"/>
    <n v="1"/>
    <x v="20"/>
  </r>
  <r>
    <m/>
    <s v="lcJe"/>
    <m/>
    <s v="Jewell Ave"/>
    <s v="E-470B NB ramps"/>
    <s v="SH 30A Gun Club Rd"/>
    <n v="0.48599999999999999"/>
    <s v="470B"/>
    <n v="16"/>
    <m/>
    <s v="30A"/>
    <n v="1"/>
    <x v="21"/>
  </r>
  <r>
    <m/>
    <s v="lcKa"/>
    <m/>
    <s v="Kalamath St Denver"/>
    <s v="US 85B north end Frontage Rd"/>
    <s v="Alameda Ave"/>
    <n v="0.17499999999999999"/>
    <s v="25A"/>
    <s v="207B, 208"/>
    <s v="US 85?"/>
    <s v="26B, 85B"/>
    <n v="1"/>
    <x v="8"/>
  </r>
  <r>
    <m/>
    <s v="lcKa"/>
    <m/>
    <s v="Kalamath St Denver"/>
    <s v="Alameda Ave"/>
    <s v="Cedar Ave Denver"/>
    <n v="0.152"/>
    <s v="25A"/>
    <s v="207B, 208"/>
    <m/>
    <s v="26B, 85B"/>
    <n v="1"/>
    <x v="8"/>
  </r>
  <r>
    <m/>
    <s v="lcBe"/>
    <m/>
    <s v="Kit Carson CR 40"/>
    <s v="I-70A EB ramps at Bethune exit"/>
    <s v="US 24C SO RR tracks from Bethune"/>
    <n v="0.55800000000000005"/>
    <s v="70A"/>
    <n v="429"/>
    <m/>
    <s v="24C"/>
    <n v="4"/>
    <x v="26"/>
  </r>
  <r>
    <m/>
    <s v="lcMC"/>
    <m/>
    <s v="Main St Conifer"/>
    <s v="Conifer Town Centre Dr"/>
    <s v="Light Ln (to US 285D NB ramps)"/>
    <n v="0.06"/>
    <s v="285D"/>
    <s v="(236-237)"/>
    <m/>
    <m/>
    <n v="1"/>
    <x v="14"/>
  </r>
  <r>
    <m/>
    <s v="lcOh"/>
    <m/>
    <s v="Ohio Ave Denver"/>
    <s v="Broadway Denver"/>
    <s v="I-25A NBR off ramp"/>
    <n v="0.10199999999999999"/>
    <s v="25A"/>
    <s v="207A"/>
    <m/>
    <m/>
    <n v="1"/>
    <x v="8"/>
  </r>
  <r>
    <m/>
    <s v="lcPG"/>
    <m/>
    <s v="Parmalee Gulch Rd"/>
    <s v="flyover ramp to US 285D NEB"/>
    <s v="US 285D"/>
    <n v="0.14899999999999999"/>
    <s v="285D"/>
    <s v="(245-247)"/>
    <m/>
    <m/>
    <n v="1"/>
    <x v="27"/>
  </r>
  <r>
    <m/>
    <s v="lcPC"/>
    <m/>
    <s v="Peoria Crossing Rd"/>
    <s v="I-70A South Frontage Rd"/>
    <s v="I-70A EB ramps"/>
    <n v="1.2999999999999999E-2"/>
    <s v="70A"/>
    <n v="322"/>
    <s v="US 40"/>
    <s v="40E"/>
    <n v="1"/>
    <x v="28"/>
  </r>
  <r>
    <m/>
    <s v="lcQC"/>
    <m/>
    <s v="Quincy Ave"/>
    <s v="C-470A SEB ramps"/>
    <s v="C-470A NWB ramps"/>
    <n v="0.40100000000000002"/>
    <s v="470A"/>
    <n v="6"/>
    <m/>
    <s v="285D"/>
    <n v="1"/>
    <x v="29"/>
  </r>
  <r>
    <m/>
    <s v="lcQE"/>
    <m/>
    <s v="Quincy Ave"/>
    <s v="E-470B NB ramps"/>
    <s v="SH 30A Gun Club Rd"/>
    <n v="8.5000000000000006E-2"/>
    <s v="470B"/>
    <n v="13"/>
    <s v="SH 88 until 1954"/>
    <s v="30A"/>
    <n v="1"/>
    <x v="21"/>
  </r>
  <r>
    <m/>
    <s v="lcRo"/>
    <m/>
    <s v="Roselawn Rd"/>
    <s v="US 50C EB ramps"/>
    <s v="SH 227A MP 0 near Socorro Pl"/>
    <n v="0.106"/>
    <s v="50C"/>
    <s v="(2-3)"/>
    <m/>
    <s v="227A"/>
    <n v="2"/>
    <x v="30"/>
  </r>
  <r>
    <m/>
    <s v="lcSF"/>
    <m/>
    <s v="Santa Fe Dr Denver"/>
    <s v="US 85B north end Frontage Rd"/>
    <s v="Alameda Ave"/>
    <n v="0.14199999999999999"/>
    <s v="25A"/>
    <s v="207B, 208"/>
    <s v="US 85?"/>
    <s v="26B, 85B"/>
    <n v="1"/>
    <x v="8"/>
  </r>
  <r>
    <m/>
    <s v="lcSF"/>
    <m/>
    <s v="Santa Fe Dr Denver"/>
    <s v="Alameda Ave"/>
    <s v="Cedar Ave (to I-25A NB on ramp)"/>
    <n v="0.17"/>
    <s v="25A"/>
    <s v="207B, 208"/>
    <m/>
    <s v="26B, 85B"/>
    <n v="1"/>
    <x v="8"/>
  </r>
  <r>
    <m/>
    <s v="lcff"/>
    <m/>
    <s v="Santa Fe Dr East Frontage Rd"/>
    <s v="Center Ave Denver"/>
    <s v="US 85B north end Santa Fe Dr SO Alameda Ave"/>
    <n v="0.223"/>
    <s v="25A"/>
    <s v="207B, 208"/>
    <m/>
    <s v="26B, 85B"/>
    <n v="1"/>
    <x v="8"/>
  </r>
  <r>
    <m/>
    <s v="lcSm"/>
    <m/>
    <s v="Seminole Rd Denver"/>
    <s v="6th Ave South Frontage Rd"/>
    <s v="WB 6th Ave Fwy ramps (to US 6G)"/>
    <n v="0.115"/>
    <m/>
    <m/>
    <m/>
    <s v="6G, 25A"/>
    <n v="1"/>
    <x v="4"/>
  </r>
  <r>
    <m/>
    <s v="lcSV"/>
    <m/>
    <s v="Space Village Ave Colorado Spgs"/>
    <s v="Peterson Blvd"/>
    <s v="WBR ramp to US 24G"/>
    <n v="0.16"/>
    <s v="24G"/>
    <s v="(312)"/>
    <m/>
    <m/>
    <n v="2"/>
    <x v="31"/>
  </r>
  <r>
    <m/>
    <s v="lcTM"/>
    <m/>
    <s v="Table Mesa Dr South Boulder Rd"/>
    <s v="US 36B SEB ramps"/>
    <s v="US 36B NWBR ramp"/>
    <n v="0.38600000000000001"/>
    <s v="36B"/>
    <s v="(39-40)"/>
    <m/>
    <s v="157A"/>
    <n v="4"/>
    <x v="32"/>
  </r>
  <r>
    <m/>
    <s v="lcUn"/>
    <m/>
    <s v="University Blvd Highlands Ranch"/>
    <s v="Dad Clark Dr (frontage road)"/>
    <s v="C-470A EB ramps SH 177A MP 0"/>
    <n v="0.05"/>
    <s v="470A"/>
    <n v="21"/>
    <m/>
    <s v="177A"/>
    <n v="1"/>
    <x v="33"/>
  </r>
  <r>
    <m/>
    <s v="lcSd"/>
    <m/>
    <s v="US 85B SBR ramp to SH 67E"/>
    <s v="US 85B Sedalia"/>
    <s v="SH 67E Manhart Ave Sedalia"/>
    <n v="2.9000000000000001E-2"/>
    <s v="85B"/>
    <s v="(190-191)"/>
    <m/>
    <s v="67E, 105B"/>
    <n v="1"/>
    <x v="34"/>
  </r>
  <r>
    <m/>
    <s v="lcSd"/>
    <m/>
    <s v="US 85B SW Frontage Rd"/>
    <s v="SH 67E Manhart Ave Sedalia"/>
    <s v="US 85B"/>
    <n v="0.30099999999999999"/>
    <s v="85B"/>
    <s v="(190-191)"/>
    <m/>
    <s v="67E, 105B"/>
    <n v="1"/>
    <x v="34"/>
  </r>
  <r>
    <m/>
    <s v="lc85"/>
    <m/>
    <s v="US 85C SB ramps SO US 34A"/>
    <s v="8th Ave Greeley"/>
    <s v="US 85C SB flyover ramp from WB US 34A"/>
    <n v="2.1999999999999999E-2"/>
    <s v="34A"/>
    <s v="(112-113)"/>
    <m/>
    <s v="85C, 85G"/>
    <n v="4"/>
    <x v="6"/>
  </r>
  <r>
    <m/>
    <s v="lcPl"/>
    <m/>
    <s v="Weld CR 28"/>
    <s v="US 85F MP 0 Weld CR 25.5"/>
    <s v="US 85C SO Platteville"/>
    <n v="1.6E-2"/>
    <m/>
    <m/>
    <m/>
    <s v="85C, 85F"/>
    <n v="4"/>
    <x v="35"/>
  </r>
  <r>
    <m/>
    <s v="lcWh"/>
    <m/>
    <s v="Whiteriver Ave Rifle"/>
    <s v="Railroad Ave connector"/>
    <s v="Centennial Parkway Rifle"/>
    <n v="2.8000000000000001E-2"/>
    <m/>
    <m/>
    <m/>
    <s v="6D"/>
    <n v="3"/>
    <x v="13"/>
  </r>
  <r>
    <m/>
    <s v="lcWy"/>
    <m/>
    <s v="Wyandot St Denver"/>
    <s v="8th Ave Denver"/>
    <s v="I-25A NB on ramp"/>
    <n v="0.14000000000000001"/>
    <s v="25A"/>
    <s v="209C"/>
    <m/>
    <m/>
    <n v="1"/>
    <x v="4"/>
  </r>
  <r>
    <m/>
    <s v="lcZu"/>
    <m/>
    <s v="Zuni St Denver"/>
    <s v="8th Ave Denver"/>
    <s v="I-25A SB ramps"/>
    <n v="0.11600000000000001"/>
    <s v="25A"/>
    <s v="209C"/>
    <m/>
    <m/>
    <n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0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dataField="1" showAll="0"/>
    <pivotField axis="axisRow" showAll="0">
      <items count="37">
        <item x="9"/>
        <item x="10"/>
        <item x="0"/>
        <item x="26"/>
        <item x="5"/>
        <item x="16"/>
        <item x="14"/>
        <item x="28"/>
        <item x="4"/>
        <item x="2"/>
        <item x="25"/>
        <item x="17"/>
        <item x="7"/>
        <item x="22"/>
        <item x="6"/>
        <item x="21"/>
        <item x="3"/>
        <item x="15"/>
        <item x="33"/>
        <item x="23"/>
        <item x="29"/>
        <item x="1"/>
        <item x="20"/>
        <item x="12"/>
        <item x="18"/>
        <item x="27"/>
        <item x="31"/>
        <item x="35"/>
        <item x="13"/>
        <item x="30"/>
        <item x="19"/>
        <item x="8"/>
        <item x="34"/>
        <item x="32"/>
        <item x="11"/>
        <item x="24"/>
        <item t="default"/>
      </items>
    </pivotField>
  </pivotFields>
  <rowFields count="1">
    <field x="12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Average of EngrRegion" fld="11" subtotal="average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98" firstHeaderRow="1" firstDataRow="1" firstDataCol="1"/>
  <pivotFields count="11">
    <pivotField showAll="0"/>
    <pivotField axis="axisRow" dataField="1" showAll="0">
      <items count="2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 t="grand">
      <x/>
    </i>
  </rowItems>
  <colItems count="1">
    <i/>
  </colItems>
  <dataFields count="1">
    <dataField name="Count of Route" fld="1" subtotal="count" baseField="0" baseItem="0"/>
  </dataFields>
  <formats count="10">
    <format dxfId="15">
      <pivotArea collapsedLevelsAreSubtotals="1" fieldPosition="0">
        <references count="1">
          <reference field="1" count="1">
            <x v="121"/>
          </reference>
        </references>
      </pivotArea>
    </format>
    <format dxfId="14">
      <pivotArea dataOnly="0" labelOnly="1" fieldPosition="0">
        <references count="1">
          <reference field="1" count="1">
            <x v="121"/>
          </reference>
        </references>
      </pivotArea>
    </format>
    <format dxfId="13">
      <pivotArea collapsedLevelsAreSubtotals="1" fieldPosition="0">
        <references count="1">
          <reference field="1" count="1">
            <x v="57"/>
          </reference>
        </references>
      </pivotArea>
    </format>
    <format dxfId="12">
      <pivotArea dataOnly="0" labelOnly="1" fieldPosition="0">
        <references count="1">
          <reference field="1" count="1">
            <x v="57"/>
          </reference>
        </references>
      </pivotArea>
    </format>
    <format dxfId="11">
      <pivotArea collapsedLevelsAreSubtotals="1" fieldPosition="0">
        <references count="1">
          <reference field="1" count="1">
            <x v="57"/>
          </reference>
        </references>
      </pivotArea>
    </format>
    <format dxfId="10">
      <pivotArea dataOnly="0" labelOnly="1" fieldPosition="0">
        <references count="1">
          <reference field="1" count="1">
            <x v="57"/>
          </reference>
        </references>
      </pivotArea>
    </format>
    <format dxfId="9">
      <pivotArea collapsedLevelsAreSubtotals="1" fieldPosition="0">
        <references count="1">
          <reference field="1" count="1">
            <x v="121"/>
          </reference>
        </references>
      </pivotArea>
    </format>
    <format dxfId="8">
      <pivotArea dataOnly="0" labelOnly="1" fieldPosition="0">
        <references count="1">
          <reference field="1" count="1">
            <x v="121"/>
          </reference>
        </references>
      </pivotArea>
    </format>
    <format dxfId="7">
      <pivotArea collapsedLevelsAreSubtotals="1" fieldPosition="0">
        <references count="1">
          <reference field="1" count="1">
            <x v="145"/>
          </reference>
        </references>
      </pivotArea>
    </format>
    <format dxfId="6">
      <pivotArea dataOnly="0" labelOnly="1" fieldPosition="0">
        <references count="1">
          <reference field="1" count="1">
            <x v="14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le4" displayName="Table4" ref="A1:R2647" totalsRowShown="0">
  <autoFilter ref="A1:R2647">
    <filterColumn colId="15">
      <customFilters>
        <customFilter operator="notEqual" val=" "/>
      </customFilters>
    </filterColumn>
  </autoFilter>
  <sortState ref="A2:R2647">
    <sortCondition descending="1" ref="K1:K2647"/>
  </sortState>
  <tableColumns count="18">
    <tableColumn id="1" name="Route"/>
    <tableColumn id="2" name="MPDirection"/>
    <tableColumn id="3" name="CardinalDir"/>
    <tableColumn id="4" name="RoutePlusDir"/>
    <tableColumn id="15" name="StartMP" dataDxfId="40"/>
    <tableColumn id="16" name="EndMP" dataDxfId="39"/>
    <tableColumn id="5" name="DetourSequence"/>
    <tableColumn id="6" name="AlgSequence"/>
    <tableColumn id="7" name="NameInRouteSystem"/>
    <tableColumn id="8" name="RouteSystemFileBase"/>
    <tableColumn id="11" name="AddedTime" dataDxfId="38"/>
    <tableColumn id="12" name="AddedDist" dataDxfId="37"/>
    <tableColumn id="13" name="RoutesUsedOnDetour" dataDxfId="36"/>
    <tableColumn id="14" name="MPSort" dataDxfId="35"/>
    <tableColumn id="9" name="ClosureMiles" dataDxfId="34">
      <calculatedColumnFormula>ABS(Table4[[#This Row],[EndMP]]-Table4[[#This Row],[StartMP]])</calculatedColumnFormula>
    </tableColumn>
    <tableColumn id="10" name="PrimaryMatch" dataDxfId="33">
      <calculatedColumnFormula>IF( AND( Table4[[#This Row],[Route]]=ClosureLocation!$B$3, ClosureLocation!$B$6 &gt;= Table4[[#This Row],[StartMP]], ClosureLocation!$B$6 &lt;= Table4[[#This Row],[EndMP]]), "Yes", "")</calculatedColumnFormula>
    </tableColumn>
    <tableColumn id="17" name="SecondaryMatch" dataDxfId="32">
      <calculatedColumnFormula>IF( AND( Table4[[#This Row],[Route]]=ClosureLocation!$B$3, ClosureLocation!$B$6 &lt;= Table4[[#This Row],[StartMP]], ClosureLocation!$B$6 &gt;= Table4[[#This Row],[EndMP]]), "Yes", "")</calculatedColumnFormula>
    </tableColumn>
    <tableColumn id="18" name="TwoWayMatch" dataDxfId="31">
      <calculatedColumnFormula>IF( OR( Table4[[#This Row],[PrimaryMatch]]="Yes", Table4[[#This Row],[SecondaryMatch]]="Yes"), "Yes", "")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N986" totalsRowShown="0">
  <autoFilter ref="A1:N986"/>
  <tableColumns count="14">
    <tableColumn id="1" name="StatewideID" dataDxfId="30">
      <calculatedColumnFormula>Table1[[#This Row],[Route]]&amp;TEXT(Table1[[#This Row],[SegmentID]],"00")</calculatedColumnFormula>
    </tableColumn>
    <tableColumn id="2" name="Route"/>
    <tableColumn id="10" name="Virtual Route" dataDxfId="29"/>
    <tableColumn id="3" name="SegmentID"/>
    <tableColumn id="12" name="Sequence"/>
    <tableColumn id="4" name="FromMP" dataDxfId="28"/>
    <tableColumn id="5" name="FromDesc"/>
    <tableColumn id="6" name="ToMP" dataDxfId="27"/>
    <tableColumn id="7" name="ToDesc"/>
    <tableColumn id="8" name="DetourComments"/>
    <tableColumn id="11" name="DetourRouteFile"/>
    <tableColumn id="14" name="PriDetourRouteName"/>
    <tableColumn id="13" name="SecDetourRouteName"/>
    <tableColumn id="9" name="NearbyStream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F19" totalsRowShown="0">
  <autoFilter ref="A1:F19"/>
  <tableColumns count="6">
    <tableColumn id="1" name="Route"/>
    <tableColumn id="2" name="OrVirtualRoute" dataDxfId="26"/>
    <tableColumn id="3" name="AtMilePost" dataDxfId="25"/>
    <tableColumn id="4" name="BecomesRoute"/>
    <tableColumn id="5" name="AlsoVirtualRoute" dataDxfId="24"/>
    <tableColumn id="6" name="AtNewMilepost" dataDxfId="23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M64" totalsRowShown="0">
  <autoFilter ref="A1:M64"/>
  <sortState ref="A2:K64">
    <sortCondition ref="D2:D64"/>
  </sortState>
  <tableColumns count="13">
    <tableColumn id="1" name="StatewideSegmentID"/>
    <tableColumn id="2" name="RouteID" dataDxfId="22"/>
    <tableColumn id="3" name="SegmentIDwithinRoute"/>
    <tableColumn id="8" name="RouteDescription"/>
    <tableColumn id="4" name="From"/>
    <tableColumn id="5" name="To"/>
    <tableColumn id="6" name="TCDistance" dataDxfId="21"/>
    <tableColumn id="10" name="InterchangeOfSH" dataDxfId="20"/>
    <tableColumn id="11" name="ExitNumber" dataDxfId="19"/>
    <tableColumn id="7" name="FormerStateHighways?" dataDxfId="18"/>
    <tableColumn id="9" name="OtherNearbyCurrentStateHighways"/>
    <tableColumn id="12" name="EngrRegion" dataDxfId="17"/>
    <tableColumn id="13" name="InsetMap" dataDxfId="16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D4" totalsRowShown="0">
  <autoFilter ref="A1:D4"/>
  <tableColumns count="4">
    <tableColumn id="1" name="Condition" dataDxfId="5"/>
    <tableColumn id="2" name="Default Value for Added Time (minutes) " dataDxfId="4">
      <calculatedColumnFormula>24 * 60</calculatedColumnFormula>
    </tableColumn>
    <tableColumn id="3" name="Default Value for Added Distance (miles) " dataDxfId="3"/>
    <tableColumn id="4" name="Note in RoutesUsedOnDetour 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D297" totalsRowShown="0">
  <autoFilter ref="A1:D297"/>
  <tableColumns count="4">
    <tableColumn id="1" name="Route"/>
    <tableColumn id="2" name="StartMP" dataDxfId="2"/>
    <tableColumn id="3" name="EndMP" dataDxfId="1"/>
    <tableColumn id="4" name="Mil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6"/>
  <sheetViews>
    <sheetView workbookViewId="0">
      <selection activeCell="H8" sqref="H8"/>
    </sheetView>
  </sheetViews>
  <sheetFormatPr defaultRowHeight="15" x14ac:dyDescent="0.25"/>
  <sheetData>
    <row r="1" spans="1:6" x14ac:dyDescent="0.25">
      <c r="A1" t="s">
        <v>5049</v>
      </c>
    </row>
    <row r="3" spans="1:6" x14ac:dyDescent="0.25">
      <c r="A3" s="17">
        <v>1</v>
      </c>
      <c r="B3" t="s">
        <v>5050</v>
      </c>
    </row>
    <row r="4" spans="1:6" x14ac:dyDescent="0.25">
      <c r="A4" s="17">
        <v>2</v>
      </c>
      <c r="B4" t="s">
        <v>5051</v>
      </c>
    </row>
    <row r="5" spans="1:6" x14ac:dyDescent="0.25">
      <c r="A5" s="17">
        <v>3</v>
      </c>
      <c r="B5" t="s">
        <v>5052</v>
      </c>
    </row>
    <row r="6" spans="1:6" x14ac:dyDescent="0.25">
      <c r="A6" s="17"/>
    </row>
    <row r="7" spans="1:6" x14ac:dyDescent="0.25">
      <c r="A7" s="17">
        <v>4</v>
      </c>
      <c r="B7" t="s">
        <v>5053</v>
      </c>
    </row>
    <row r="8" spans="1:6" x14ac:dyDescent="0.25">
      <c r="A8" s="17"/>
    </row>
    <row r="9" spans="1:6" x14ac:dyDescent="0.25">
      <c r="A9" s="13" t="s">
        <v>5061</v>
      </c>
    </row>
    <row r="11" spans="1:6" x14ac:dyDescent="0.25">
      <c r="A11" s="60" t="s">
        <v>5057</v>
      </c>
      <c r="B11" s="60" t="s">
        <v>5062</v>
      </c>
      <c r="C11" s="60"/>
      <c r="D11" s="60" t="s">
        <v>5063</v>
      </c>
      <c r="E11" s="60"/>
      <c r="F11" s="60"/>
    </row>
    <row r="12" spans="1:6" x14ac:dyDescent="0.25">
      <c r="A12" s="17" t="s">
        <v>5058</v>
      </c>
      <c r="B12" t="s">
        <v>5054</v>
      </c>
      <c r="D12" s="61" t="s">
        <v>5065</v>
      </c>
    </row>
    <row r="13" spans="1:6" x14ac:dyDescent="0.25">
      <c r="A13" s="17" t="s">
        <v>5059</v>
      </c>
      <c r="B13" t="s">
        <v>5055</v>
      </c>
      <c r="D13" s="61" t="s">
        <v>5066</v>
      </c>
    </row>
    <row r="14" spans="1:6" x14ac:dyDescent="0.25">
      <c r="A14" s="17" t="s">
        <v>5060</v>
      </c>
      <c r="B14" t="s">
        <v>5056</v>
      </c>
      <c r="D14" s="61" t="s">
        <v>5064</v>
      </c>
    </row>
    <row r="16" spans="1:6" x14ac:dyDescent="0.25">
      <c r="A16" s="17" t="s">
        <v>5068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4" sqref="D4"/>
    </sheetView>
  </sheetViews>
  <sheetFormatPr defaultRowHeight="15" x14ac:dyDescent="0.25"/>
  <cols>
    <col min="1" max="1" width="53.140625" customWidth="1"/>
    <col min="2" max="2" width="14.140625" customWidth="1"/>
    <col min="3" max="3" width="17.140625" customWidth="1"/>
    <col min="4" max="4" width="27.5703125" customWidth="1"/>
  </cols>
  <sheetData>
    <row r="1" spans="1:4" ht="60" x14ac:dyDescent="0.25">
      <c r="A1" t="s">
        <v>4624</v>
      </c>
      <c r="B1" s="4" t="s">
        <v>4625</v>
      </c>
      <c r="C1" s="4" t="s">
        <v>4626</v>
      </c>
      <c r="D1" t="s">
        <v>4627</v>
      </c>
    </row>
    <row r="2" spans="1:4" ht="45" x14ac:dyDescent="0.25">
      <c r="A2" s="4" t="s">
        <v>4628</v>
      </c>
      <c r="B2" s="39">
        <f t="shared" ref="B2" si="0">24 * 60</f>
        <v>1440</v>
      </c>
      <c r="C2" s="39">
        <v>1999</v>
      </c>
      <c r="D2" s="56" t="s">
        <v>4630</v>
      </c>
    </row>
    <row r="3" spans="1:4" ht="30" x14ac:dyDescent="0.25">
      <c r="A3" s="4" t="s">
        <v>4629</v>
      </c>
      <c r="B3" s="39">
        <v>0</v>
      </c>
      <c r="C3" s="39">
        <v>0</v>
      </c>
      <c r="D3" s="57" t="s">
        <v>4738</v>
      </c>
    </row>
    <row r="4" spans="1:4" ht="30" x14ac:dyDescent="0.25">
      <c r="A4" s="4" t="s">
        <v>4632</v>
      </c>
      <c r="B4" s="39">
        <v>5</v>
      </c>
      <c r="C4" s="39">
        <v>0.5</v>
      </c>
      <c r="D4" s="56" t="s">
        <v>4631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7"/>
  <sheetViews>
    <sheetView workbookViewId="0">
      <selection activeCell="A21" sqref="A21:XFD21"/>
    </sheetView>
  </sheetViews>
  <sheetFormatPr defaultRowHeight="15" x14ac:dyDescent="0.25"/>
  <cols>
    <col min="2" max="2" width="9.42578125" customWidth="1"/>
  </cols>
  <sheetData>
    <row r="1" spans="1:4" x14ac:dyDescent="0.25">
      <c r="A1" t="s">
        <v>1</v>
      </c>
      <c r="B1" t="s">
        <v>4436</v>
      </c>
      <c r="C1" t="s">
        <v>4437</v>
      </c>
      <c r="D1" t="s">
        <v>4550</v>
      </c>
    </row>
    <row r="2" spans="1:4" x14ac:dyDescent="0.25">
      <c r="A2" t="s">
        <v>9</v>
      </c>
      <c r="B2" s="1">
        <v>0</v>
      </c>
      <c r="C2" s="1">
        <v>10.053000000000001</v>
      </c>
      <c r="D2" s="1">
        <v>9.9879999999999995</v>
      </c>
    </row>
    <row r="3" spans="1:4" x14ac:dyDescent="0.25">
      <c r="A3" t="s">
        <v>12</v>
      </c>
      <c r="B3" s="1">
        <v>0</v>
      </c>
      <c r="C3" s="1">
        <v>9.8420000000000005</v>
      </c>
      <c r="D3" s="1">
        <v>9.9250000000000007</v>
      </c>
    </row>
    <row r="4" spans="1:4" x14ac:dyDescent="0.25">
      <c r="A4" t="s">
        <v>4551</v>
      </c>
      <c r="B4" s="1">
        <v>10.86</v>
      </c>
      <c r="C4" s="1">
        <v>11.381</v>
      </c>
      <c r="D4" s="1">
        <v>0.497</v>
      </c>
    </row>
    <row r="5" spans="1:4" x14ac:dyDescent="0.25">
      <c r="A5" t="s">
        <v>18</v>
      </c>
      <c r="B5" s="1">
        <v>19.506</v>
      </c>
      <c r="C5" s="1">
        <v>19.943999999999999</v>
      </c>
      <c r="D5" s="1">
        <v>0.442</v>
      </c>
    </row>
    <row r="6" spans="1:4" x14ac:dyDescent="0.25">
      <c r="A6" t="s">
        <v>23</v>
      </c>
      <c r="B6" s="1">
        <v>0</v>
      </c>
      <c r="C6" s="1">
        <v>2.444</v>
      </c>
      <c r="D6" s="1">
        <v>2.4860000000000002</v>
      </c>
    </row>
    <row r="7" spans="1:4" x14ac:dyDescent="0.25">
      <c r="A7" t="s">
        <v>26</v>
      </c>
      <c r="B7" s="1">
        <v>0</v>
      </c>
      <c r="C7" s="1">
        <v>14.894</v>
      </c>
      <c r="D7" s="1">
        <v>14.411</v>
      </c>
    </row>
    <row r="8" spans="1:4" x14ac:dyDescent="0.25">
      <c r="A8" t="s">
        <v>29</v>
      </c>
      <c r="B8" s="1">
        <v>11.08</v>
      </c>
      <c r="C8" s="1">
        <v>26.08</v>
      </c>
      <c r="D8" s="1">
        <v>14.875</v>
      </c>
    </row>
    <row r="9" spans="1:4" x14ac:dyDescent="0.25">
      <c r="A9" t="s">
        <v>38</v>
      </c>
      <c r="B9" s="1">
        <v>30.123000000000001</v>
      </c>
      <c r="C9" s="1">
        <v>34.534999999999997</v>
      </c>
      <c r="D9" s="1">
        <v>4.2679999999999998</v>
      </c>
    </row>
    <row r="10" spans="1:4" x14ac:dyDescent="0.25">
      <c r="A10" t="s">
        <v>41</v>
      </c>
      <c r="B10" s="1">
        <v>37.161000000000001</v>
      </c>
      <c r="C10" s="1">
        <v>46.058</v>
      </c>
      <c r="D10" s="1">
        <v>8.4339999999999993</v>
      </c>
    </row>
    <row r="11" spans="1:4" x14ac:dyDescent="0.25">
      <c r="A11" t="s">
        <v>45</v>
      </c>
      <c r="B11" s="1">
        <v>92.275000000000006</v>
      </c>
      <c r="C11" s="1">
        <v>110.806</v>
      </c>
      <c r="D11" s="1">
        <v>18.561</v>
      </c>
    </row>
    <row r="12" spans="1:4" x14ac:dyDescent="0.25">
      <c r="A12" t="s">
        <v>50</v>
      </c>
      <c r="B12" s="1">
        <v>149.71799999999999</v>
      </c>
      <c r="C12" s="1">
        <v>174.541</v>
      </c>
      <c r="D12" s="1">
        <v>24.834</v>
      </c>
    </row>
    <row r="13" spans="1:4" x14ac:dyDescent="0.25">
      <c r="A13" t="s">
        <v>61</v>
      </c>
      <c r="B13" s="1">
        <v>208.65899999999999</v>
      </c>
      <c r="C13" s="1">
        <v>229.89599999999999</v>
      </c>
      <c r="D13" s="1">
        <v>21.1</v>
      </c>
    </row>
    <row r="14" spans="1:4" x14ac:dyDescent="0.25">
      <c r="A14" t="s">
        <v>65</v>
      </c>
      <c r="B14" s="1">
        <v>257.07900000000001</v>
      </c>
      <c r="C14" s="1">
        <v>284.48899999999998</v>
      </c>
      <c r="D14" s="1">
        <v>27.423999999999999</v>
      </c>
    </row>
    <row r="15" spans="1:4" x14ac:dyDescent="0.25">
      <c r="A15" t="s">
        <v>81</v>
      </c>
      <c r="B15" s="1">
        <v>290.98</v>
      </c>
      <c r="C15" s="1">
        <v>296.32</v>
      </c>
      <c r="D15" s="1">
        <v>5.2380000000000004</v>
      </c>
    </row>
    <row r="16" spans="1:4" x14ac:dyDescent="0.25">
      <c r="A16" t="s">
        <v>89</v>
      </c>
      <c r="B16" s="1">
        <v>343.51900000000001</v>
      </c>
      <c r="C16" s="1">
        <v>346.697</v>
      </c>
      <c r="D16" s="1">
        <v>3.0459999999999998</v>
      </c>
    </row>
    <row r="17" spans="1:4" x14ac:dyDescent="0.25">
      <c r="A17" t="s">
        <v>93</v>
      </c>
      <c r="B17" s="1">
        <v>371.69</v>
      </c>
      <c r="C17" s="1">
        <v>467.28399999999999</v>
      </c>
      <c r="D17" s="1">
        <v>95.647999999999996</v>
      </c>
    </row>
    <row r="18" spans="1:4" x14ac:dyDescent="0.25">
      <c r="A18" t="s">
        <v>105</v>
      </c>
      <c r="B18" s="1">
        <v>0</v>
      </c>
      <c r="C18" s="1">
        <v>0.33800000000000002</v>
      </c>
      <c r="D18" s="1">
        <v>0.314</v>
      </c>
    </row>
    <row r="19" spans="1:4" x14ac:dyDescent="0.25">
      <c r="A19" t="s">
        <v>108</v>
      </c>
      <c r="B19" s="1">
        <v>88.894999999999996</v>
      </c>
      <c r="C19" s="1">
        <v>91.24</v>
      </c>
      <c r="D19" s="1">
        <v>2.694</v>
      </c>
    </row>
    <row r="20" spans="1:4" x14ac:dyDescent="0.25">
      <c r="A20" t="s">
        <v>107</v>
      </c>
      <c r="B20" s="1">
        <v>62.305</v>
      </c>
      <c r="C20" s="1">
        <v>88.894999999999996</v>
      </c>
      <c r="D20" s="1">
        <v>25.722000000000001</v>
      </c>
    </row>
    <row r="21" spans="1:4" x14ac:dyDescent="0.25">
      <c r="A21" t="s">
        <v>119</v>
      </c>
      <c r="B21" s="1">
        <v>141.81800000000001</v>
      </c>
      <c r="C21" s="1">
        <v>141.99299999999999</v>
      </c>
      <c r="D21" s="1">
        <v>0.20200000000000001</v>
      </c>
    </row>
    <row r="22" spans="1:4" x14ac:dyDescent="0.25">
      <c r="A22" t="s">
        <v>122</v>
      </c>
      <c r="B22" s="1">
        <v>0</v>
      </c>
      <c r="C22" s="1">
        <v>0.60399999999999998</v>
      </c>
      <c r="D22" s="1">
        <v>0.63100000000000001</v>
      </c>
    </row>
    <row r="23" spans="1:4" x14ac:dyDescent="0.25">
      <c r="A23" t="s">
        <v>126</v>
      </c>
      <c r="B23" s="1">
        <v>0</v>
      </c>
      <c r="C23" s="1">
        <v>33.08</v>
      </c>
      <c r="D23" s="1">
        <v>33.384999999999998</v>
      </c>
    </row>
    <row r="24" spans="1:4" x14ac:dyDescent="0.25">
      <c r="A24" t="s">
        <v>136</v>
      </c>
      <c r="B24" s="1">
        <v>49.506</v>
      </c>
      <c r="C24" s="1">
        <v>50.639000000000003</v>
      </c>
      <c r="D24" s="1">
        <v>1.127</v>
      </c>
    </row>
    <row r="25" spans="1:4" x14ac:dyDescent="0.25">
      <c r="A25" t="s">
        <v>139</v>
      </c>
      <c r="B25" s="1">
        <v>52.29</v>
      </c>
      <c r="C25" s="1">
        <v>60.683</v>
      </c>
      <c r="D25" s="1">
        <v>8.2639999999999993</v>
      </c>
    </row>
    <row r="26" spans="1:4" x14ac:dyDescent="0.25">
      <c r="A26" t="s">
        <v>143</v>
      </c>
      <c r="B26" s="1">
        <v>61.877000000000002</v>
      </c>
      <c r="C26" s="1">
        <v>77.052000000000007</v>
      </c>
      <c r="D26" s="1">
        <v>15.311999999999999</v>
      </c>
    </row>
    <row r="27" spans="1:4" x14ac:dyDescent="0.25">
      <c r="A27" t="s">
        <v>146</v>
      </c>
      <c r="B27" s="1">
        <v>0</v>
      </c>
      <c r="C27" s="1">
        <v>1.5920000000000001</v>
      </c>
      <c r="D27" s="1">
        <v>1.4890000000000001</v>
      </c>
    </row>
    <row r="28" spans="1:4" x14ac:dyDescent="0.25">
      <c r="A28" t="s">
        <v>149</v>
      </c>
      <c r="B28" s="1">
        <v>0</v>
      </c>
      <c r="C28" s="1">
        <v>8.6829999999999998</v>
      </c>
      <c r="D28" s="1">
        <v>9.0449999999999999</v>
      </c>
    </row>
    <row r="29" spans="1:4" x14ac:dyDescent="0.25">
      <c r="A29" t="s">
        <v>156</v>
      </c>
      <c r="B29" s="1">
        <v>0</v>
      </c>
      <c r="C29" s="1">
        <v>46.98</v>
      </c>
      <c r="D29" s="1">
        <v>46.667999999999999</v>
      </c>
    </row>
    <row r="30" spans="1:4" x14ac:dyDescent="0.25">
      <c r="A30" t="s">
        <v>160</v>
      </c>
      <c r="B30" s="1">
        <v>47.582000000000001</v>
      </c>
      <c r="C30" s="1">
        <v>63.731999999999999</v>
      </c>
      <c r="D30" s="1">
        <v>16.126999999999999</v>
      </c>
    </row>
    <row r="31" spans="1:4" x14ac:dyDescent="0.25">
      <c r="A31" t="s">
        <v>163</v>
      </c>
      <c r="B31" s="1">
        <v>64.673000000000002</v>
      </c>
      <c r="C31" s="1">
        <v>97.23</v>
      </c>
      <c r="D31" s="1">
        <v>32.591999999999999</v>
      </c>
    </row>
    <row r="32" spans="1:4" x14ac:dyDescent="0.25">
      <c r="A32" t="s">
        <v>167</v>
      </c>
      <c r="B32" s="1">
        <v>101.562</v>
      </c>
      <c r="C32" s="1">
        <v>138.91999999999999</v>
      </c>
      <c r="D32" s="1">
        <v>37.319000000000003</v>
      </c>
    </row>
    <row r="33" spans="1:4" x14ac:dyDescent="0.25">
      <c r="A33" t="s">
        <v>170</v>
      </c>
      <c r="B33" s="1">
        <v>0</v>
      </c>
      <c r="C33" s="1">
        <v>71.968000000000004</v>
      </c>
      <c r="D33" s="1">
        <v>71.783000000000001</v>
      </c>
    </row>
    <row r="34" spans="1:4" x14ac:dyDescent="0.25">
      <c r="A34" t="s">
        <v>176</v>
      </c>
      <c r="B34" s="1">
        <v>0</v>
      </c>
      <c r="C34" s="1">
        <v>1.35</v>
      </c>
      <c r="D34" s="1">
        <v>1.3640000000000001</v>
      </c>
    </row>
    <row r="35" spans="1:4" x14ac:dyDescent="0.25">
      <c r="A35" t="s">
        <v>178</v>
      </c>
      <c r="B35" s="1">
        <v>0</v>
      </c>
      <c r="C35" s="1">
        <v>70.832999999999998</v>
      </c>
      <c r="D35" s="1">
        <v>70.382999999999996</v>
      </c>
    </row>
    <row r="36" spans="1:4" x14ac:dyDescent="0.25">
      <c r="A36" t="s">
        <v>182</v>
      </c>
      <c r="B36" s="1">
        <v>1.0589999999999999</v>
      </c>
      <c r="C36" s="1">
        <v>88.635000000000005</v>
      </c>
      <c r="D36" s="1">
        <v>89.156999999999996</v>
      </c>
    </row>
    <row r="37" spans="1:4" x14ac:dyDescent="0.25">
      <c r="A37" t="s">
        <v>191</v>
      </c>
      <c r="B37" s="1">
        <v>89.58</v>
      </c>
      <c r="C37" s="1">
        <v>128.07</v>
      </c>
      <c r="D37" s="1">
        <v>38.313000000000002</v>
      </c>
    </row>
    <row r="38" spans="1:4" x14ac:dyDescent="0.25">
      <c r="A38" t="s">
        <v>194</v>
      </c>
      <c r="B38" s="1">
        <v>0</v>
      </c>
      <c r="C38" s="1">
        <v>0.222</v>
      </c>
      <c r="D38" s="1">
        <v>0.20599999999999999</v>
      </c>
    </row>
    <row r="39" spans="1:4" x14ac:dyDescent="0.25">
      <c r="A39" t="s">
        <v>198</v>
      </c>
      <c r="B39" s="1">
        <v>0</v>
      </c>
      <c r="C39" s="1">
        <v>32.968000000000004</v>
      </c>
      <c r="D39" s="1">
        <v>32.790999999999997</v>
      </c>
    </row>
    <row r="40" spans="1:4" x14ac:dyDescent="0.25">
      <c r="A40" t="s">
        <v>202</v>
      </c>
      <c r="B40" s="1">
        <v>34.090000000000003</v>
      </c>
      <c r="C40" s="1">
        <v>121.71299999999999</v>
      </c>
      <c r="D40" s="1">
        <v>88.361999999999995</v>
      </c>
    </row>
    <row r="41" spans="1:4" x14ac:dyDescent="0.25">
      <c r="A41" t="s">
        <v>206</v>
      </c>
      <c r="B41" s="1">
        <v>134.77000000000001</v>
      </c>
      <c r="C41" s="1">
        <v>236.92400000000001</v>
      </c>
      <c r="D41" s="1">
        <v>101.863</v>
      </c>
    </row>
    <row r="42" spans="1:4" x14ac:dyDescent="0.25">
      <c r="A42" t="s">
        <v>216</v>
      </c>
      <c r="B42" s="1">
        <v>0</v>
      </c>
      <c r="C42" s="1">
        <v>12.374000000000001</v>
      </c>
      <c r="D42" s="1">
        <v>12.377000000000001</v>
      </c>
    </row>
    <row r="43" spans="1:4" x14ac:dyDescent="0.25">
      <c r="A43" t="s">
        <v>220</v>
      </c>
      <c r="B43" s="1">
        <v>20.398</v>
      </c>
      <c r="C43" s="1">
        <v>30.914999999999999</v>
      </c>
      <c r="D43" s="1">
        <v>10.455</v>
      </c>
    </row>
    <row r="44" spans="1:4" x14ac:dyDescent="0.25">
      <c r="A44" t="s">
        <v>225</v>
      </c>
      <c r="B44" s="1">
        <v>0</v>
      </c>
      <c r="C44" s="1">
        <v>3.1179999999999999</v>
      </c>
      <c r="D44" s="1">
        <v>3.2189999999999999</v>
      </c>
    </row>
    <row r="45" spans="1:4" x14ac:dyDescent="0.25">
      <c r="A45" t="s">
        <v>230</v>
      </c>
      <c r="B45" s="1">
        <v>0</v>
      </c>
      <c r="C45" s="1">
        <v>39.052</v>
      </c>
      <c r="D45" s="1">
        <v>38.904000000000003</v>
      </c>
    </row>
    <row r="46" spans="1:4" x14ac:dyDescent="0.25">
      <c r="A46" t="s">
        <v>234</v>
      </c>
      <c r="B46" s="1">
        <v>69.024000000000001</v>
      </c>
      <c r="C46" s="1">
        <v>118.864</v>
      </c>
      <c r="D46" s="1">
        <v>49.753</v>
      </c>
    </row>
    <row r="47" spans="1:4" x14ac:dyDescent="0.25">
      <c r="A47" t="s">
        <v>238</v>
      </c>
      <c r="B47" s="1">
        <v>131.81299999999999</v>
      </c>
      <c r="C47" s="1">
        <v>139.58199999999999</v>
      </c>
      <c r="D47" s="1">
        <v>7.819</v>
      </c>
    </row>
    <row r="48" spans="1:4" x14ac:dyDescent="0.25">
      <c r="A48" t="s">
        <v>240</v>
      </c>
      <c r="B48" s="1">
        <v>141.738</v>
      </c>
      <c r="C48" s="1">
        <v>154.11199999999999</v>
      </c>
      <c r="D48" s="1">
        <v>12.422000000000001</v>
      </c>
    </row>
    <row r="49" spans="1:4" x14ac:dyDescent="0.25">
      <c r="A49" t="s">
        <v>244</v>
      </c>
      <c r="B49" s="1">
        <v>0</v>
      </c>
      <c r="C49" s="1">
        <v>2.476</v>
      </c>
      <c r="D49" s="1">
        <v>2.484</v>
      </c>
    </row>
    <row r="50" spans="1:4" x14ac:dyDescent="0.25">
      <c r="A50" t="s">
        <v>248</v>
      </c>
      <c r="B50" s="1">
        <v>0</v>
      </c>
      <c r="C50" s="1">
        <v>17.507000000000001</v>
      </c>
      <c r="D50" s="1">
        <v>17.532</v>
      </c>
    </row>
    <row r="51" spans="1:4" x14ac:dyDescent="0.25">
      <c r="A51" t="s">
        <v>252</v>
      </c>
      <c r="B51" s="1">
        <v>143.4</v>
      </c>
      <c r="C51" s="1">
        <v>303.83999999999997</v>
      </c>
      <c r="D51" s="1">
        <v>158.94999999999999</v>
      </c>
    </row>
    <row r="52" spans="1:4" x14ac:dyDescent="0.25">
      <c r="A52" t="s">
        <v>273</v>
      </c>
      <c r="B52" s="1">
        <v>419.95</v>
      </c>
      <c r="C52" s="1">
        <v>437.2</v>
      </c>
      <c r="D52" s="1">
        <v>17.751999999999999</v>
      </c>
    </row>
    <row r="53" spans="1:4" x14ac:dyDescent="0.25">
      <c r="A53" t="s">
        <v>280</v>
      </c>
      <c r="B53" s="1">
        <v>437.2</v>
      </c>
      <c r="C53" s="1">
        <v>454.82799999999997</v>
      </c>
      <c r="D53" s="1">
        <v>17.657</v>
      </c>
    </row>
    <row r="54" spans="1:4" x14ac:dyDescent="0.25">
      <c r="A54" t="s">
        <v>282</v>
      </c>
      <c r="B54" s="1">
        <v>455.88200000000001</v>
      </c>
      <c r="C54" s="1">
        <v>457.29</v>
      </c>
      <c r="D54" s="1">
        <v>1.4330000000000001</v>
      </c>
    </row>
    <row r="55" spans="1:4" x14ac:dyDescent="0.25">
      <c r="A55" t="s">
        <v>286</v>
      </c>
      <c r="B55" s="1">
        <v>0</v>
      </c>
      <c r="C55" s="1">
        <v>2.8260000000000001</v>
      </c>
      <c r="D55" s="1">
        <v>2.4809999999999999</v>
      </c>
    </row>
    <row r="56" spans="1:4" x14ac:dyDescent="0.25">
      <c r="A56" t="s">
        <v>289</v>
      </c>
      <c r="B56" s="1">
        <v>0</v>
      </c>
      <c r="C56" s="1">
        <v>0.54800000000000004</v>
      </c>
      <c r="D56" s="1">
        <v>0.437</v>
      </c>
    </row>
    <row r="57" spans="1:4" x14ac:dyDescent="0.25">
      <c r="A57" t="s">
        <v>292</v>
      </c>
      <c r="B57" s="1">
        <v>310.87799999999999</v>
      </c>
      <c r="C57" s="1">
        <v>380.464</v>
      </c>
      <c r="D57" s="1">
        <v>69.730999999999995</v>
      </c>
    </row>
    <row r="58" spans="1:4" x14ac:dyDescent="0.25">
      <c r="A58" t="s">
        <v>304</v>
      </c>
      <c r="B58" s="1">
        <v>303.41199999999998</v>
      </c>
      <c r="C58" s="1">
        <v>310.87799999999999</v>
      </c>
      <c r="D58" s="1">
        <v>7.3869999999999996</v>
      </c>
    </row>
    <row r="59" spans="1:4" x14ac:dyDescent="0.25">
      <c r="A59" t="s">
        <v>307</v>
      </c>
      <c r="B59" s="1">
        <v>4.1959999999999997</v>
      </c>
      <c r="C59" s="1">
        <v>4.3230000000000004</v>
      </c>
      <c r="D59" s="1">
        <v>0.13700000000000001</v>
      </c>
    </row>
    <row r="60" spans="1:4" x14ac:dyDescent="0.25">
      <c r="A60" t="s">
        <v>310</v>
      </c>
      <c r="B60" s="1">
        <v>0</v>
      </c>
      <c r="C60" s="1">
        <v>298.87900000000002</v>
      </c>
      <c r="D60" s="1">
        <v>298.59899999999999</v>
      </c>
    </row>
    <row r="61" spans="1:4" x14ac:dyDescent="0.25">
      <c r="A61" t="s">
        <v>375</v>
      </c>
      <c r="B61" s="1">
        <v>0</v>
      </c>
      <c r="C61" s="1">
        <v>1.948</v>
      </c>
      <c r="D61" s="1">
        <v>1.968</v>
      </c>
    </row>
    <row r="62" spans="1:4" x14ac:dyDescent="0.25">
      <c r="A62" t="s">
        <v>377</v>
      </c>
      <c r="B62" s="1">
        <v>0</v>
      </c>
      <c r="C62" s="1">
        <v>4.0389999999999997</v>
      </c>
      <c r="D62" s="1">
        <v>4.3550000000000004</v>
      </c>
    </row>
    <row r="63" spans="1:4" x14ac:dyDescent="0.25">
      <c r="A63" t="s">
        <v>384</v>
      </c>
      <c r="B63" s="1">
        <v>11.17</v>
      </c>
      <c r="C63" s="1">
        <v>14.14</v>
      </c>
      <c r="D63" s="1">
        <v>2.923</v>
      </c>
    </row>
    <row r="64" spans="1:4" x14ac:dyDescent="0.25">
      <c r="A64" t="s">
        <v>385</v>
      </c>
      <c r="B64" s="1">
        <v>8.3000000000000004E-2</v>
      </c>
      <c r="C64" s="1">
        <v>20.416</v>
      </c>
      <c r="D64" s="1">
        <v>20.239000000000001</v>
      </c>
    </row>
    <row r="65" spans="1:4" x14ac:dyDescent="0.25">
      <c r="A65" t="s">
        <v>394</v>
      </c>
      <c r="B65" s="1">
        <v>0</v>
      </c>
      <c r="C65" s="1">
        <v>149.63300000000001</v>
      </c>
      <c r="D65" s="1">
        <v>148.94999999999999</v>
      </c>
    </row>
    <row r="66" spans="1:4" x14ac:dyDescent="0.25">
      <c r="A66" t="s">
        <v>413</v>
      </c>
      <c r="B66" s="1">
        <v>158.48500000000001</v>
      </c>
      <c r="C66" s="1">
        <v>259.529</v>
      </c>
      <c r="D66" s="1">
        <v>101.18</v>
      </c>
    </row>
    <row r="67" spans="1:4" x14ac:dyDescent="0.25">
      <c r="A67" t="s">
        <v>428</v>
      </c>
      <c r="B67" s="1">
        <v>1.306</v>
      </c>
      <c r="C67" s="1">
        <v>1.69</v>
      </c>
      <c r="D67" s="1">
        <v>0.378</v>
      </c>
    </row>
    <row r="68" spans="1:4" x14ac:dyDescent="0.25">
      <c r="A68" t="s">
        <v>430</v>
      </c>
      <c r="B68" s="1">
        <v>0</v>
      </c>
      <c r="C68" s="1">
        <v>14.711</v>
      </c>
      <c r="D68" s="1">
        <v>15.034000000000001</v>
      </c>
    </row>
    <row r="69" spans="1:4" x14ac:dyDescent="0.25">
      <c r="A69" t="s">
        <v>1687</v>
      </c>
      <c r="B69" s="1">
        <v>0</v>
      </c>
      <c r="C69" s="1">
        <v>0.93200000000000005</v>
      </c>
      <c r="D69" s="1">
        <v>0.93</v>
      </c>
    </row>
    <row r="70" spans="1:4" x14ac:dyDescent="0.25">
      <c r="A70" t="s">
        <v>442</v>
      </c>
      <c r="B70" s="1">
        <v>0</v>
      </c>
      <c r="C70" s="1">
        <v>3.1E-2</v>
      </c>
      <c r="D70" s="1">
        <v>3.1E-2</v>
      </c>
    </row>
    <row r="71" spans="1:4" x14ac:dyDescent="0.25">
      <c r="A71" t="s">
        <v>445</v>
      </c>
      <c r="B71" s="1">
        <v>0</v>
      </c>
      <c r="C71" s="1">
        <v>1.3009999999999999</v>
      </c>
      <c r="D71" s="1">
        <v>1.3240000000000001</v>
      </c>
    </row>
    <row r="72" spans="1:4" x14ac:dyDescent="0.25">
      <c r="A72" t="s">
        <v>448</v>
      </c>
      <c r="B72" s="1">
        <v>8.4350000000000005</v>
      </c>
      <c r="C72" s="1">
        <v>9.7040000000000006</v>
      </c>
      <c r="D72" s="1">
        <v>1.323</v>
      </c>
    </row>
    <row r="73" spans="1:4" x14ac:dyDescent="0.25">
      <c r="A73" t="s">
        <v>450</v>
      </c>
      <c r="B73" s="1">
        <v>0</v>
      </c>
      <c r="C73" s="1">
        <v>6.9820000000000002</v>
      </c>
      <c r="D73" s="1">
        <v>6.7489999999999997</v>
      </c>
    </row>
    <row r="74" spans="1:4" x14ac:dyDescent="0.25">
      <c r="A74" t="s">
        <v>454</v>
      </c>
      <c r="B74" s="1">
        <v>0</v>
      </c>
      <c r="C74" s="1">
        <v>57.417999999999999</v>
      </c>
      <c r="D74" s="1">
        <v>57.5</v>
      </c>
    </row>
    <row r="75" spans="1:4" x14ac:dyDescent="0.25">
      <c r="A75" t="s">
        <v>477</v>
      </c>
      <c r="B75" s="1">
        <v>76.394000000000005</v>
      </c>
      <c r="C75" s="1">
        <v>89.21</v>
      </c>
      <c r="D75" s="1">
        <v>12.75</v>
      </c>
    </row>
    <row r="76" spans="1:4" x14ac:dyDescent="0.25">
      <c r="A76" t="s">
        <v>485</v>
      </c>
      <c r="B76" s="1">
        <v>89.21</v>
      </c>
      <c r="C76" s="1">
        <v>224.71799999999999</v>
      </c>
      <c r="D76" s="1">
        <v>135.86699999999999</v>
      </c>
    </row>
    <row r="77" spans="1:4" x14ac:dyDescent="0.25">
      <c r="A77" t="s">
        <v>504</v>
      </c>
      <c r="B77" s="1">
        <v>0</v>
      </c>
      <c r="C77" s="1">
        <v>0.35699999999999998</v>
      </c>
      <c r="D77" s="1">
        <v>0.36099999999999999</v>
      </c>
    </row>
    <row r="78" spans="1:4" x14ac:dyDescent="0.25">
      <c r="A78" t="s">
        <v>508</v>
      </c>
      <c r="B78" s="1">
        <v>0</v>
      </c>
      <c r="C78" s="1">
        <v>0.29899999999999999</v>
      </c>
      <c r="D78" s="1">
        <v>0.34599999999999997</v>
      </c>
    </row>
    <row r="79" spans="1:4" x14ac:dyDescent="0.25">
      <c r="A79" t="s">
        <v>511</v>
      </c>
      <c r="B79" s="1">
        <v>0</v>
      </c>
      <c r="C79" s="1">
        <v>7.5709999999999997</v>
      </c>
      <c r="D79" s="1">
        <v>7.5590000000000002</v>
      </c>
    </row>
    <row r="80" spans="1:4" x14ac:dyDescent="0.25">
      <c r="A80" t="s">
        <v>513</v>
      </c>
      <c r="B80" s="1">
        <v>0</v>
      </c>
      <c r="C80" s="1">
        <v>258.25799999999998</v>
      </c>
      <c r="D80" s="1">
        <v>257.47500000000002</v>
      </c>
    </row>
    <row r="81" spans="1:4" x14ac:dyDescent="0.25">
      <c r="A81" t="s">
        <v>535</v>
      </c>
      <c r="B81" s="1">
        <v>269.44099999999997</v>
      </c>
      <c r="C81" s="1">
        <v>276.92</v>
      </c>
      <c r="D81" s="1">
        <v>7.3810000000000002</v>
      </c>
    </row>
    <row r="82" spans="1:4" x14ac:dyDescent="0.25">
      <c r="A82" t="s">
        <v>546</v>
      </c>
      <c r="B82" s="1">
        <v>279.20800000000003</v>
      </c>
      <c r="C82" s="1">
        <v>312.142</v>
      </c>
      <c r="D82" s="1">
        <v>32.784999999999997</v>
      </c>
    </row>
    <row r="83" spans="1:4" x14ac:dyDescent="0.25">
      <c r="A83" t="s">
        <v>562</v>
      </c>
      <c r="B83" s="1">
        <v>338.57</v>
      </c>
      <c r="C83" s="1">
        <v>340.38099999999997</v>
      </c>
      <c r="D83" s="1">
        <v>1.794</v>
      </c>
    </row>
    <row r="84" spans="1:4" x14ac:dyDescent="0.25">
      <c r="A84" t="s">
        <v>565</v>
      </c>
      <c r="B84" s="1">
        <v>346.29</v>
      </c>
      <c r="C84" s="1">
        <v>352.245</v>
      </c>
      <c r="D84" s="1">
        <v>5.9240000000000004</v>
      </c>
    </row>
    <row r="85" spans="1:4" x14ac:dyDescent="0.25">
      <c r="A85" t="s">
        <v>569</v>
      </c>
      <c r="B85" s="1">
        <v>360.20100000000002</v>
      </c>
      <c r="C85" s="1">
        <v>362.99900000000002</v>
      </c>
      <c r="D85" s="1">
        <v>2.0640000000000001</v>
      </c>
    </row>
    <row r="86" spans="1:4" x14ac:dyDescent="0.25">
      <c r="A86" t="s">
        <v>572</v>
      </c>
      <c r="B86" s="1">
        <v>380.68900000000002</v>
      </c>
      <c r="C86" s="1">
        <v>382.18400000000003</v>
      </c>
      <c r="D86" s="1">
        <v>1.492</v>
      </c>
    </row>
    <row r="87" spans="1:4" x14ac:dyDescent="0.25">
      <c r="A87" t="s">
        <v>575</v>
      </c>
      <c r="B87" s="1">
        <v>386.01</v>
      </c>
      <c r="C87" s="1">
        <v>486.92399999999998</v>
      </c>
      <c r="D87" s="1">
        <v>101.01</v>
      </c>
    </row>
    <row r="88" spans="1:4" x14ac:dyDescent="0.25">
      <c r="A88" t="s">
        <v>583</v>
      </c>
      <c r="B88" s="1">
        <v>0</v>
      </c>
      <c r="C88" s="1">
        <v>0.73</v>
      </c>
      <c r="D88" s="1">
        <v>0.73</v>
      </c>
    </row>
    <row r="89" spans="1:4" x14ac:dyDescent="0.25">
      <c r="A89" t="s">
        <v>588</v>
      </c>
      <c r="B89" s="1">
        <v>0</v>
      </c>
      <c r="C89" s="1">
        <v>9.5050000000000008</v>
      </c>
      <c r="D89" s="1">
        <v>9.5210000000000008</v>
      </c>
    </row>
    <row r="90" spans="1:4" x14ac:dyDescent="0.25">
      <c r="A90" t="s">
        <v>589</v>
      </c>
      <c r="B90" s="1">
        <v>0</v>
      </c>
      <c r="C90" s="1">
        <v>4.8760000000000003</v>
      </c>
      <c r="D90" s="1">
        <v>4.9349999999999996</v>
      </c>
    </row>
    <row r="91" spans="1:4" x14ac:dyDescent="0.25">
      <c r="A91" t="s">
        <v>590</v>
      </c>
      <c r="B91" s="1">
        <v>0</v>
      </c>
      <c r="C91" s="1">
        <v>4.9580000000000002</v>
      </c>
      <c r="D91" s="1">
        <v>4.9139999999999997</v>
      </c>
    </row>
    <row r="92" spans="1:4" x14ac:dyDescent="0.25">
      <c r="A92" t="s">
        <v>593</v>
      </c>
      <c r="B92" s="1">
        <v>0</v>
      </c>
      <c r="C92" s="1">
        <v>8.734</v>
      </c>
      <c r="D92" s="1">
        <v>8.9369999999999994</v>
      </c>
    </row>
    <row r="93" spans="1:4" x14ac:dyDescent="0.25">
      <c r="A93" t="s">
        <v>596</v>
      </c>
      <c r="B93" s="1">
        <v>0</v>
      </c>
      <c r="C93" s="1">
        <v>6.61</v>
      </c>
      <c r="D93" s="1">
        <v>6.468</v>
      </c>
    </row>
    <row r="94" spans="1:4" x14ac:dyDescent="0.25">
      <c r="A94" t="s">
        <v>599</v>
      </c>
      <c r="B94" s="1">
        <v>0</v>
      </c>
      <c r="C94" s="1">
        <v>4.6349999999999998</v>
      </c>
      <c r="D94" s="1">
        <v>4.5979999999999999</v>
      </c>
    </row>
    <row r="95" spans="1:4" x14ac:dyDescent="0.25">
      <c r="A95" t="s">
        <v>602</v>
      </c>
      <c r="B95" s="1">
        <v>31.76</v>
      </c>
      <c r="C95" s="1">
        <v>314.59800000000001</v>
      </c>
      <c r="D95" s="1">
        <v>281.89800000000002</v>
      </c>
    </row>
    <row r="96" spans="1:4" x14ac:dyDescent="0.25">
      <c r="A96" t="s">
        <v>640</v>
      </c>
      <c r="B96" s="1">
        <v>315.709</v>
      </c>
      <c r="C96" s="1">
        <v>467.58300000000003</v>
      </c>
      <c r="D96" s="1">
        <v>151.95099999999999</v>
      </c>
    </row>
    <row r="97" spans="1:4" x14ac:dyDescent="0.25">
      <c r="A97" t="s">
        <v>665</v>
      </c>
      <c r="B97" s="1">
        <v>0</v>
      </c>
      <c r="C97" s="1">
        <v>16.948</v>
      </c>
      <c r="D97" s="1">
        <v>17.065000000000001</v>
      </c>
    </row>
    <row r="98" spans="1:4" x14ac:dyDescent="0.25">
      <c r="A98" t="s">
        <v>630</v>
      </c>
      <c r="B98" s="1">
        <v>0</v>
      </c>
      <c r="C98" s="1">
        <v>1.5389999999999999</v>
      </c>
      <c r="D98" s="1">
        <v>1.5369999999999999</v>
      </c>
    </row>
    <row r="99" spans="1:4" x14ac:dyDescent="0.25">
      <c r="A99" t="s">
        <v>680</v>
      </c>
      <c r="B99" s="1">
        <v>0</v>
      </c>
      <c r="C99" s="1">
        <v>2.6030000000000002</v>
      </c>
      <c r="D99" s="1">
        <v>2.6349999999999998</v>
      </c>
    </row>
    <row r="100" spans="1:4" x14ac:dyDescent="0.25">
      <c r="A100" t="s">
        <v>684</v>
      </c>
      <c r="B100" s="1">
        <v>0</v>
      </c>
      <c r="C100" s="1">
        <v>72.581000000000003</v>
      </c>
      <c r="D100" s="1">
        <v>72.227999999999994</v>
      </c>
    </row>
    <row r="101" spans="1:4" x14ac:dyDescent="0.25">
      <c r="A101" t="s">
        <v>693</v>
      </c>
      <c r="B101" s="1">
        <v>86.480999999999995</v>
      </c>
      <c r="C101" s="1">
        <v>111.569</v>
      </c>
      <c r="D101" s="1">
        <v>25.01</v>
      </c>
    </row>
    <row r="102" spans="1:4" x14ac:dyDescent="0.25">
      <c r="A102" t="s">
        <v>697</v>
      </c>
      <c r="B102" s="1">
        <v>0</v>
      </c>
      <c r="C102" s="1">
        <v>1.663</v>
      </c>
      <c r="D102" s="1">
        <v>1.732</v>
      </c>
    </row>
    <row r="103" spans="1:4" x14ac:dyDescent="0.25">
      <c r="A103" t="s">
        <v>700</v>
      </c>
      <c r="B103" s="1">
        <v>0</v>
      </c>
      <c r="C103" s="1">
        <v>5.6589999999999998</v>
      </c>
      <c r="D103" s="1">
        <v>5.6120000000000001</v>
      </c>
    </row>
    <row r="104" spans="1:4" x14ac:dyDescent="0.25">
      <c r="A104" t="s">
        <v>703</v>
      </c>
      <c r="B104" s="1">
        <v>2.8210000000000002</v>
      </c>
      <c r="C104" s="1">
        <v>9.5289999999999999</v>
      </c>
      <c r="D104" s="1">
        <v>6.6840000000000002</v>
      </c>
    </row>
    <row r="105" spans="1:4" x14ac:dyDescent="0.25">
      <c r="A105" t="s">
        <v>705</v>
      </c>
      <c r="B105" s="1">
        <v>0</v>
      </c>
      <c r="C105" s="1">
        <v>0.53400000000000003</v>
      </c>
      <c r="D105" s="1">
        <v>0.505</v>
      </c>
    </row>
    <row r="106" spans="1:4" x14ac:dyDescent="0.25">
      <c r="A106" t="s">
        <v>707</v>
      </c>
      <c r="B106" s="1">
        <v>0</v>
      </c>
      <c r="C106" s="1">
        <v>5.6269999999999998</v>
      </c>
      <c r="D106" s="1">
        <v>5.5259999999999998</v>
      </c>
    </row>
    <row r="107" spans="1:4" x14ac:dyDescent="0.25">
      <c r="A107" t="s">
        <v>709</v>
      </c>
      <c r="B107" s="1">
        <v>0</v>
      </c>
      <c r="C107" s="1">
        <v>67.141999999999996</v>
      </c>
      <c r="D107" s="1">
        <v>66.483000000000004</v>
      </c>
    </row>
    <row r="108" spans="1:4" x14ac:dyDescent="0.25">
      <c r="A108" t="s">
        <v>714</v>
      </c>
      <c r="B108" s="1">
        <v>74.474000000000004</v>
      </c>
      <c r="C108" s="1">
        <v>173.33699999999999</v>
      </c>
      <c r="D108" s="1">
        <v>98.593000000000004</v>
      </c>
    </row>
    <row r="109" spans="1:4" x14ac:dyDescent="0.25">
      <c r="A109" t="s">
        <v>719</v>
      </c>
      <c r="B109" s="1">
        <v>0</v>
      </c>
      <c r="C109" s="1">
        <v>4.968</v>
      </c>
      <c r="D109" s="1">
        <v>4.9290000000000003</v>
      </c>
    </row>
    <row r="110" spans="1:4" x14ac:dyDescent="0.25">
      <c r="A110" t="s">
        <v>722</v>
      </c>
      <c r="B110" s="1">
        <v>5.8230000000000004</v>
      </c>
      <c r="C110" s="1">
        <v>20.202999999999999</v>
      </c>
      <c r="D110" s="1">
        <v>14.385</v>
      </c>
    </row>
    <row r="111" spans="1:4" x14ac:dyDescent="0.25">
      <c r="A111" t="s">
        <v>725</v>
      </c>
      <c r="B111" s="1">
        <v>0</v>
      </c>
      <c r="C111" s="1">
        <v>40.993000000000002</v>
      </c>
      <c r="D111" s="1">
        <v>40.741999999999997</v>
      </c>
    </row>
    <row r="112" spans="1:4" x14ac:dyDescent="0.25">
      <c r="A112" t="s">
        <v>728</v>
      </c>
      <c r="B112" s="1">
        <v>0</v>
      </c>
      <c r="C112" s="1">
        <v>23.414000000000001</v>
      </c>
      <c r="D112" s="1">
        <v>23.305</v>
      </c>
    </row>
    <row r="113" spans="1:4" x14ac:dyDescent="0.25">
      <c r="A113" t="s">
        <v>732</v>
      </c>
      <c r="B113" s="1">
        <v>0</v>
      </c>
      <c r="C113" s="1">
        <v>56.411999999999999</v>
      </c>
      <c r="D113" s="1">
        <v>56.5</v>
      </c>
    </row>
    <row r="114" spans="1:4" x14ac:dyDescent="0.25">
      <c r="A114" t="s">
        <v>736</v>
      </c>
      <c r="B114" s="1">
        <v>0</v>
      </c>
      <c r="C114" s="1">
        <v>73.704999999999998</v>
      </c>
      <c r="D114" s="1">
        <v>73.147000000000006</v>
      </c>
    </row>
    <row r="115" spans="1:4" x14ac:dyDescent="0.25">
      <c r="A115" t="s">
        <v>740</v>
      </c>
      <c r="B115" s="1">
        <v>0</v>
      </c>
      <c r="C115" s="1">
        <v>61.377000000000002</v>
      </c>
      <c r="D115" s="1">
        <v>61.143999999999998</v>
      </c>
    </row>
    <row r="116" spans="1:4" x14ac:dyDescent="0.25">
      <c r="A116" t="s">
        <v>745</v>
      </c>
      <c r="B116" s="1">
        <v>28.693000000000001</v>
      </c>
      <c r="C116" s="1">
        <v>51.386000000000003</v>
      </c>
      <c r="D116" s="1">
        <v>22.83</v>
      </c>
    </row>
    <row r="117" spans="1:4" x14ac:dyDescent="0.25">
      <c r="A117" t="s">
        <v>751</v>
      </c>
      <c r="B117" s="1">
        <v>0</v>
      </c>
      <c r="C117" s="1">
        <v>11.047000000000001</v>
      </c>
      <c r="D117" s="1">
        <v>11.057</v>
      </c>
    </row>
    <row r="118" spans="1:4" x14ac:dyDescent="0.25">
      <c r="A118" t="s">
        <v>754</v>
      </c>
      <c r="B118" s="1">
        <v>11.561999999999999</v>
      </c>
      <c r="C118" s="1">
        <v>15.074</v>
      </c>
      <c r="D118" s="1">
        <v>3.5830000000000002</v>
      </c>
    </row>
    <row r="119" spans="1:4" x14ac:dyDescent="0.25">
      <c r="A119" t="s">
        <v>756</v>
      </c>
      <c r="B119" s="1">
        <v>45.866999999999997</v>
      </c>
      <c r="C119" s="1">
        <v>50.73</v>
      </c>
      <c r="D119" s="1">
        <v>3.629</v>
      </c>
    </row>
    <row r="120" spans="1:4" x14ac:dyDescent="0.25">
      <c r="A120" t="s">
        <v>760</v>
      </c>
      <c r="B120" s="1">
        <v>76.92</v>
      </c>
      <c r="C120" s="1">
        <v>100.036</v>
      </c>
      <c r="D120" s="1">
        <v>23.038</v>
      </c>
    </row>
    <row r="121" spans="1:4" x14ac:dyDescent="0.25">
      <c r="A121" t="s">
        <v>764</v>
      </c>
      <c r="B121" s="1">
        <v>117.349</v>
      </c>
      <c r="C121" s="1">
        <v>127.449</v>
      </c>
      <c r="D121" s="1">
        <v>9.968</v>
      </c>
    </row>
    <row r="122" spans="1:4" x14ac:dyDescent="0.25">
      <c r="A122" t="s">
        <v>769</v>
      </c>
      <c r="B122" s="1">
        <v>52.304000000000002</v>
      </c>
      <c r="C122" s="1">
        <v>69.652000000000001</v>
      </c>
      <c r="D122" s="1">
        <v>17.773</v>
      </c>
    </row>
    <row r="123" spans="1:4" x14ac:dyDescent="0.25">
      <c r="A123" t="s">
        <v>772</v>
      </c>
      <c r="B123" s="1">
        <v>0</v>
      </c>
      <c r="C123" s="1">
        <v>82.664000000000001</v>
      </c>
      <c r="D123" s="1">
        <v>82.207999999999998</v>
      </c>
    </row>
    <row r="124" spans="1:4" x14ac:dyDescent="0.25">
      <c r="A124" t="s">
        <v>776</v>
      </c>
      <c r="B124" s="1">
        <v>0</v>
      </c>
      <c r="C124" s="1">
        <v>449.589</v>
      </c>
      <c r="D124" s="1">
        <v>450.18</v>
      </c>
    </row>
    <row r="125" spans="1:4" x14ac:dyDescent="0.25">
      <c r="A125" t="s">
        <v>836</v>
      </c>
      <c r="B125" s="1">
        <v>0</v>
      </c>
      <c r="C125" s="1">
        <v>13.265000000000001</v>
      </c>
      <c r="D125" s="1">
        <v>13.211</v>
      </c>
    </row>
    <row r="126" spans="1:4" x14ac:dyDescent="0.25">
      <c r="A126" t="s">
        <v>846</v>
      </c>
      <c r="B126" s="1">
        <v>0</v>
      </c>
      <c r="C126" s="1">
        <v>0.222</v>
      </c>
      <c r="D126" s="1">
        <v>0.21</v>
      </c>
    </row>
    <row r="127" spans="1:4" x14ac:dyDescent="0.25">
      <c r="A127" t="s">
        <v>849</v>
      </c>
      <c r="B127" s="1">
        <v>0</v>
      </c>
      <c r="C127" s="1">
        <v>0.34599999999999997</v>
      </c>
      <c r="D127" s="1">
        <v>0.36</v>
      </c>
    </row>
    <row r="128" spans="1:4" x14ac:dyDescent="0.25">
      <c r="A128" t="s">
        <v>852</v>
      </c>
      <c r="B128" s="1">
        <v>0</v>
      </c>
      <c r="C128" s="1">
        <v>0.57699999999999996</v>
      </c>
      <c r="D128" s="1">
        <v>0.58399999999999996</v>
      </c>
    </row>
    <row r="129" spans="1:4" x14ac:dyDescent="0.25">
      <c r="A129" t="s">
        <v>855</v>
      </c>
      <c r="B129" s="1">
        <v>0</v>
      </c>
      <c r="C129" s="1">
        <v>0.21199999999999999</v>
      </c>
      <c r="D129" s="1">
        <v>0.20599999999999999</v>
      </c>
    </row>
    <row r="130" spans="1:4" x14ac:dyDescent="0.25">
      <c r="A130" t="s">
        <v>858</v>
      </c>
      <c r="B130" s="1">
        <v>0</v>
      </c>
      <c r="C130" s="1">
        <v>0.4</v>
      </c>
      <c r="D130" s="1">
        <v>0.4</v>
      </c>
    </row>
    <row r="131" spans="1:4" x14ac:dyDescent="0.25">
      <c r="A131" t="s">
        <v>861</v>
      </c>
      <c r="B131" s="1">
        <v>0</v>
      </c>
      <c r="C131" s="1">
        <v>0.34799999999999998</v>
      </c>
      <c r="D131" s="1">
        <v>0.34100000000000003</v>
      </c>
    </row>
    <row r="132" spans="1:4" x14ac:dyDescent="0.25">
      <c r="A132" t="s">
        <v>864</v>
      </c>
      <c r="B132" s="1">
        <v>0</v>
      </c>
      <c r="C132" s="1">
        <v>0.39600000000000002</v>
      </c>
      <c r="D132" s="1">
        <v>0.36</v>
      </c>
    </row>
    <row r="133" spans="1:4" x14ac:dyDescent="0.25">
      <c r="A133" t="s">
        <v>867</v>
      </c>
      <c r="B133" s="1">
        <v>0</v>
      </c>
      <c r="C133" s="1">
        <v>0.35299999999999998</v>
      </c>
      <c r="D133" s="1">
        <v>0.36799999999999999</v>
      </c>
    </row>
    <row r="134" spans="1:4" x14ac:dyDescent="0.25">
      <c r="A134" t="s">
        <v>870</v>
      </c>
      <c r="B134" s="1">
        <v>0</v>
      </c>
      <c r="C134" s="1">
        <v>0.52800000000000002</v>
      </c>
      <c r="D134" s="1">
        <v>0.53</v>
      </c>
    </row>
    <row r="135" spans="1:4" x14ac:dyDescent="0.25">
      <c r="A135" t="s">
        <v>873</v>
      </c>
      <c r="B135" s="1">
        <v>0.13700000000000001</v>
      </c>
      <c r="C135" s="1">
        <v>0.377</v>
      </c>
      <c r="D135" s="1">
        <v>0.24</v>
      </c>
    </row>
    <row r="136" spans="1:4" x14ac:dyDescent="0.25">
      <c r="A136" t="s">
        <v>876</v>
      </c>
      <c r="B136" s="1">
        <v>2.1880000000000002</v>
      </c>
      <c r="C136" s="1">
        <v>2.7109999999999999</v>
      </c>
      <c r="D136" s="1">
        <v>0.55400000000000005</v>
      </c>
    </row>
    <row r="137" spans="1:4" x14ac:dyDescent="0.25">
      <c r="A137" t="s">
        <v>879</v>
      </c>
      <c r="B137" s="1">
        <v>0</v>
      </c>
      <c r="C137" s="1">
        <v>1.3380000000000001</v>
      </c>
      <c r="D137" s="1">
        <v>1.3280000000000001</v>
      </c>
    </row>
    <row r="138" spans="1:4" x14ac:dyDescent="0.25">
      <c r="A138" t="s">
        <v>884</v>
      </c>
      <c r="B138" s="1">
        <v>0</v>
      </c>
      <c r="C138" s="1">
        <v>9.032</v>
      </c>
      <c r="D138" s="1">
        <v>9</v>
      </c>
    </row>
    <row r="139" spans="1:4" x14ac:dyDescent="0.25">
      <c r="A139" t="s">
        <v>887</v>
      </c>
      <c r="B139" s="1">
        <v>9.6010000000000009</v>
      </c>
      <c r="C139" s="1">
        <v>14.539</v>
      </c>
      <c r="D139" s="1">
        <v>4.8710000000000004</v>
      </c>
    </row>
    <row r="140" spans="1:4" x14ac:dyDescent="0.25">
      <c r="A140" t="s">
        <v>888</v>
      </c>
      <c r="B140" s="1">
        <v>16.157</v>
      </c>
      <c r="C140" s="1">
        <v>101.063</v>
      </c>
      <c r="D140" s="1">
        <v>84.531999999999996</v>
      </c>
    </row>
    <row r="141" spans="1:4" x14ac:dyDescent="0.25">
      <c r="A141" t="s">
        <v>894</v>
      </c>
      <c r="B141" s="1">
        <v>101.973</v>
      </c>
      <c r="C141" s="1">
        <v>174.357</v>
      </c>
      <c r="D141" s="1">
        <v>72.429000000000002</v>
      </c>
    </row>
    <row r="142" spans="1:4" x14ac:dyDescent="0.25">
      <c r="A142" t="s">
        <v>897</v>
      </c>
      <c r="B142" s="1">
        <v>175.48599999999999</v>
      </c>
      <c r="C142" s="1">
        <v>201.636</v>
      </c>
      <c r="D142" s="1">
        <v>25.876999999999999</v>
      </c>
    </row>
    <row r="143" spans="1:4" x14ac:dyDescent="0.25">
      <c r="A143" t="s">
        <v>900</v>
      </c>
      <c r="B143" s="1">
        <v>205.52500000000001</v>
      </c>
      <c r="C143" s="1">
        <v>232.899</v>
      </c>
      <c r="D143" s="1">
        <v>27.324000000000002</v>
      </c>
    </row>
    <row r="144" spans="1:4" x14ac:dyDescent="0.25">
      <c r="A144" t="s">
        <v>902</v>
      </c>
      <c r="B144" s="1">
        <v>0</v>
      </c>
      <c r="C144" s="1">
        <v>29.378</v>
      </c>
      <c r="D144" s="1">
        <v>29.35</v>
      </c>
    </row>
    <row r="145" spans="1:4" x14ac:dyDescent="0.25">
      <c r="A145" t="s">
        <v>907</v>
      </c>
      <c r="B145" s="1">
        <v>32.369</v>
      </c>
      <c r="C145" s="1">
        <v>54.064</v>
      </c>
      <c r="D145" s="1">
        <v>21.609000000000002</v>
      </c>
    </row>
    <row r="146" spans="1:4" x14ac:dyDescent="0.25">
      <c r="A146" t="s">
        <v>910</v>
      </c>
      <c r="B146" s="1">
        <v>0</v>
      </c>
      <c r="C146" s="1">
        <v>18.11</v>
      </c>
      <c r="D146" s="1">
        <v>18.481999999999999</v>
      </c>
    </row>
    <row r="147" spans="1:4" x14ac:dyDescent="0.25">
      <c r="A147" t="s">
        <v>914</v>
      </c>
      <c r="B147" s="1">
        <v>5.2869999999999999</v>
      </c>
      <c r="C147" s="1">
        <v>8.5239999999999991</v>
      </c>
      <c r="D147" s="1">
        <v>3.3290000000000002</v>
      </c>
    </row>
    <row r="148" spans="1:4" x14ac:dyDescent="0.25">
      <c r="A148" t="s">
        <v>917</v>
      </c>
      <c r="B148" s="1">
        <v>0</v>
      </c>
      <c r="C148" s="1">
        <v>184.13499999999999</v>
      </c>
      <c r="D148" s="1">
        <v>183.99600000000001</v>
      </c>
    </row>
    <row r="149" spans="1:4" x14ac:dyDescent="0.25">
      <c r="A149" t="s">
        <v>938</v>
      </c>
      <c r="B149" s="1">
        <v>0</v>
      </c>
      <c r="C149" s="1">
        <v>0.47199999999999998</v>
      </c>
      <c r="D149" s="1">
        <v>0.504</v>
      </c>
    </row>
    <row r="150" spans="1:4" x14ac:dyDescent="0.25">
      <c r="A150" t="s">
        <v>942</v>
      </c>
      <c r="B150" s="1">
        <v>0</v>
      </c>
      <c r="C150" s="1">
        <v>33.271999999999998</v>
      </c>
      <c r="D150" s="1">
        <v>32.887999999999998</v>
      </c>
    </row>
    <row r="151" spans="1:4" x14ac:dyDescent="0.25">
      <c r="A151" t="s">
        <v>946</v>
      </c>
      <c r="B151" s="1">
        <v>0</v>
      </c>
      <c r="C151" s="1">
        <v>1.4930000000000001</v>
      </c>
      <c r="D151" s="1">
        <v>1.4850000000000001</v>
      </c>
    </row>
    <row r="152" spans="1:4" x14ac:dyDescent="0.25">
      <c r="A152" t="s">
        <v>951</v>
      </c>
      <c r="B152" s="1">
        <v>0</v>
      </c>
      <c r="C152" s="1">
        <v>1.24</v>
      </c>
      <c r="D152" s="1">
        <v>1.3759999999999999</v>
      </c>
    </row>
    <row r="153" spans="1:4" x14ac:dyDescent="0.25">
      <c r="A153" t="s">
        <v>954</v>
      </c>
      <c r="B153" s="1">
        <v>1.58</v>
      </c>
      <c r="C153" s="1">
        <v>23.891999999999999</v>
      </c>
      <c r="D153" s="1">
        <v>22.486000000000001</v>
      </c>
    </row>
    <row r="154" spans="1:4" x14ac:dyDescent="0.25">
      <c r="A154" t="s">
        <v>957</v>
      </c>
      <c r="B154" s="1">
        <v>0</v>
      </c>
      <c r="C154" s="1">
        <v>85.293000000000006</v>
      </c>
      <c r="D154" s="1">
        <v>84.561000000000007</v>
      </c>
    </row>
    <row r="155" spans="1:4" x14ac:dyDescent="0.25">
      <c r="A155" t="s">
        <v>966</v>
      </c>
      <c r="B155" s="1">
        <v>20.367999999999999</v>
      </c>
      <c r="C155" s="1">
        <v>77.266999999999996</v>
      </c>
      <c r="D155" s="1">
        <v>56.784999999999997</v>
      </c>
    </row>
    <row r="156" spans="1:4" x14ac:dyDescent="0.25">
      <c r="A156" t="s">
        <v>973</v>
      </c>
      <c r="B156" s="1">
        <v>0</v>
      </c>
      <c r="C156" s="1">
        <v>27.923999999999999</v>
      </c>
      <c r="D156" s="1">
        <v>27.832999999999998</v>
      </c>
    </row>
    <row r="157" spans="1:4" x14ac:dyDescent="0.25">
      <c r="A157" t="s">
        <v>976</v>
      </c>
      <c r="B157" s="1">
        <v>127.651</v>
      </c>
      <c r="C157" s="1">
        <v>137.04</v>
      </c>
      <c r="D157" s="1">
        <v>9.5419999999999998</v>
      </c>
    </row>
    <row r="158" spans="1:4" x14ac:dyDescent="0.25">
      <c r="A158" t="s">
        <v>981</v>
      </c>
      <c r="B158" s="1">
        <v>184.667</v>
      </c>
      <c r="C158" s="1">
        <v>210.864</v>
      </c>
      <c r="D158" s="1">
        <v>26.152999999999999</v>
      </c>
    </row>
    <row r="159" spans="1:4" x14ac:dyDescent="0.25">
      <c r="A159" t="s">
        <v>990</v>
      </c>
      <c r="B159" s="1">
        <v>226.797</v>
      </c>
      <c r="C159" s="1">
        <v>265.76299999999998</v>
      </c>
      <c r="D159" s="1">
        <v>38.94</v>
      </c>
    </row>
    <row r="160" spans="1:4" x14ac:dyDescent="0.25">
      <c r="A160" t="s">
        <v>1002</v>
      </c>
      <c r="B160" s="1">
        <v>0</v>
      </c>
      <c r="C160" s="1">
        <v>1.5149999999999999</v>
      </c>
      <c r="D160" s="1">
        <v>1.4970000000000001</v>
      </c>
    </row>
    <row r="161" spans="1:4" x14ac:dyDescent="0.25">
      <c r="A161" t="s">
        <v>1004</v>
      </c>
      <c r="B161" s="1">
        <v>0</v>
      </c>
      <c r="C161" s="1">
        <v>2.69</v>
      </c>
      <c r="D161" s="1">
        <v>2.6629999999999998</v>
      </c>
    </row>
    <row r="162" spans="1:4" x14ac:dyDescent="0.25">
      <c r="A162" t="s">
        <v>1008</v>
      </c>
      <c r="B162" s="1">
        <v>0</v>
      </c>
      <c r="C162" s="1">
        <v>1.629</v>
      </c>
      <c r="D162" s="1">
        <v>1.69</v>
      </c>
    </row>
    <row r="163" spans="1:4" x14ac:dyDescent="0.25">
      <c r="A163" t="s">
        <v>1011</v>
      </c>
      <c r="B163" s="1">
        <v>0</v>
      </c>
      <c r="C163" s="1">
        <v>2.2389999999999999</v>
      </c>
      <c r="D163" s="1">
        <v>2.1360000000000001</v>
      </c>
    </row>
    <row r="164" spans="1:4" x14ac:dyDescent="0.25">
      <c r="A164" t="s">
        <v>1014</v>
      </c>
      <c r="B164" s="1">
        <v>265.84899999999999</v>
      </c>
      <c r="C164" s="1">
        <v>309.54199999999997</v>
      </c>
      <c r="D164" s="1">
        <v>43.524000000000001</v>
      </c>
    </row>
    <row r="165" spans="1:4" x14ac:dyDescent="0.25">
      <c r="A165" t="s">
        <v>1018</v>
      </c>
      <c r="B165" s="1">
        <v>1.8540000000000001</v>
      </c>
      <c r="C165" s="1">
        <v>59.279000000000003</v>
      </c>
      <c r="D165" s="1">
        <v>57.295999999999999</v>
      </c>
    </row>
    <row r="166" spans="1:4" x14ac:dyDescent="0.25">
      <c r="A166" t="s">
        <v>1022</v>
      </c>
      <c r="B166" s="1">
        <v>100</v>
      </c>
      <c r="C166" s="1">
        <v>104.348</v>
      </c>
      <c r="D166" s="1">
        <v>4.3380000000000001</v>
      </c>
    </row>
    <row r="167" spans="1:4" x14ac:dyDescent="0.25">
      <c r="A167" t="s">
        <v>1025</v>
      </c>
      <c r="B167" s="1">
        <v>0</v>
      </c>
      <c r="C167" s="1">
        <v>14.77</v>
      </c>
      <c r="D167" s="1">
        <v>14.659000000000001</v>
      </c>
    </row>
    <row r="168" spans="1:4" x14ac:dyDescent="0.25">
      <c r="A168" t="s">
        <v>1034</v>
      </c>
      <c r="B168" s="1">
        <v>16.827000000000002</v>
      </c>
      <c r="C168" s="1">
        <v>21.734000000000002</v>
      </c>
      <c r="D168" s="1">
        <v>4.5209999999999999</v>
      </c>
    </row>
    <row r="169" spans="1:4" x14ac:dyDescent="0.25">
      <c r="A169" t="s">
        <v>1037</v>
      </c>
      <c r="B169" s="1">
        <v>0</v>
      </c>
      <c r="C169" s="1">
        <v>34.340000000000003</v>
      </c>
      <c r="D169" s="1">
        <v>34.344999999999999</v>
      </c>
    </row>
    <row r="170" spans="1:4" x14ac:dyDescent="0.25">
      <c r="A170" t="s">
        <v>1040</v>
      </c>
      <c r="B170" s="1">
        <v>0</v>
      </c>
      <c r="C170" s="1">
        <v>33.874000000000002</v>
      </c>
      <c r="D170" s="1">
        <v>33.837000000000003</v>
      </c>
    </row>
    <row r="171" spans="1:4" x14ac:dyDescent="0.25">
      <c r="A171" t="s">
        <v>1043</v>
      </c>
      <c r="B171" s="1">
        <v>81.533000000000001</v>
      </c>
      <c r="C171" s="1">
        <v>89.858000000000004</v>
      </c>
      <c r="D171" s="1">
        <v>8.3360000000000003</v>
      </c>
    </row>
    <row r="172" spans="1:4" x14ac:dyDescent="0.25">
      <c r="A172" t="s">
        <v>1045</v>
      </c>
      <c r="B172" s="1">
        <v>0</v>
      </c>
      <c r="C172" s="1">
        <v>22.605</v>
      </c>
      <c r="D172" s="1">
        <v>22.361000000000001</v>
      </c>
    </row>
    <row r="173" spans="1:4" x14ac:dyDescent="0.25">
      <c r="A173" t="s">
        <v>1049</v>
      </c>
      <c r="B173" s="1">
        <v>0</v>
      </c>
      <c r="C173" s="1">
        <v>73.259</v>
      </c>
      <c r="D173" s="1">
        <v>73.203000000000003</v>
      </c>
    </row>
    <row r="174" spans="1:4" x14ac:dyDescent="0.25">
      <c r="A174" t="s">
        <v>1058</v>
      </c>
      <c r="B174" s="1">
        <v>0</v>
      </c>
      <c r="C174" s="1">
        <v>18.849</v>
      </c>
      <c r="D174" s="1">
        <v>19.684000000000001</v>
      </c>
    </row>
    <row r="175" spans="1:4" x14ac:dyDescent="0.25">
      <c r="A175" t="s">
        <v>1065</v>
      </c>
      <c r="B175" s="1">
        <v>0.54800000000000004</v>
      </c>
      <c r="C175" s="1">
        <v>86.174000000000007</v>
      </c>
      <c r="D175" s="1">
        <v>85.626000000000005</v>
      </c>
    </row>
    <row r="176" spans="1:4" x14ac:dyDescent="0.25">
      <c r="A176" t="s">
        <v>1070</v>
      </c>
      <c r="B176" s="1">
        <v>0</v>
      </c>
      <c r="C176" s="1">
        <v>14.375999999999999</v>
      </c>
      <c r="D176" s="1">
        <v>14.465</v>
      </c>
    </row>
    <row r="177" spans="1:4" x14ac:dyDescent="0.25">
      <c r="A177" t="s">
        <v>1072</v>
      </c>
      <c r="B177" s="1">
        <v>0</v>
      </c>
      <c r="C177" s="1">
        <v>58.811999999999998</v>
      </c>
      <c r="D177" s="1">
        <v>58.069000000000003</v>
      </c>
    </row>
    <row r="178" spans="1:4" x14ac:dyDescent="0.25">
      <c r="A178" t="s">
        <v>1081</v>
      </c>
      <c r="B178" s="1">
        <v>69.498999999999995</v>
      </c>
      <c r="C178" s="1">
        <v>105.83</v>
      </c>
      <c r="D178" s="1">
        <v>36.423000000000002</v>
      </c>
    </row>
    <row r="179" spans="1:4" x14ac:dyDescent="0.25">
      <c r="A179" t="s">
        <v>1087</v>
      </c>
      <c r="B179" s="1">
        <v>106.036</v>
      </c>
      <c r="C179" s="1">
        <v>166.114</v>
      </c>
      <c r="D179" s="1">
        <v>60.087000000000003</v>
      </c>
    </row>
    <row r="180" spans="1:4" x14ac:dyDescent="0.25">
      <c r="A180" t="s">
        <v>1090</v>
      </c>
      <c r="B180" s="1">
        <v>168.99199999999999</v>
      </c>
      <c r="C180" s="1">
        <v>207.45400000000001</v>
      </c>
      <c r="D180" s="1">
        <v>38.704000000000001</v>
      </c>
    </row>
    <row r="181" spans="1:4" x14ac:dyDescent="0.25">
      <c r="A181" t="s">
        <v>1095</v>
      </c>
      <c r="B181" s="1">
        <v>0</v>
      </c>
      <c r="C181" s="1">
        <v>4.5839999999999996</v>
      </c>
      <c r="D181" s="1">
        <v>4.5570000000000004</v>
      </c>
    </row>
    <row r="182" spans="1:4" x14ac:dyDescent="0.25">
      <c r="A182" t="s">
        <v>1099</v>
      </c>
      <c r="B182" s="1">
        <v>0</v>
      </c>
      <c r="C182" s="1">
        <v>0.41899999999999998</v>
      </c>
      <c r="D182" s="1">
        <v>0.42299999999999999</v>
      </c>
    </row>
    <row r="183" spans="1:4" x14ac:dyDescent="0.25">
      <c r="A183" t="s">
        <v>1102</v>
      </c>
      <c r="B183" s="1">
        <v>0</v>
      </c>
      <c r="C183" s="1">
        <v>21.413</v>
      </c>
      <c r="D183" s="1">
        <v>21.349</v>
      </c>
    </row>
    <row r="184" spans="1:4" x14ac:dyDescent="0.25">
      <c r="A184" t="s">
        <v>1105</v>
      </c>
      <c r="B184" s="1">
        <v>8.2000000000000003E-2</v>
      </c>
      <c r="C184" s="1">
        <v>22.488</v>
      </c>
      <c r="D184" s="1">
        <v>22.335000000000001</v>
      </c>
    </row>
    <row r="185" spans="1:4" x14ac:dyDescent="0.25">
      <c r="A185" t="s">
        <v>1110</v>
      </c>
      <c r="B185" s="1">
        <v>4.7309999999999999</v>
      </c>
      <c r="C185" s="1">
        <v>9.48</v>
      </c>
      <c r="D185" s="1">
        <v>4.7619999999999996</v>
      </c>
    </row>
    <row r="186" spans="1:4" x14ac:dyDescent="0.25">
      <c r="A186" t="s">
        <v>1114</v>
      </c>
      <c r="B186" s="1">
        <v>28.16</v>
      </c>
      <c r="C186" s="1">
        <v>32.628</v>
      </c>
      <c r="D186" s="1">
        <v>4.4770000000000003</v>
      </c>
    </row>
    <row r="187" spans="1:4" x14ac:dyDescent="0.25">
      <c r="A187" t="s">
        <v>1117</v>
      </c>
      <c r="B187" s="1">
        <v>0</v>
      </c>
      <c r="C187" s="1">
        <v>65.326999999999998</v>
      </c>
      <c r="D187" s="1">
        <v>64.691999999999993</v>
      </c>
    </row>
    <row r="188" spans="1:4" x14ac:dyDescent="0.25">
      <c r="A188" t="s">
        <v>1123</v>
      </c>
      <c r="B188" s="1">
        <v>0</v>
      </c>
      <c r="C188" s="1">
        <v>0.184</v>
      </c>
      <c r="D188" s="1">
        <v>0.193</v>
      </c>
    </row>
    <row r="189" spans="1:4" x14ac:dyDescent="0.25">
      <c r="A189" t="s">
        <v>1126</v>
      </c>
      <c r="B189" s="1">
        <v>0</v>
      </c>
      <c r="C189" s="1">
        <v>0.14000000000000001</v>
      </c>
      <c r="D189" s="1">
        <v>0.186</v>
      </c>
    </row>
    <row r="190" spans="1:4" x14ac:dyDescent="0.25">
      <c r="A190" t="s">
        <v>1129</v>
      </c>
      <c r="B190" s="1">
        <v>0</v>
      </c>
      <c r="C190" s="1">
        <v>27.802</v>
      </c>
      <c r="D190" s="1">
        <v>27.785</v>
      </c>
    </row>
    <row r="191" spans="1:4" x14ac:dyDescent="0.25">
      <c r="A191" t="s">
        <v>1134</v>
      </c>
      <c r="B191" s="1">
        <v>0</v>
      </c>
      <c r="C191" s="1">
        <v>18.829999999999998</v>
      </c>
      <c r="D191" s="1">
        <v>18.753</v>
      </c>
    </row>
    <row r="192" spans="1:4" x14ac:dyDescent="0.25">
      <c r="A192" t="s">
        <v>1136</v>
      </c>
      <c r="B192" s="1">
        <v>0</v>
      </c>
      <c r="C192" s="1">
        <v>61.697000000000003</v>
      </c>
      <c r="D192" s="1">
        <v>61.645000000000003</v>
      </c>
    </row>
    <row r="193" spans="1:4" x14ac:dyDescent="0.25">
      <c r="A193" t="s">
        <v>1140</v>
      </c>
      <c r="B193" s="1">
        <v>0</v>
      </c>
      <c r="C193" s="1">
        <v>47.496000000000002</v>
      </c>
      <c r="D193" s="1">
        <v>46.981000000000002</v>
      </c>
    </row>
    <row r="194" spans="1:4" x14ac:dyDescent="0.25">
      <c r="A194" t="s">
        <v>1155</v>
      </c>
      <c r="B194" s="1">
        <v>0</v>
      </c>
      <c r="C194" s="1">
        <v>32.322000000000003</v>
      </c>
      <c r="D194" s="1">
        <v>32.348999999999997</v>
      </c>
    </row>
    <row r="195" spans="1:4" x14ac:dyDescent="0.25">
      <c r="A195" t="s">
        <v>1158</v>
      </c>
      <c r="B195" s="1">
        <v>0</v>
      </c>
      <c r="C195" s="1">
        <v>41.892000000000003</v>
      </c>
      <c r="D195" s="1">
        <v>41.731999999999999</v>
      </c>
    </row>
    <row r="196" spans="1:4" x14ac:dyDescent="0.25">
      <c r="A196" t="s">
        <v>1167</v>
      </c>
      <c r="B196" s="1">
        <v>44.237000000000002</v>
      </c>
      <c r="C196" s="1">
        <v>59.088999999999999</v>
      </c>
      <c r="D196" s="1">
        <v>14.231</v>
      </c>
    </row>
    <row r="197" spans="1:4" x14ac:dyDescent="0.25">
      <c r="A197" t="s">
        <v>1172</v>
      </c>
      <c r="B197" s="1">
        <v>59.088999999999999</v>
      </c>
      <c r="C197" s="1">
        <v>63.7</v>
      </c>
      <c r="D197" s="1">
        <v>4.5119999999999996</v>
      </c>
    </row>
    <row r="198" spans="1:4" x14ac:dyDescent="0.25">
      <c r="A198" t="s">
        <v>1176</v>
      </c>
      <c r="B198" s="1">
        <v>0</v>
      </c>
      <c r="C198" s="1">
        <v>7.1859999999999999</v>
      </c>
      <c r="D198" s="1">
        <v>7.1289999999999996</v>
      </c>
    </row>
    <row r="199" spans="1:4" x14ac:dyDescent="0.25">
      <c r="A199" t="s">
        <v>1180</v>
      </c>
      <c r="B199" s="1">
        <v>0</v>
      </c>
      <c r="C199" s="1">
        <v>26.419</v>
      </c>
      <c r="D199" s="1">
        <v>26.016999999999999</v>
      </c>
    </row>
    <row r="200" spans="1:4" x14ac:dyDescent="0.25">
      <c r="A200" t="s">
        <v>1185</v>
      </c>
      <c r="B200" s="1">
        <v>0</v>
      </c>
      <c r="C200" s="1">
        <v>4.4130000000000003</v>
      </c>
      <c r="D200" s="1">
        <v>4.4539999999999997</v>
      </c>
    </row>
    <row r="201" spans="1:4" x14ac:dyDescent="0.25">
      <c r="A201" t="s">
        <v>1192</v>
      </c>
      <c r="B201" s="1">
        <v>0</v>
      </c>
      <c r="C201" s="1">
        <v>75.406000000000006</v>
      </c>
      <c r="D201" s="1">
        <v>75.236999999999995</v>
      </c>
    </row>
    <row r="202" spans="1:4" x14ac:dyDescent="0.25">
      <c r="A202" t="s">
        <v>1197</v>
      </c>
      <c r="B202" s="1">
        <v>0</v>
      </c>
      <c r="C202" s="1">
        <v>9.202</v>
      </c>
      <c r="D202" s="1">
        <v>9.0749999999999993</v>
      </c>
    </row>
    <row r="203" spans="1:4" x14ac:dyDescent="0.25">
      <c r="A203" t="s">
        <v>1204</v>
      </c>
      <c r="B203" s="1">
        <v>0</v>
      </c>
      <c r="C203" s="1">
        <v>8.6890000000000001</v>
      </c>
      <c r="D203" s="1">
        <v>8.7579999999999991</v>
      </c>
    </row>
    <row r="204" spans="1:4" x14ac:dyDescent="0.25">
      <c r="A204" t="s">
        <v>1206</v>
      </c>
      <c r="B204" s="1">
        <v>12.167999999999999</v>
      </c>
      <c r="C204" s="1">
        <v>14.113</v>
      </c>
      <c r="D204" s="1">
        <v>1.946</v>
      </c>
    </row>
    <row r="205" spans="1:4" x14ac:dyDescent="0.25">
      <c r="A205" t="s">
        <v>1207</v>
      </c>
      <c r="B205" s="1">
        <v>0</v>
      </c>
      <c r="C205" s="1">
        <v>0.32300000000000001</v>
      </c>
      <c r="D205" s="1">
        <v>0.318</v>
      </c>
    </row>
    <row r="206" spans="1:4" x14ac:dyDescent="0.25">
      <c r="A206" t="s">
        <v>1210</v>
      </c>
      <c r="B206" s="1">
        <v>5.2999999999999999E-2</v>
      </c>
      <c r="C206" s="1">
        <v>68.721000000000004</v>
      </c>
      <c r="D206" s="1">
        <v>68.462000000000003</v>
      </c>
    </row>
    <row r="207" spans="1:4" x14ac:dyDescent="0.25">
      <c r="A207" t="s">
        <v>1222</v>
      </c>
      <c r="B207" s="1">
        <v>0</v>
      </c>
      <c r="C207" s="1">
        <v>68.820999999999998</v>
      </c>
      <c r="D207" s="1">
        <v>66.944999999999993</v>
      </c>
    </row>
    <row r="208" spans="1:4" x14ac:dyDescent="0.25">
      <c r="A208" t="s">
        <v>1223</v>
      </c>
      <c r="B208" s="1">
        <v>12.159000000000001</v>
      </c>
      <c r="C208" s="1">
        <v>16.076000000000001</v>
      </c>
      <c r="D208" s="1">
        <v>4.0010000000000003</v>
      </c>
    </row>
    <row r="209" spans="1:4" x14ac:dyDescent="0.25">
      <c r="A209" t="s">
        <v>1224</v>
      </c>
      <c r="B209" s="1">
        <v>0</v>
      </c>
      <c r="C209" s="1">
        <v>27.163</v>
      </c>
      <c r="D209" s="1">
        <v>26.954999999999998</v>
      </c>
    </row>
    <row r="210" spans="1:4" x14ac:dyDescent="0.25">
      <c r="A210" t="s">
        <v>1230</v>
      </c>
      <c r="B210" s="1">
        <v>0</v>
      </c>
      <c r="C210" s="1">
        <v>27.484000000000002</v>
      </c>
      <c r="D210" s="1">
        <v>27.324000000000002</v>
      </c>
    </row>
    <row r="211" spans="1:4" x14ac:dyDescent="0.25">
      <c r="A211" t="s">
        <v>1234</v>
      </c>
      <c r="B211" s="1">
        <v>0</v>
      </c>
      <c r="C211" s="1">
        <v>4.4690000000000003</v>
      </c>
      <c r="D211" s="1">
        <v>4.4539999999999997</v>
      </c>
    </row>
    <row r="212" spans="1:4" x14ac:dyDescent="0.25">
      <c r="A212" t="s">
        <v>1236</v>
      </c>
      <c r="B212" s="1">
        <v>0</v>
      </c>
      <c r="C212" s="1">
        <v>59.823</v>
      </c>
      <c r="D212" s="1">
        <v>59.746000000000002</v>
      </c>
    </row>
    <row r="213" spans="1:4" x14ac:dyDescent="0.25">
      <c r="A213" t="s">
        <v>1245</v>
      </c>
      <c r="B213" s="1">
        <v>0</v>
      </c>
      <c r="C213" s="1">
        <v>0.61399999999999999</v>
      </c>
      <c r="D213" s="1">
        <v>0.64300000000000002</v>
      </c>
    </row>
    <row r="214" spans="1:4" x14ac:dyDescent="0.25">
      <c r="A214" t="s">
        <v>1253</v>
      </c>
      <c r="B214" s="1">
        <v>0</v>
      </c>
      <c r="C214" s="1">
        <v>72.064999999999998</v>
      </c>
      <c r="D214" s="1">
        <v>71.685000000000002</v>
      </c>
    </row>
    <row r="215" spans="1:4" x14ac:dyDescent="0.25">
      <c r="A215" t="s">
        <v>1258</v>
      </c>
      <c r="B215" s="1">
        <v>0</v>
      </c>
      <c r="C215" s="1">
        <v>23.434999999999999</v>
      </c>
      <c r="D215" s="1">
        <v>23.341999999999999</v>
      </c>
    </row>
    <row r="216" spans="1:4" x14ac:dyDescent="0.25">
      <c r="A216" t="s">
        <v>1261</v>
      </c>
      <c r="B216" s="1">
        <v>0</v>
      </c>
      <c r="C216" s="1">
        <v>154.10900000000001</v>
      </c>
      <c r="D216" s="1">
        <v>154.30500000000001</v>
      </c>
    </row>
    <row r="217" spans="1:4" x14ac:dyDescent="0.25">
      <c r="A217" t="s">
        <v>1272</v>
      </c>
      <c r="B217" s="1">
        <v>156.74600000000001</v>
      </c>
      <c r="C217" s="1">
        <v>162.297</v>
      </c>
      <c r="D217" s="1">
        <v>5.46</v>
      </c>
    </row>
    <row r="218" spans="1:4" x14ac:dyDescent="0.25">
      <c r="A218" t="s">
        <v>1273</v>
      </c>
      <c r="B218" s="1">
        <v>0</v>
      </c>
      <c r="C218" s="1">
        <v>33.840000000000003</v>
      </c>
      <c r="D218" s="1">
        <v>33.521999999999998</v>
      </c>
    </row>
    <row r="219" spans="1:4" x14ac:dyDescent="0.25">
      <c r="A219" t="s">
        <v>1276</v>
      </c>
      <c r="B219" s="1">
        <v>0</v>
      </c>
      <c r="C219" s="1">
        <v>28.795999999999999</v>
      </c>
      <c r="D219" s="1">
        <v>28.661000000000001</v>
      </c>
    </row>
    <row r="220" spans="1:4" x14ac:dyDescent="0.25">
      <c r="A220" t="s">
        <v>1284</v>
      </c>
      <c r="B220" s="1">
        <v>0</v>
      </c>
      <c r="C220" s="1">
        <v>116.879</v>
      </c>
      <c r="D220" s="1">
        <v>116.217</v>
      </c>
    </row>
    <row r="221" spans="1:4" x14ac:dyDescent="0.25">
      <c r="A221" t="s">
        <v>1294</v>
      </c>
      <c r="B221" s="1">
        <v>0</v>
      </c>
      <c r="C221" s="1">
        <v>117.52200000000001</v>
      </c>
      <c r="D221" s="1">
        <v>116.79900000000001</v>
      </c>
    </row>
    <row r="222" spans="1:4" x14ac:dyDescent="0.25">
      <c r="A222" t="s">
        <v>1298</v>
      </c>
      <c r="B222" s="1">
        <v>0</v>
      </c>
      <c r="C222" s="1">
        <v>16.114000000000001</v>
      </c>
      <c r="D222" s="1">
        <v>15.94</v>
      </c>
    </row>
    <row r="223" spans="1:4" x14ac:dyDescent="0.25">
      <c r="A223" t="s">
        <v>1301</v>
      </c>
      <c r="B223" s="1">
        <v>0</v>
      </c>
      <c r="C223" s="1">
        <v>33.96</v>
      </c>
      <c r="D223" s="1">
        <v>33.854999999999997</v>
      </c>
    </row>
    <row r="224" spans="1:4" x14ac:dyDescent="0.25">
      <c r="A224" t="s">
        <v>1305</v>
      </c>
      <c r="B224" s="1">
        <v>0</v>
      </c>
      <c r="C224" s="1">
        <v>4.53</v>
      </c>
      <c r="D224" s="1">
        <v>4.8650000000000002</v>
      </c>
    </row>
    <row r="225" spans="1:4" x14ac:dyDescent="0.25">
      <c r="A225" t="s">
        <v>1308</v>
      </c>
      <c r="B225" s="1">
        <v>0</v>
      </c>
      <c r="C225" s="1">
        <v>33.661000000000001</v>
      </c>
      <c r="D225" s="1">
        <v>33.591000000000001</v>
      </c>
    </row>
    <row r="226" spans="1:4" x14ac:dyDescent="0.25">
      <c r="A226" t="s">
        <v>1313</v>
      </c>
      <c r="B226" s="1">
        <v>0</v>
      </c>
      <c r="C226" s="1">
        <v>305.38</v>
      </c>
      <c r="D226" s="1">
        <v>304.23200000000003</v>
      </c>
    </row>
    <row r="227" spans="1:4" x14ac:dyDescent="0.25">
      <c r="A227" t="s">
        <v>1353</v>
      </c>
      <c r="B227" s="1">
        <v>305.52600000000001</v>
      </c>
      <c r="C227" s="1">
        <v>306.35000000000002</v>
      </c>
      <c r="D227" s="1">
        <v>0.91200000000000003</v>
      </c>
    </row>
    <row r="228" spans="1:4" x14ac:dyDescent="0.25">
      <c r="A228" t="s">
        <v>1357</v>
      </c>
      <c r="B228" s="1">
        <v>344.572</v>
      </c>
      <c r="C228" s="1">
        <v>497.22300000000001</v>
      </c>
      <c r="D228" s="1">
        <v>153.02000000000001</v>
      </c>
    </row>
    <row r="229" spans="1:4" x14ac:dyDescent="0.25">
      <c r="A229" t="s">
        <v>1365</v>
      </c>
      <c r="B229" s="1">
        <v>0</v>
      </c>
      <c r="C229" s="1">
        <v>2.488</v>
      </c>
      <c r="D229" s="1">
        <v>2.6160000000000001</v>
      </c>
    </row>
    <row r="230" spans="1:4" x14ac:dyDescent="0.25">
      <c r="A230" t="s">
        <v>1371</v>
      </c>
      <c r="B230" s="1">
        <v>0</v>
      </c>
      <c r="C230" s="1">
        <v>0.92900000000000005</v>
      </c>
      <c r="D230" s="1">
        <v>0.93100000000000005</v>
      </c>
    </row>
    <row r="231" spans="1:4" x14ac:dyDescent="0.25">
      <c r="A231" t="s">
        <v>1374</v>
      </c>
      <c r="B231" s="1">
        <v>0</v>
      </c>
      <c r="C231" s="1">
        <v>36.893999999999998</v>
      </c>
      <c r="D231" s="1">
        <v>36.683999999999997</v>
      </c>
    </row>
    <row r="232" spans="1:4" x14ac:dyDescent="0.25">
      <c r="A232" t="s">
        <v>1380</v>
      </c>
      <c r="B232" s="1">
        <v>0</v>
      </c>
      <c r="C232" s="1">
        <v>4.8600000000000003</v>
      </c>
      <c r="D232" s="1">
        <v>4.8730000000000002</v>
      </c>
    </row>
    <row r="233" spans="1:4" x14ac:dyDescent="0.25">
      <c r="A233" t="s">
        <v>1383</v>
      </c>
      <c r="B233" s="1">
        <v>0</v>
      </c>
      <c r="C233" s="1">
        <v>6.9779999999999998</v>
      </c>
      <c r="D233" s="1">
        <v>7.0419999999999998</v>
      </c>
    </row>
    <row r="234" spans="1:4" x14ac:dyDescent="0.25">
      <c r="A234" t="s">
        <v>1385</v>
      </c>
      <c r="B234" s="1">
        <v>0</v>
      </c>
      <c r="C234" s="1">
        <v>24.498999999999999</v>
      </c>
      <c r="D234" s="1">
        <v>24.497</v>
      </c>
    </row>
    <row r="235" spans="1:4" x14ac:dyDescent="0.25">
      <c r="A235" t="s">
        <v>1392</v>
      </c>
      <c r="B235" s="1">
        <v>0</v>
      </c>
      <c r="C235" s="1">
        <v>6.1109999999999998</v>
      </c>
      <c r="D235" s="1">
        <v>6.3639999999999999</v>
      </c>
    </row>
    <row r="236" spans="1:4" x14ac:dyDescent="0.25">
      <c r="A236" t="s">
        <v>1394</v>
      </c>
      <c r="B236" s="1">
        <v>0</v>
      </c>
      <c r="C236" s="1">
        <v>1</v>
      </c>
      <c r="D236" s="1">
        <v>0.98</v>
      </c>
    </row>
    <row r="237" spans="1:4" x14ac:dyDescent="0.25">
      <c r="A237" t="s">
        <v>1397</v>
      </c>
      <c r="B237" s="1">
        <v>0</v>
      </c>
      <c r="C237" s="1">
        <v>8.1590000000000007</v>
      </c>
      <c r="D237" s="1">
        <v>8.08</v>
      </c>
    </row>
    <row r="238" spans="1:4" x14ac:dyDescent="0.25">
      <c r="A238" t="s">
        <v>1401</v>
      </c>
      <c r="B238" s="1">
        <v>8.9</v>
      </c>
      <c r="C238" s="1">
        <v>26.599</v>
      </c>
      <c r="D238" s="1">
        <v>17.588999999999999</v>
      </c>
    </row>
    <row r="239" spans="1:4" x14ac:dyDescent="0.25">
      <c r="A239" t="s">
        <v>1407</v>
      </c>
      <c r="B239" s="1">
        <v>0</v>
      </c>
      <c r="C239" s="1">
        <v>20.327000000000002</v>
      </c>
      <c r="D239" s="1">
        <v>20.189</v>
      </c>
    </row>
    <row r="240" spans="1:4" x14ac:dyDescent="0.25">
      <c r="A240" t="s">
        <v>1410</v>
      </c>
      <c r="B240" s="1">
        <v>0</v>
      </c>
      <c r="C240" s="1">
        <v>8.9220000000000006</v>
      </c>
      <c r="D240" s="1">
        <v>8.891</v>
      </c>
    </row>
    <row r="241" spans="1:4" x14ac:dyDescent="0.25">
      <c r="A241" t="s">
        <v>1414</v>
      </c>
      <c r="B241" s="1">
        <v>0</v>
      </c>
      <c r="C241" s="1">
        <v>3.2280000000000002</v>
      </c>
      <c r="D241" s="1">
        <v>3.2240000000000002</v>
      </c>
    </row>
    <row r="242" spans="1:4" x14ac:dyDescent="0.25">
      <c r="A242" t="s">
        <v>1416</v>
      </c>
      <c r="B242" s="1">
        <v>0</v>
      </c>
      <c r="C242" s="1">
        <v>5.9349999999999996</v>
      </c>
      <c r="D242" s="1">
        <v>5.9180000000000001</v>
      </c>
    </row>
    <row r="243" spans="1:4" x14ac:dyDescent="0.25">
      <c r="A243" t="s">
        <v>1421</v>
      </c>
      <c r="B243" s="1">
        <v>0</v>
      </c>
      <c r="C243" s="1">
        <v>1.528</v>
      </c>
      <c r="D243" s="1">
        <v>1.5049999999999999</v>
      </c>
    </row>
    <row r="244" spans="1:4" x14ac:dyDescent="0.25">
      <c r="A244" t="s">
        <v>1424</v>
      </c>
      <c r="B244" s="1">
        <v>0</v>
      </c>
      <c r="C244" s="1">
        <v>3.6339999999999999</v>
      </c>
      <c r="D244" s="1">
        <v>3.6890000000000001</v>
      </c>
    </row>
    <row r="245" spans="1:4" x14ac:dyDescent="0.25">
      <c r="A245" t="s">
        <v>1431</v>
      </c>
      <c r="B245" s="1">
        <v>0</v>
      </c>
      <c r="C245" s="1">
        <v>12.430999999999999</v>
      </c>
      <c r="D245" s="1">
        <v>12.455</v>
      </c>
    </row>
    <row r="246" spans="1:4" x14ac:dyDescent="0.25">
      <c r="A246" t="s">
        <v>1435</v>
      </c>
      <c r="B246" s="1">
        <v>0</v>
      </c>
      <c r="C246" s="1">
        <v>0.33200000000000002</v>
      </c>
      <c r="D246" s="1">
        <v>0.29599999999999999</v>
      </c>
    </row>
    <row r="247" spans="1:4" x14ac:dyDescent="0.25">
      <c r="A247" t="s">
        <v>1439</v>
      </c>
      <c r="B247" s="1">
        <v>0</v>
      </c>
      <c r="C247" s="1">
        <v>2.0499999999999998</v>
      </c>
      <c r="D247" s="1">
        <v>2.0219999999999998</v>
      </c>
    </row>
    <row r="248" spans="1:4" x14ac:dyDescent="0.25">
      <c r="A248" t="s">
        <v>1442</v>
      </c>
      <c r="B248" s="1">
        <v>0</v>
      </c>
      <c r="C248" s="1">
        <v>3.3450000000000002</v>
      </c>
      <c r="D248" s="1">
        <v>3.218</v>
      </c>
    </row>
    <row r="249" spans="1:4" x14ac:dyDescent="0.25">
      <c r="A249" t="s">
        <v>1445</v>
      </c>
      <c r="B249" s="1">
        <v>0</v>
      </c>
      <c r="C249" s="1">
        <v>18.486999999999998</v>
      </c>
      <c r="D249" s="1">
        <v>18.559999999999999</v>
      </c>
    </row>
    <row r="250" spans="1:4" x14ac:dyDescent="0.25">
      <c r="A250" t="s">
        <v>1454</v>
      </c>
      <c r="B250" s="1">
        <v>3.6999999999999998E-2</v>
      </c>
      <c r="C250" s="1">
        <v>1.1459999999999999</v>
      </c>
      <c r="D250" s="1">
        <v>1.095</v>
      </c>
    </row>
    <row r="251" spans="1:4" x14ac:dyDescent="0.25">
      <c r="A251" t="s">
        <v>4552</v>
      </c>
      <c r="B251" s="1">
        <v>0.63500000000000001</v>
      </c>
      <c r="C251" s="1">
        <v>2.7330000000000001</v>
      </c>
      <c r="D251" s="1">
        <v>2.0539999999999998</v>
      </c>
    </row>
    <row r="252" spans="1:4" x14ac:dyDescent="0.25">
      <c r="A252" t="s">
        <v>1457</v>
      </c>
      <c r="B252" s="1">
        <v>1.177</v>
      </c>
      <c r="C252" s="1">
        <v>3.621</v>
      </c>
      <c r="D252" s="1">
        <v>2.431</v>
      </c>
    </row>
    <row r="253" spans="1:4" x14ac:dyDescent="0.25">
      <c r="A253" t="s">
        <v>1459</v>
      </c>
      <c r="B253" s="1">
        <v>3.4000000000000002E-2</v>
      </c>
      <c r="C253" s="1">
        <v>0.14699999999999999</v>
      </c>
      <c r="D253" s="1">
        <v>0.16300000000000001</v>
      </c>
    </row>
    <row r="254" spans="1:4" x14ac:dyDescent="0.25">
      <c r="A254" t="s">
        <v>1462</v>
      </c>
      <c r="B254" s="1">
        <v>0</v>
      </c>
      <c r="C254" s="1">
        <v>11.516</v>
      </c>
      <c r="D254" s="1">
        <v>11.464</v>
      </c>
    </row>
    <row r="255" spans="1:4" x14ac:dyDescent="0.25">
      <c r="A255" t="s">
        <v>1464</v>
      </c>
      <c r="B255" s="1">
        <v>0</v>
      </c>
      <c r="C255" s="1">
        <v>5.9859999999999998</v>
      </c>
      <c r="D255" s="1">
        <v>5.774</v>
      </c>
    </row>
    <row r="256" spans="1:4" x14ac:dyDescent="0.25">
      <c r="A256" t="s">
        <v>1467</v>
      </c>
      <c r="B256" s="1">
        <v>0.17699999999999999</v>
      </c>
      <c r="C256" s="1">
        <v>1.1000000000000001</v>
      </c>
      <c r="D256" s="1">
        <v>0.83499999999999996</v>
      </c>
    </row>
    <row r="257" spans="1:4" x14ac:dyDescent="0.25">
      <c r="A257" t="s">
        <v>1471</v>
      </c>
      <c r="B257" s="1">
        <v>0</v>
      </c>
      <c r="C257" s="1">
        <v>34.101999999999997</v>
      </c>
      <c r="D257" s="1">
        <v>34.116999999999997</v>
      </c>
    </row>
    <row r="258" spans="1:4" x14ac:dyDescent="0.25">
      <c r="A258" t="s">
        <v>1483</v>
      </c>
      <c r="B258" s="1">
        <v>51.158999999999999</v>
      </c>
      <c r="C258" s="1">
        <v>126.48</v>
      </c>
      <c r="D258" s="1">
        <v>75.072000000000003</v>
      </c>
    </row>
    <row r="259" spans="1:4" x14ac:dyDescent="0.25">
      <c r="A259" t="s">
        <v>1489</v>
      </c>
      <c r="B259" s="1">
        <v>126.85299999999999</v>
      </c>
      <c r="C259" s="1">
        <v>148.065</v>
      </c>
      <c r="D259" s="1">
        <v>21.02</v>
      </c>
    </row>
    <row r="260" spans="1:4" x14ac:dyDescent="0.25">
      <c r="A260" t="s">
        <v>1493</v>
      </c>
      <c r="B260" s="1">
        <v>161.78899999999999</v>
      </c>
      <c r="C260" s="1">
        <v>263.947</v>
      </c>
      <c r="D260" s="1">
        <v>101.93300000000001</v>
      </c>
    </row>
    <row r="261" spans="1:4" x14ac:dyDescent="0.25">
      <c r="A261" t="s">
        <v>1501</v>
      </c>
      <c r="B261" s="1">
        <v>0</v>
      </c>
      <c r="C261" s="1">
        <v>77.638999999999996</v>
      </c>
      <c r="D261" s="1">
        <v>77.631</v>
      </c>
    </row>
    <row r="262" spans="1:4" x14ac:dyDescent="0.25">
      <c r="A262" t="s">
        <v>1508</v>
      </c>
      <c r="B262" s="1">
        <v>85.188000000000002</v>
      </c>
      <c r="C262" s="1">
        <v>133.24</v>
      </c>
      <c r="D262" s="1">
        <v>48.043999999999997</v>
      </c>
    </row>
    <row r="263" spans="1:4" x14ac:dyDescent="0.25">
      <c r="A263" t="s">
        <v>1516</v>
      </c>
      <c r="B263" s="1">
        <v>282.7</v>
      </c>
      <c r="C263" s="1">
        <v>385.22300000000001</v>
      </c>
      <c r="D263" s="1">
        <v>102.202</v>
      </c>
    </row>
    <row r="264" spans="1:4" x14ac:dyDescent="0.25">
      <c r="A264" t="s">
        <v>1539</v>
      </c>
      <c r="B264" s="1">
        <v>0</v>
      </c>
      <c r="C264" s="1">
        <v>1.7629999999999999</v>
      </c>
      <c r="D264" s="1">
        <v>1.7769999999999999</v>
      </c>
    </row>
    <row r="265" spans="1:4" x14ac:dyDescent="0.25">
      <c r="A265" t="s">
        <v>1548</v>
      </c>
      <c r="B265" s="1">
        <v>0</v>
      </c>
      <c r="C265" s="1">
        <v>9.1349999999999998</v>
      </c>
      <c r="D265" s="1">
        <v>8.9440000000000008</v>
      </c>
    </row>
    <row r="266" spans="1:4" x14ac:dyDescent="0.25">
      <c r="A266" t="s">
        <v>1551</v>
      </c>
      <c r="B266" s="1">
        <v>0</v>
      </c>
      <c r="C266" s="1">
        <v>3.3559999999999999</v>
      </c>
      <c r="D266" s="1">
        <v>3.3690000000000002</v>
      </c>
    </row>
    <row r="267" spans="1:4" x14ac:dyDescent="0.25">
      <c r="A267" t="s">
        <v>1555</v>
      </c>
      <c r="B267" s="1">
        <v>0</v>
      </c>
      <c r="C267" s="1">
        <v>12.237</v>
      </c>
      <c r="D267" s="1">
        <v>12.03</v>
      </c>
    </row>
    <row r="268" spans="1:4" x14ac:dyDescent="0.25">
      <c r="A268" t="s">
        <v>1558</v>
      </c>
      <c r="B268" s="1">
        <v>0</v>
      </c>
      <c r="C268" s="1">
        <v>60.697000000000003</v>
      </c>
      <c r="D268" s="1">
        <v>60.473999999999997</v>
      </c>
    </row>
    <row r="269" spans="1:4" x14ac:dyDescent="0.25">
      <c r="A269" t="s">
        <v>1561</v>
      </c>
      <c r="B269" s="1">
        <v>0</v>
      </c>
      <c r="C269" s="1">
        <v>11.395</v>
      </c>
      <c r="D269" s="1">
        <v>11.276</v>
      </c>
    </row>
    <row r="270" spans="1:4" x14ac:dyDescent="0.25">
      <c r="A270" t="s">
        <v>1566</v>
      </c>
      <c r="B270" s="1">
        <v>0</v>
      </c>
      <c r="C270" s="1">
        <v>11.395</v>
      </c>
      <c r="D270" s="1">
        <v>11.432</v>
      </c>
    </row>
    <row r="271" spans="1:4" x14ac:dyDescent="0.25">
      <c r="A271" t="s">
        <v>1569</v>
      </c>
      <c r="B271" s="1">
        <v>0</v>
      </c>
      <c r="C271" s="1">
        <v>13.340999999999999</v>
      </c>
      <c r="D271" s="1">
        <v>13.195</v>
      </c>
    </row>
    <row r="272" spans="1:4" x14ac:dyDescent="0.25">
      <c r="A272" t="s">
        <v>1573</v>
      </c>
      <c r="B272" s="1">
        <v>0</v>
      </c>
      <c r="C272" s="1">
        <v>5.2480000000000002</v>
      </c>
      <c r="D272" s="1">
        <v>5.1630000000000003</v>
      </c>
    </row>
    <row r="273" spans="1:4" x14ac:dyDescent="0.25">
      <c r="A273" t="s">
        <v>1578</v>
      </c>
      <c r="B273" s="1">
        <v>0</v>
      </c>
      <c r="C273" s="1">
        <v>17.059000000000001</v>
      </c>
      <c r="D273" s="1">
        <v>17.045000000000002</v>
      </c>
    </row>
    <row r="274" spans="1:4" x14ac:dyDescent="0.25">
      <c r="A274" t="s">
        <v>1583</v>
      </c>
      <c r="B274" s="1">
        <v>0</v>
      </c>
      <c r="C274" s="1">
        <v>72.718000000000004</v>
      </c>
      <c r="D274" s="1">
        <v>72.510999999999996</v>
      </c>
    </row>
    <row r="275" spans="1:4" x14ac:dyDescent="0.25">
      <c r="A275" t="s">
        <v>1587</v>
      </c>
      <c r="B275" s="1">
        <v>0</v>
      </c>
      <c r="C275" s="1">
        <v>12.329000000000001</v>
      </c>
      <c r="D275" s="1">
        <v>12.314</v>
      </c>
    </row>
    <row r="276" spans="1:4" x14ac:dyDescent="0.25">
      <c r="A276" t="s">
        <v>1591</v>
      </c>
      <c r="B276" s="1">
        <v>0</v>
      </c>
      <c r="C276" s="1">
        <v>14.115</v>
      </c>
      <c r="D276" s="1">
        <v>14.127000000000001</v>
      </c>
    </row>
    <row r="277" spans="1:4" x14ac:dyDescent="0.25">
      <c r="A277" t="s">
        <v>1595</v>
      </c>
      <c r="B277" s="1">
        <v>0</v>
      </c>
      <c r="C277" s="1">
        <v>6.0670000000000002</v>
      </c>
      <c r="D277" s="1">
        <v>6.0510000000000002</v>
      </c>
    </row>
    <row r="278" spans="1:4" x14ac:dyDescent="0.25">
      <c r="A278" t="s">
        <v>1598</v>
      </c>
      <c r="B278" s="1">
        <v>95</v>
      </c>
      <c r="C278" s="1">
        <v>122.879</v>
      </c>
      <c r="D278" s="1">
        <v>27.805</v>
      </c>
    </row>
    <row r="279" spans="1:4" x14ac:dyDescent="0.25">
      <c r="A279" t="s">
        <v>1602</v>
      </c>
      <c r="B279" s="1">
        <v>123.682</v>
      </c>
      <c r="C279" s="1">
        <v>149.70099999999999</v>
      </c>
      <c r="D279" s="1">
        <v>26.085999999999999</v>
      </c>
    </row>
    <row r="280" spans="1:4" x14ac:dyDescent="0.25">
      <c r="A280" t="s">
        <v>1605</v>
      </c>
      <c r="B280" s="1">
        <v>150.251</v>
      </c>
      <c r="C280" s="1">
        <v>216.86099999999999</v>
      </c>
      <c r="D280" s="1">
        <v>66.45</v>
      </c>
    </row>
    <row r="281" spans="1:4" x14ac:dyDescent="0.25">
      <c r="A281" t="s">
        <v>1615</v>
      </c>
      <c r="B281" s="1">
        <v>219.44800000000001</v>
      </c>
      <c r="C281" s="1">
        <v>310.99599999999998</v>
      </c>
      <c r="D281" s="1">
        <v>91.89</v>
      </c>
    </row>
    <row r="282" spans="1:4" x14ac:dyDescent="0.25">
      <c r="A282" t="s">
        <v>1623</v>
      </c>
      <c r="B282" s="1">
        <v>313.84899999999999</v>
      </c>
      <c r="C282" s="1">
        <v>317.63099999999997</v>
      </c>
      <c r="D282" s="1">
        <v>3.9769999999999999</v>
      </c>
    </row>
    <row r="283" spans="1:4" x14ac:dyDescent="0.25">
      <c r="A283" t="s">
        <v>1625</v>
      </c>
      <c r="B283" s="1">
        <v>0</v>
      </c>
      <c r="C283" s="1">
        <v>12.803000000000001</v>
      </c>
      <c r="D283" s="1">
        <v>12.627000000000001</v>
      </c>
    </row>
    <row r="284" spans="1:4" x14ac:dyDescent="0.25">
      <c r="A284" t="s">
        <v>1627</v>
      </c>
      <c r="B284" s="1">
        <v>0</v>
      </c>
      <c r="C284" s="1">
        <v>9.641</v>
      </c>
      <c r="D284" s="1">
        <v>9.4329999999999998</v>
      </c>
    </row>
    <row r="285" spans="1:4" x14ac:dyDescent="0.25">
      <c r="A285" t="s">
        <v>1630</v>
      </c>
      <c r="B285" s="1">
        <v>95.305000000000007</v>
      </c>
      <c r="C285" s="1">
        <v>104.455</v>
      </c>
      <c r="D285" s="1">
        <v>9.1159999999999997</v>
      </c>
    </row>
    <row r="286" spans="1:4" x14ac:dyDescent="0.25">
      <c r="A286" t="s">
        <v>1634</v>
      </c>
      <c r="B286" s="1">
        <v>105.43899999999999</v>
      </c>
      <c r="C286" s="1">
        <v>141.583</v>
      </c>
      <c r="D286" s="1">
        <v>36.064</v>
      </c>
    </row>
    <row r="287" spans="1:4" x14ac:dyDescent="0.25">
      <c r="A287" t="s">
        <v>1639</v>
      </c>
      <c r="B287" s="1">
        <v>0</v>
      </c>
      <c r="C287" s="1">
        <v>9.3780000000000001</v>
      </c>
      <c r="D287" s="1">
        <v>9.2650000000000006</v>
      </c>
    </row>
    <row r="288" spans="1:4" x14ac:dyDescent="0.25">
      <c r="A288" t="s">
        <v>1643</v>
      </c>
      <c r="B288" s="1">
        <v>0</v>
      </c>
      <c r="C288" s="1">
        <v>4.306</v>
      </c>
      <c r="D288" s="1">
        <v>4.2949999999999999</v>
      </c>
    </row>
    <row r="289" spans="1:4" x14ac:dyDescent="0.25">
      <c r="A289" t="s">
        <v>1645</v>
      </c>
      <c r="B289" s="1">
        <v>0</v>
      </c>
      <c r="C289" s="1">
        <v>26.195</v>
      </c>
      <c r="D289" s="1">
        <v>26.260999999999999</v>
      </c>
    </row>
    <row r="290" spans="1:4" x14ac:dyDescent="0.25">
      <c r="A290" t="s">
        <v>1654</v>
      </c>
      <c r="B290" s="1">
        <v>0</v>
      </c>
      <c r="C290" s="1">
        <v>46.398000000000003</v>
      </c>
      <c r="D290" s="1">
        <v>46.518999999999998</v>
      </c>
    </row>
    <row r="291" spans="1:4" x14ac:dyDescent="0.25">
      <c r="A291" t="s">
        <v>1661</v>
      </c>
      <c r="B291" s="1">
        <v>46.398000000000003</v>
      </c>
      <c r="C291" s="1">
        <v>54.45</v>
      </c>
      <c r="D291" s="1">
        <v>8.0050000000000008</v>
      </c>
    </row>
    <row r="292" spans="1:4" x14ac:dyDescent="0.25">
      <c r="A292" t="s">
        <v>1665</v>
      </c>
      <c r="B292" s="1">
        <v>0</v>
      </c>
      <c r="C292" s="1">
        <v>1.212</v>
      </c>
      <c r="D292" s="1">
        <v>1.234</v>
      </c>
    </row>
    <row r="293" spans="1:4" x14ac:dyDescent="0.25">
      <c r="A293" t="s">
        <v>1669</v>
      </c>
      <c r="B293" s="1">
        <v>0</v>
      </c>
      <c r="C293" s="1">
        <v>6.4219999999999997</v>
      </c>
      <c r="D293" s="1">
        <v>6.3630000000000004</v>
      </c>
    </row>
    <row r="294" spans="1:4" x14ac:dyDescent="0.25">
      <c r="A294" t="s">
        <v>1671</v>
      </c>
      <c r="B294" s="1">
        <v>26.216999999999999</v>
      </c>
      <c r="C294" s="1">
        <v>69.602000000000004</v>
      </c>
      <c r="D294" s="1">
        <v>43.348999999999997</v>
      </c>
    </row>
    <row r="295" spans="1:4" x14ac:dyDescent="0.25">
      <c r="A295" t="s">
        <v>1674</v>
      </c>
      <c r="B295" s="1">
        <v>0</v>
      </c>
      <c r="C295" s="1">
        <v>0.24199999999999999</v>
      </c>
      <c r="D295" s="1">
        <v>0.311</v>
      </c>
    </row>
    <row r="296" spans="1:4" x14ac:dyDescent="0.25">
      <c r="A296" t="s">
        <v>1677</v>
      </c>
      <c r="B296" s="1">
        <v>0</v>
      </c>
      <c r="C296" s="1">
        <v>16.561</v>
      </c>
      <c r="D296" s="1">
        <v>16.364000000000001</v>
      </c>
    </row>
    <row r="297" spans="1:4" x14ac:dyDescent="0.25">
      <c r="A297" t="s">
        <v>1680</v>
      </c>
      <c r="B297" s="1">
        <v>20.916</v>
      </c>
      <c r="C297" s="1">
        <v>130.21899999999999</v>
      </c>
      <c r="D297" s="1">
        <v>108.464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11"/>
  <sheetViews>
    <sheetView zoomScale="140" zoomScaleNormal="140" workbookViewId="0">
      <selection activeCell="B7" sqref="B7"/>
    </sheetView>
  </sheetViews>
  <sheetFormatPr defaultRowHeight="15" x14ac:dyDescent="0.25"/>
  <sheetData>
    <row r="1" spans="1:3" x14ac:dyDescent="0.25">
      <c r="A1" t="s">
        <v>4553</v>
      </c>
    </row>
    <row r="3" spans="1:3" x14ac:dyDescent="0.25">
      <c r="A3" t="s">
        <v>1</v>
      </c>
      <c r="B3" s="20" t="s">
        <v>776</v>
      </c>
      <c r="C3" t="s">
        <v>4546</v>
      </c>
    </row>
    <row r="4" spans="1:3" x14ac:dyDescent="0.25">
      <c r="B4" s="54" t="str">
        <f>IF(ISBLANK(B3),"", _xlfn.IFNA( VLOOKUP(B3,Table4[Route],1,FALSE), "No detours found"))</f>
        <v>070A</v>
      </c>
    </row>
    <row r="6" spans="1:3" x14ac:dyDescent="0.25">
      <c r="A6" t="s">
        <v>4547</v>
      </c>
      <c r="B6" s="53">
        <v>115</v>
      </c>
      <c r="C6" s="54" t="str">
        <f>IF( OR( B6&lt;B7, B6&gt;B8 ), "Milepost is out of range", "")</f>
        <v/>
      </c>
    </row>
    <row r="7" spans="1:3" x14ac:dyDescent="0.25">
      <c r="A7" t="s">
        <v>4548</v>
      </c>
      <c r="B7" s="1">
        <f>_xlfn.IFNA( VLOOKUP(B3,RouteMileposts!$A$2:$D$297,2,FALSE), "Route not found")</f>
        <v>0</v>
      </c>
    </row>
    <row r="8" spans="1:3" x14ac:dyDescent="0.25">
      <c r="A8" t="s">
        <v>4549</v>
      </c>
      <c r="B8" s="1">
        <f>_xlfn.IFNA( VLOOKUP(B3,RouteMileposts!$A$2:$D$297,3,FALSE), "Route not found")</f>
        <v>449.589</v>
      </c>
    </row>
    <row r="10" spans="1:3" x14ac:dyDescent="0.25">
      <c r="A10" t="s">
        <v>4555</v>
      </c>
    </row>
    <row r="11" spans="1:3" x14ac:dyDescent="0.25">
      <c r="A11" t="s">
        <v>5067</v>
      </c>
    </row>
  </sheetData>
  <conditionalFormatting sqref="B4">
    <cfRule type="cellIs" dxfId="41" priority="1" operator="equal">
      <formula>$B$3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647"/>
  <sheetViews>
    <sheetView zoomScaleNormal="100" workbookViewId="0">
      <pane xSplit="7" ySplit="1" topLeftCell="J140" activePane="bottomRight" state="frozen"/>
      <selection pane="topRight" activeCell="H1" sqref="H1"/>
      <selection pane="bottomLeft" activeCell="A2" sqref="A2"/>
      <selection pane="bottomRight" activeCell="P1" sqref="P1"/>
    </sheetView>
  </sheetViews>
  <sheetFormatPr defaultRowHeight="15" x14ac:dyDescent="0.25"/>
  <cols>
    <col min="1" max="1" width="9" bestFit="1" customWidth="1"/>
    <col min="2" max="2" width="13" customWidth="1"/>
    <col min="3" max="3" width="11.85546875" customWidth="1"/>
    <col min="4" max="4" width="14" bestFit="1" customWidth="1"/>
    <col min="5" max="5" width="10.140625" bestFit="1" customWidth="1"/>
    <col min="6" max="6" width="9.42578125" bestFit="1" customWidth="1"/>
    <col min="7" max="7" width="16.42578125" customWidth="1"/>
    <col min="8" max="8" width="13.140625" customWidth="1"/>
    <col min="9" max="9" width="20" customWidth="1"/>
    <col min="10" max="10" width="20.140625" customWidth="1"/>
    <col min="11" max="11" width="16.42578125" customWidth="1"/>
    <col min="12" max="12" width="19.85546875" customWidth="1"/>
    <col min="13" max="13" width="65.5703125" bestFit="1" customWidth="1"/>
    <col min="15" max="15" width="13.85546875" bestFit="1" customWidth="1"/>
    <col min="16" max="16" width="15.42578125" bestFit="1" customWidth="1"/>
    <col min="17" max="17" width="17.5703125" bestFit="1" customWidth="1"/>
    <col min="18" max="18" width="16" customWidth="1"/>
  </cols>
  <sheetData>
    <row r="1" spans="1:18" x14ac:dyDescent="0.25">
      <c r="A1" t="s">
        <v>1</v>
      </c>
      <c r="B1" t="s">
        <v>4429</v>
      </c>
      <c r="C1" t="s">
        <v>4430</v>
      </c>
      <c r="D1" t="s">
        <v>4431</v>
      </c>
      <c r="E1" t="s">
        <v>4436</v>
      </c>
      <c r="F1" t="s">
        <v>4437</v>
      </c>
      <c r="G1" t="s">
        <v>4432</v>
      </c>
      <c r="H1" t="s">
        <v>4433</v>
      </c>
      <c r="I1" t="s">
        <v>4434</v>
      </c>
      <c r="J1" t="s">
        <v>4435</v>
      </c>
      <c r="K1" t="s">
        <v>4438</v>
      </c>
      <c r="L1" t="s">
        <v>4439</v>
      </c>
      <c r="M1" t="s">
        <v>4440</v>
      </c>
      <c r="N1" t="s">
        <v>4441</v>
      </c>
      <c r="O1" t="s">
        <v>4543</v>
      </c>
      <c r="P1" t="s">
        <v>4544</v>
      </c>
      <c r="Q1" t="s">
        <v>4545</v>
      </c>
      <c r="R1" t="s">
        <v>4554</v>
      </c>
    </row>
    <row r="2" spans="1:18" hidden="1" x14ac:dyDescent="0.25">
      <c r="A2" t="s">
        <v>18</v>
      </c>
      <c r="B2" t="s">
        <v>3205</v>
      </c>
      <c r="C2" t="s">
        <v>3206</v>
      </c>
      <c r="D2" t="s">
        <v>4635</v>
      </c>
      <c r="E2" s="1">
        <v>19.506</v>
      </c>
      <c r="F2" s="1">
        <v>19.787001</v>
      </c>
      <c r="K2" s="39">
        <f>DefaultValues!$B$2</f>
        <v>1440</v>
      </c>
      <c r="L2" s="1">
        <f>DefaultValues!$C$2</f>
        <v>1999</v>
      </c>
      <c r="M2" s="1" t="str">
        <f>DefaultValues!$D$2</f>
        <v xml:space="preserve">- Detour not possible - </v>
      </c>
      <c r="N2" s="1">
        <v>19.506</v>
      </c>
      <c r="O2" s="1">
        <f>ABS(Table4[[#This Row],[EndMP]]-Table4[[#This Row],[StartMP]])</f>
        <v>0.28100099999999983</v>
      </c>
      <c r="P2" s="1" t="str">
        <f>IF( AND( Table4[[#This Row],[Route]]=ClosureLocation!$B$3, ClosureLocation!$B$6 &gt;= Table4[[#This Row],[StartMP]], ClosureLocation!$B$6 &lt;= Table4[[#This Row],[EndMP]]), "Yes", "")</f>
        <v/>
      </c>
      <c r="Q2" s="1" t="str">
        <f>IF( AND( Table4[[#This Row],[Route]]=ClosureLocation!$B$3, ClosureLocation!$B$6 &lt;= Table4[[#This Row],[StartMP]], ClosureLocation!$B$6 &gt;= Table4[[#This Row],[EndMP]]), "Yes", "")</f>
        <v/>
      </c>
      <c r="R2" s="1" t="str">
        <f>IF( OR( Table4[[#This Row],[PrimaryMatch]]="Yes", Table4[[#This Row],[SecondaryMatch]]="Yes"), "Yes", "")</f>
        <v/>
      </c>
    </row>
    <row r="3" spans="1:18" hidden="1" x14ac:dyDescent="0.25">
      <c r="A3" t="s">
        <v>18</v>
      </c>
      <c r="B3" t="s">
        <v>3209</v>
      </c>
      <c r="C3" t="s">
        <v>3210</v>
      </c>
      <c r="D3" t="s">
        <v>4636</v>
      </c>
      <c r="E3" s="1">
        <v>19.787001</v>
      </c>
      <c r="F3" s="1">
        <v>19.506</v>
      </c>
      <c r="K3" s="39">
        <f>DefaultValues!$B$2</f>
        <v>1440</v>
      </c>
      <c r="L3" s="1">
        <f>DefaultValues!$C$2</f>
        <v>1999</v>
      </c>
      <c r="M3" s="1" t="str">
        <f>DefaultValues!$D$2</f>
        <v xml:space="preserve">- Detour not possible - </v>
      </c>
      <c r="N3" s="1">
        <f>1000 - 19.787</f>
        <v>980.21299999999997</v>
      </c>
      <c r="O3" s="1">
        <f>ABS(Table4[[#This Row],[EndMP]]-Table4[[#This Row],[StartMP]])</f>
        <v>0.28100099999999983</v>
      </c>
      <c r="P3" s="1" t="str">
        <f>IF( AND( Table4[[#This Row],[Route]]=ClosureLocation!$B$3, ClosureLocation!$B$6 &gt;= Table4[[#This Row],[StartMP]], ClosureLocation!$B$6 &lt;= Table4[[#This Row],[EndMP]]), "Yes", "")</f>
        <v/>
      </c>
      <c r="Q3" s="1" t="str">
        <f>IF( AND( Table4[[#This Row],[Route]]=ClosureLocation!$B$3, ClosureLocation!$B$6 &lt;= Table4[[#This Row],[StartMP]], ClosureLocation!$B$6 &gt;= Table4[[#This Row],[EndMP]]), "Yes", "")</f>
        <v/>
      </c>
      <c r="R3" s="1" t="str">
        <f>IF( OR( Table4[[#This Row],[PrimaryMatch]]="Yes", Table4[[#This Row],[SecondaryMatch]]="Yes"), "Yes", "")</f>
        <v/>
      </c>
    </row>
    <row r="4" spans="1:18" hidden="1" x14ac:dyDescent="0.25">
      <c r="A4" t="s">
        <v>26</v>
      </c>
      <c r="B4" t="s">
        <v>3205</v>
      </c>
      <c r="C4" t="s">
        <v>3210</v>
      </c>
      <c r="D4" t="s">
        <v>4813</v>
      </c>
      <c r="E4" s="1">
        <v>0</v>
      </c>
      <c r="F4" s="1">
        <v>14.894</v>
      </c>
      <c r="K4" s="39">
        <f>DefaultValues!$B$2</f>
        <v>1440</v>
      </c>
      <c r="L4" s="1">
        <f>DefaultValues!$C$2</f>
        <v>1999</v>
      </c>
      <c r="M4" s="1" t="str">
        <f>DefaultValues!$D$2</f>
        <v xml:space="preserve">- Detour not possible - </v>
      </c>
      <c r="N4" s="1">
        <v>0</v>
      </c>
      <c r="O4" s="1">
        <f>ABS(Table4[[#This Row],[EndMP]]-Table4[[#This Row],[StartMP]])</f>
        <v>14.894</v>
      </c>
      <c r="P4" s="1" t="str">
        <f>IF( AND( Table4[[#This Row],[Route]]=ClosureLocation!$B$3, ClosureLocation!$B$6 &gt;= Table4[[#This Row],[StartMP]], ClosureLocation!$B$6 &lt;= Table4[[#This Row],[EndMP]]), "Yes", "")</f>
        <v/>
      </c>
      <c r="Q4" s="1" t="str">
        <f>IF( AND( Table4[[#This Row],[Route]]=ClosureLocation!$B$3, ClosureLocation!$B$6 &lt;= Table4[[#This Row],[StartMP]], ClosureLocation!$B$6 &gt;= Table4[[#This Row],[EndMP]]), "Yes", "")</f>
        <v/>
      </c>
      <c r="R4" s="1" t="str">
        <f>IF( OR( Table4[[#This Row],[PrimaryMatch]]="Yes", Table4[[#This Row],[SecondaryMatch]]="Yes"), "Yes", "")</f>
        <v/>
      </c>
    </row>
    <row r="5" spans="1:18" hidden="1" x14ac:dyDescent="0.25">
      <c r="A5" t="s">
        <v>26</v>
      </c>
      <c r="B5" t="s">
        <v>3209</v>
      </c>
      <c r="C5" t="s">
        <v>3206</v>
      </c>
      <c r="D5" t="s">
        <v>4814</v>
      </c>
      <c r="E5" s="1">
        <v>14.894</v>
      </c>
      <c r="F5" s="1">
        <v>0</v>
      </c>
      <c r="K5" s="39">
        <f>DefaultValues!$B$2</f>
        <v>1440</v>
      </c>
      <c r="L5" s="1">
        <f>DefaultValues!$C$2</f>
        <v>1999</v>
      </c>
      <c r="M5" s="1" t="str">
        <f>DefaultValues!$D$2</f>
        <v xml:space="preserve">- Detour not possible - </v>
      </c>
      <c r="N5" s="1">
        <f>1000 - 14.894</f>
        <v>985.10599999999999</v>
      </c>
      <c r="O5" s="1">
        <f>ABS(Table4[[#This Row],[EndMP]]-Table4[[#This Row],[StartMP]])</f>
        <v>14.894</v>
      </c>
      <c r="P5" s="1" t="str">
        <f>IF( AND( Table4[[#This Row],[Route]]=ClosureLocation!$B$3, ClosureLocation!$B$6 &gt;= Table4[[#This Row],[StartMP]], ClosureLocation!$B$6 &lt;= Table4[[#This Row],[EndMP]]), "Yes", "")</f>
        <v/>
      </c>
      <c r="Q5" s="1" t="str">
        <f>IF( AND( Table4[[#This Row],[Route]]=ClosureLocation!$B$3, ClosureLocation!$B$6 &lt;= Table4[[#This Row],[StartMP]], ClosureLocation!$B$6 &gt;= Table4[[#This Row],[EndMP]]), "Yes", "")</f>
        <v/>
      </c>
      <c r="R5" s="1" t="str">
        <f>IF( OR( Table4[[#This Row],[PrimaryMatch]]="Yes", Table4[[#This Row],[SecondaryMatch]]="Yes"), "Yes", "")</f>
        <v/>
      </c>
    </row>
    <row r="6" spans="1:18" hidden="1" x14ac:dyDescent="0.25">
      <c r="A6" t="s">
        <v>105</v>
      </c>
      <c r="B6" t="s">
        <v>3205</v>
      </c>
      <c r="C6" t="s">
        <v>3222</v>
      </c>
      <c r="D6" t="s">
        <v>4815</v>
      </c>
      <c r="E6" s="1">
        <v>0</v>
      </c>
      <c r="F6" s="1">
        <v>0.33800000000000002</v>
      </c>
      <c r="K6" s="39">
        <f>DefaultValues!$B$2</f>
        <v>1440</v>
      </c>
      <c r="L6" s="1">
        <f>DefaultValues!$C$2</f>
        <v>1999</v>
      </c>
      <c r="M6" s="1" t="str">
        <f>DefaultValues!$D$2</f>
        <v xml:space="preserve">- Detour not possible - </v>
      </c>
      <c r="N6" s="1">
        <v>0</v>
      </c>
      <c r="O6" s="1">
        <f>ABS(Table4[[#This Row],[EndMP]]-Table4[[#This Row],[StartMP]])</f>
        <v>0.33800000000000002</v>
      </c>
      <c r="P6" s="1" t="str">
        <f>IF( AND( Table4[[#This Row],[Route]]=ClosureLocation!$B$3, ClosureLocation!$B$6 &gt;= Table4[[#This Row],[StartMP]], ClosureLocation!$B$6 &lt;= Table4[[#This Row],[EndMP]]), "Yes", "")</f>
        <v/>
      </c>
      <c r="Q6" s="1" t="str">
        <f>IF( AND( Table4[[#This Row],[Route]]=ClosureLocation!$B$3, ClosureLocation!$B$6 &lt;= Table4[[#This Row],[StartMP]], ClosureLocation!$B$6 &gt;= Table4[[#This Row],[EndMP]]), "Yes", "")</f>
        <v/>
      </c>
      <c r="R6" s="1" t="str">
        <f>IF( OR( Table4[[#This Row],[PrimaryMatch]]="Yes", Table4[[#This Row],[SecondaryMatch]]="Yes"), "Yes", "")</f>
        <v/>
      </c>
    </row>
    <row r="7" spans="1:18" hidden="1" x14ac:dyDescent="0.25">
      <c r="A7" t="s">
        <v>105</v>
      </c>
      <c r="B7" t="s">
        <v>3209</v>
      </c>
      <c r="C7" t="s">
        <v>3226</v>
      </c>
      <c r="D7" t="s">
        <v>4816</v>
      </c>
      <c r="E7" s="1">
        <v>0.33800000000000002</v>
      </c>
      <c r="F7" s="1">
        <v>0</v>
      </c>
      <c r="K7" s="39">
        <f>DefaultValues!$B$2</f>
        <v>1440</v>
      </c>
      <c r="L7" s="1">
        <f>DefaultValues!$C$2</f>
        <v>1999</v>
      </c>
      <c r="M7" s="1" t="str">
        <f>DefaultValues!$D$2</f>
        <v xml:space="preserve">- Detour not possible - </v>
      </c>
      <c r="N7" s="1">
        <f>1000 - 0.338</f>
        <v>999.66200000000003</v>
      </c>
      <c r="O7" s="1">
        <f>ABS(Table4[[#This Row],[EndMP]]-Table4[[#This Row],[StartMP]])</f>
        <v>0.33800000000000002</v>
      </c>
      <c r="P7" s="1" t="str">
        <f>IF( AND( Table4[[#This Row],[Route]]=ClosureLocation!$B$3, ClosureLocation!$B$6 &gt;= Table4[[#This Row],[StartMP]], ClosureLocation!$B$6 &lt;= Table4[[#This Row],[EndMP]]), "Yes", "")</f>
        <v/>
      </c>
      <c r="Q7" s="1" t="str">
        <f>IF( AND( Table4[[#This Row],[Route]]=ClosureLocation!$B$3, ClosureLocation!$B$6 &lt;= Table4[[#This Row],[StartMP]], ClosureLocation!$B$6 &gt;= Table4[[#This Row],[EndMP]]), "Yes", "")</f>
        <v/>
      </c>
      <c r="R7" s="1" t="str">
        <f>IF( OR( Table4[[#This Row],[PrimaryMatch]]="Yes", Table4[[#This Row],[SecondaryMatch]]="Yes"), "Yes", "")</f>
        <v/>
      </c>
    </row>
    <row r="8" spans="1:18" hidden="1" x14ac:dyDescent="0.25">
      <c r="A8" t="s">
        <v>194</v>
      </c>
      <c r="B8" t="s">
        <v>3205</v>
      </c>
      <c r="C8" t="s">
        <v>3206</v>
      </c>
      <c r="D8" t="s">
        <v>4652</v>
      </c>
      <c r="E8" s="1">
        <v>0</v>
      </c>
      <c r="F8" s="1">
        <v>5.2999999999999999E-2</v>
      </c>
      <c r="K8" s="39">
        <f>DefaultValues!$B$2</f>
        <v>1440</v>
      </c>
      <c r="L8" s="1">
        <f>DefaultValues!$C$2</f>
        <v>1999</v>
      </c>
      <c r="M8" s="1" t="str">
        <f>DefaultValues!$D$2</f>
        <v xml:space="preserve">- Detour not possible - </v>
      </c>
      <c r="N8" s="1">
        <v>0</v>
      </c>
      <c r="O8" s="1">
        <f>ABS(Table4[[#This Row],[EndMP]]-Table4[[#This Row],[StartMP]])</f>
        <v>5.2999999999999999E-2</v>
      </c>
      <c r="P8" s="1" t="str">
        <f>IF( AND( Table4[[#This Row],[Route]]=ClosureLocation!$B$3, ClosureLocation!$B$6 &gt;= Table4[[#This Row],[StartMP]], ClosureLocation!$B$6 &lt;= Table4[[#This Row],[EndMP]]), "Yes", "")</f>
        <v/>
      </c>
      <c r="Q8" s="1" t="str">
        <f>IF( AND( Table4[[#This Row],[Route]]=ClosureLocation!$B$3, ClosureLocation!$B$6 &lt;= Table4[[#This Row],[StartMP]], ClosureLocation!$B$6 &gt;= Table4[[#This Row],[EndMP]]), "Yes", "")</f>
        <v/>
      </c>
      <c r="R8" s="1" t="str">
        <f>IF( OR( Table4[[#This Row],[PrimaryMatch]]="Yes", Table4[[#This Row],[SecondaryMatch]]="Yes"), "Yes", "")</f>
        <v/>
      </c>
    </row>
    <row r="9" spans="1:18" hidden="1" x14ac:dyDescent="0.25">
      <c r="A9" t="s">
        <v>194</v>
      </c>
      <c r="B9" t="s">
        <v>3209</v>
      </c>
      <c r="C9" t="s">
        <v>3210</v>
      </c>
      <c r="D9" t="s">
        <v>4653</v>
      </c>
      <c r="E9" s="1">
        <v>5.2999999999999999E-2</v>
      </c>
      <c r="F9" s="1">
        <v>0</v>
      </c>
      <c r="K9" s="39">
        <f>DefaultValues!$B$2</f>
        <v>1440</v>
      </c>
      <c r="L9" s="1">
        <f>DefaultValues!$C$2</f>
        <v>1999</v>
      </c>
      <c r="M9" s="1" t="str">
        <f>DefaultValues!$D$2</f>
        <v xml:space="preserve">- Detour not possible - </v>
      </c>
      <c r="N9" s="1">
        <f>1000 - 0.053</f>
        <v>999.947</v>
      </c>
      <c r="O9" s="1">
        <f>ABS(Table4[[#This Row],[EndMP]]-Table4[[#This Row],[StartMP]])</f>
        <v>5.2999999999999999E-2</v>
      </c>
      <c r="P9" s="1" t="str">
        <f>IF( AND( Table4[[#This Row],[Route]]=ClosureLocation!$B$3, ClosureLocation!$B$6 &gt;= Table4[[#This Row],[StartMP]], ClosureLocation!$B$6 &lt;= Table4[[#This Row],[EndMP]]), "Yes", "")</f>
        <v/>
      </c>
      <c r="Q9" s="1" t="str">
        <f>IF( AND( Table4[[#This Row],[Route]]=ClosureLocation!$B$3, ClosureLocation!$B$6 &lt;= Table4[[#This Row],[StartMP]], ClosureLocation!$B$6 &gt;= Table4[[#This Row],[EndMP]]), "Yes", "")</f>
        <v/>
      </c>
      <c r="R9" s="1" t="str">
        <f>IF( OR( Table4[[#This Row],[PrimaryMatch]]="Yes", Table4[[#This Row],[SecondaryMatch]]="Yes"), "Yes", "")</f>
        <v/>
      </c>
    </row>
    <row r="10" spans="1:18" hidden="1" x14ac:dyDescent="0.25">
      <c r="A10" t="s">
        <v>216</v>
      </c>
      <c r="B10" t="s">
        <v>3205</v>
      </c>
      <c r="C10" t="s">
        <v>3210</v>
      </c>
      <c r="D10" t="s">
        <v>3361</v>
      </c>
      <c r="E10" s="1">
        <v>10.412000000000001</v>
      </c>
      <c r="F10" s="1">
        <v>12.374000000000001</v>
      </c>
      <c r="K10" s="39">
        <f>DefaultValues!$B$2</f>
        <v>1440</v>
      </c>
      <c r="L10" s="1">
        <f>DefaultValues!$C$2</f>
        <v>1999</v>
      </c>
      <c r="M10" s="1" t="str">
        <f>DefaultValues!$D$2</f>
        <v xml:space="preserve">- Detour not possible - </v>
      </c>
      <c r="N10" s="1">
        <v>10.412000000000001</v>
      </c>
      <c r="O10" s="1">
        <f>ABS(Table4[[#This Row],[EndMP]]-Table4[[#This Row],[StartMP]])</f>
        <v>1.9619999999999997</v>
      </c>
      <c r="P10" s="1" t="str">
        <f>IF( AND( Table4[[#This Row],[Route]]=ClosureLocation!$B$3, ClosureLocation!$B$6 &gt;= Table4[[#This Row],[StartMP]], ClosureLocation!$B$6 &lt;= Table4[[#This Row],[EndMP]]), "Yes", "")</f>
        <v/>
      </c>
      <c r="Q10" s="1" t="str">
        <f>IF( AND( Table4[[#This Row],[Route]]=ClosureLocation!$B$3, ClosureLocation!$B$6 &lt;= Table4[[#This Row],[StartMP]], ClosureLocation!$B$6 &gt;= Table4[[#This Row],[EndMP]]), "Yes", "")</f>
        <v/>
      </c>
      <c r="R10" s="1" t="str">
        <f>IF( OR( Table4[[#This Row],[PrimaryMatch]]="Yes", Table4[[#This Row],[SecondaryMatch]]="Yes"), "Yes", "")</f>
        <v/>
      </c>
    </row>
    <row r="11" spans="1:18" hidden="1" x14ac:dyDescent="0.25">
      <c r="A11" t="s">
        <v>216</v>
      </c>
      <c r="B11" t="s">
        <v>3209</v>
      </c>
      <c r="C11" t="s">
        <v>3206</v>
      </c>
      <c r="D11" t="s">
        <v>3359</v>
      </c>
      <c r="E11" s="1">
        <v>12.374000000000001</v>
      </c>
      <c r="F11" s="1">
        <v>10.412000000000001</v>
      </c>
      <c r="K11" s="39">
        <f>DefaultValues!$B$2</f>
        <v>1440</v>
      </c>
      <c r="L11" s="1">
        <f>DefaultValues!$C$2</f>
        <v>1999</v>
      </c>
      <c r="M11" s="1" t="str">
        <f>DefaultValues!$D$2</f>
        <v xml:space="preserve">- Detour not possible - </v>
      </c>
      <c r="N11" s="1">
        <f>1000 - 12.374</f>
        <v>987.62599999999998</v>
      </c>
      <c r="O11" s="1">
        <f>ABS(Table4[[#This Row],[EndMP]]-Table4[[#This Row],[StartMP]])</f>
        <v>1.9619999999999997</v>
      </c>
      <c r="P11" s="1" t="str">
        <f>IF( AND( Table4[[#This Row],[Route]]=ClosureLocation!$B$3, ClosureLocation!$B$6 &gt;= Table4[[#This Row],[StartMP]], ClosureLocation!$B$6 &lt;= Table4[[#This Row],[EndMP]]), "Yes", "")</f>
        <v/>
      </c>
      <c r="Q11" s="1" t="str">
        <f>IF( AND( Table4[[#This Row],[Route]]=ClosureLocation!$B$3, ClosureLocation!$B$6 &lt;= Table4[[#This Row],[StartMP]], ClosureLocation!$B$6 &gt;= Table4[[#This Row],[EndMP]]), "Yes", "")</f>
        <v/>
      </c>
      <c r="R11" s="1" t="str">
        <f>IF( OR( Table4[[#This Row],[PrimaryMatch]]="Yes", Table4[[#This Row],[SecondaryMatch]]="Yes"), "Yes", "")</f>
        <v/>
      </c>
    </row>
    <row r="12" spans="1:18" hidden="1" x14ac:dyDescent="0.25">
      <c r="A12" t="s">
        <v>220</v>
      </c>
      <c r="B12" t="s">
        <v>3205</v>
      </c>
      <c r="C12" t="s">
        <v>3222</v>
      </c>
      <c r="D12" t="s">
        <v>3363</v>
      </c>
      <c r="E12" s="1">
        <v>20.398</v>
      </c>
      <c r="F12" s="1">
        <v>26.562000000000001</v>
      </c>
      <c r="K12" s="39">
        <f>DefaultValues!$B$2</f>
        <v>1440</v>
      </c>
      <c r="L12" s="1">
        <f>DefaultValues!$C$2</f>
        <v>1999</v>
      </c>
      <c r="M12" s="1" t="str">
        <f>DefaultValues!$D$2</f>
        <v xml:space="preserve">- Detour not possible - </v>
      </c>
      <c r="N12" s="1">
        <v>20.398</v>
      </c>
      <c r="O12" s="1">
        <f>ABS(Table4[[#This Row],[EndMP]]-Table4[[#This Row],[StartMP]])</f>
        <v>6.1640000000000015</v>
      </c>
      <c r="P12" s="1" t="str">
        <f>IF( AND( Table4[[#This Row],[Route]]=ClosureLocation!$B$3, ClosureLocation!$B$6 &gt;= Table4[[#This Row],[StartMP]], ClosureLocation!$B$6 &lt;= Table4[[#This Row],[EndMP]]), "Yes", "")</f>
        <v/>
      </c>
      <c r="Q12" s="1" t="str">
        <f>IF( AND( Table4[[#This Row],[Route]]=ClosureLocation!$B$3, ClosureLocation!$B$6 &lt;= Table4[[#This Row],[StartMP]], ClosureLocation!$B$6 &gt;= Table4[[#This Row],[EndMP]]), "Yes", "")</f>
        <v/>
      </c>
      <c r="R12" s="1" t="str">
        <f>IF( OR( Table4[[#This Row],[PrimaryMatch]]="Yes", Table4[[#This Row],[SecondaryMatch]]="Yes"), "Yes", "")</f>
        <v/>
      </c>
    </row>
    <row r="13" spans="1:18" hidden="1" x14ac:dyDescent="0.25">
      <c r="A13" t="s">
        <v>220</v>
      </c>
      <c r="B13" t="s">
        <v>3209</v>
      </c>
      <c r="C13" t="s">
        <v>3226</v>
      </c>
      <c r="D13" t="s">
        <v>3365</v>
      </c>
      <c r="E13" s="1">
        <v>26.562000000000001</v>
      </c>
      <c r="F13" s="1">
        <v>20.398</v>
      </c>
      <c r="K13" s="39">
        <f>DefaultValues!$B$2</f>
        <v>1440</v>
      </c>
      <c r="L13" s="1">
        <f>DefaultValues!$C$2</f>
        <v>1999</v>
      </c>
      <c r="M13" s="1" t="str">
        <f>DefaultValues!$D$2</f>
        <v xml:space="preserve">- Detour not possible - </v>
      </c>
      <c r="N13" s="1">
        <f>1000 - 26.562</f>
        <v>973.43799999999999</v>
      </c>
      <c r="O13" s="1">
        <f>ABS(Table4[[#This Row],[EndMP]]-Table4[[#This Row],[StartMP]])</f>
        <v>6.1640000000000015</v>
      </c>
      <c r="P13" s="1" t="str">
        <f>IF( AND( Table4[[#This Row],[Route]]=ClosureLocation!$B$3, ClosureLocation!$B$6 &gt;= Table4[[#This Row],[StartMP]], ClosureLocation!$B$6 &lt;= Table4[[#This Row],[EndMP]]), "Yes", "")</f>
        <v/>
      </c>
      <c r="Q13" s="1" t="str">
        <f>IF( AND( Table4[[#This Row],[Route]]=ClosureLocation!$B$3, ClosureLocation!$B$6 &lt;= Table4[[#This Row],[StartMP]], ClosureLocation!$B$6 &gt;= Table4[[#This Row],[EndMP]]), "Yes", "")</f>
        <v/>
      </c>
      <c r="R13" s="1" t="str">
        <f>IF( OR( Table4[[#This Row],[PrimaryMatch]]="Yes", Table4[[#This Row],[SecondaryMatch]]="Yes"), "Yes", "")</f>
        <v/>
      </c>
    </row>
    <row r="14" spans="1:18" hidden="1" x14ac:dyDescent="0.25">
      <c r="A14" t="s">
        <v>244</v>
      </c>
      <c r="B14" t="s">
        <v>3205</v>
      </c>
      <c r="C14" t="s">
        <v>3226</v>
      </c>
      <c r="D14" t="s">
        <v>4817</v>
      </c>
      <c r="E14" s="1">
        <v>0</v>
      </c>
      <c r="F14" s="1">
        <v>1.835</v>
      </c>
      <c r="K14" s="39">
        <f>DefaultValues!$B$2</f>
        <v>1440</v>
      </c>
      <c r="L14" s="1">
        <f>DefaultValues!$C$2</f>
        <v>1999</v>
      </c>
      <c r="M14" s="1" t="str">
        <f>DefaultValues!$D$2</f>
        <v xml:space="preserve">- Detour not possible - </v>
      </c>
      <c r="N14" s="1">
        <v>0</v>
      </c>
      <c r="O14" s="1">
        <f>ABS(Table4[[#This Row],[EndMP]]-Table4[[#This Row],[StartMP]])</f>
        <v>1.835</v>
      </c>
      <c r="P14" s="1" t="str">
        <f>IF( AND( Table4[[#This Row],[Route]]=ClosureLocation!$B$3, ClosureLocation!$B$6 &gt;= Table4[[#This Row],[StartMP]], ClosureLocation!$B$6 &lt;= Table4[[#This Row],[EndMP]]), "Yes", "")</f>
        <v/>
      </c>
      <c r="Q14" s="1" t="str">
        <f>IF( AND( Table4[[#This Row],[Route]]=ClosureLocation!$B$3, ClosureLocation!$B$6 &lt;= Table4[[#This Row],[StartMP]], ClosureLocation!$B$6 &gt;= Table4[[#This Row],[EndMP]]), "Yes", "")</f>
        <v/>
      </c>
      <c r="R14" s="1" t="str">
        <f>IF( OR( Table4[[#This Row],[PrimaryMatch]]="Yes", Table4[[#This Row],[SecondaryMatch]]="Yes"), "Yes", "")</f>
        <v/>
      </c>
    </row>
    <row r="15" spans="1:18" hidden="1" x14ac:dyDescent="0.25">
      <c r="A15" t="s">
        <v>244</v>
      </c>
      <c r="B15" t="s">
        <v>3205</v>
      </c>
      <c r="C15" t="s">
        <v>3226</v>
      </c>
      <c r="D15" t="s">
        <v>4817</v>
      </c>
      <c r="E15" s="1">
        <v>1.835</v>
      </c>
      <c r="F15" s="1">
        <v>2.476</v>
      </c>
      <c r="K15" s="39">
        <f>DefaultValues!$B$2</f>
        <v>1440</v>
      </c>
      <c r="L15" s="1">
        <f>DefaultValues!$C$2</f>
        <v>1999</v>
      </c>
      <c r="M15" s="1" t="str">
        <f>DefaultValues!$D$2</f>
        <v xml:space="preserve">- Detour not possible - </v>
      </c>
      <c r="N15" s="1">
        <v>1.835</v>
      </c>
      <c r="O15" s="1">
        <f>ABS(Table4[[#This Row],[EndMP]]-Table4[[#This Row],[StartMP]])</f>
        <v>0.64100000000000001</v>
      </c>
      <c r="P15" s="1" t="str">
        <f>IF( AND( Table4[[#This Row],[Route]]=ClosureLocation!$B$3, ClosureLocation!$B$6 &gt;= Table4[[#This Row],[StartMP]], ClosureLocation!$B$6 &lt;= Table4[[#This Row],[EndMP]]), "Yes", "")</f>
        <v/>
      </c>
      <c r="Q15" s="1" t="str">
        <f>IF( AND( Table4[[#This Row],[Route]]=ClosureLocation!$B$3, ClosureLocation!$B$6 &lt;= Table4[[#This Row],[StartMP]], ClosureLocation!$B$6 &gt;= Table4[[#This Row],[EndMP]]), "Yes", "")</f>
        <v/>
      </c>
      <c r="R15" s="1" t="str">
        <f>IF( OR( Table4[[#This Row],[PrimaryMatch]]="Yes", Table4[[#This Row],[SecondaryMatch]]="Yes"), "Yes", "")</f>
        <v/>
      </c>
    </row>
    <row r="16" spans="1:18" hidden="1" x14ac:dyDescent="0.25">
      <c r="A16" t="s">
        <v>244</v>
      </c>
      <c r="B16" t="s">
        <v>3209</v>
      </c>
      <c r="C16" t="s">
        <v>3222</v>
      </c>
      <c r="D16" t="s">
        <v>4818</v>
      </c>
      <c r="E16" s="1">
        <v>2.476</v>
      </c>
      <c r="F16" s="1">
        <v>1.835</v>
      </c>
      <c r="K16" s="39">
        <f>DefaultValues!$B$2</f>
        <v>1440</v>
      </c>
      <c r="L16" s="1">
        <f>DefaultValues!$C$2</f>
        <v>1999</v>
      </c>
      <c r="M16" s="1" t="str">
        <f>DefaultValues!$D$2</f>
        <v xml:space="preserve">- Detour not possible - </v>
      </c>
      <c r="N16" s="1">
        <f>1000 - 2.476</f>
        <v>997.524</v>
      </c>
      <c r="O16" s="1">
        <f>ABS(Table4[[#This Row],[EndMP]]-Table4[[#This Row],[StartMP]])</f>
        <v>0.64100000000000001</v>
      </c>
      <c r="P16" s="1" t="str">
        <f>IF( AND( Table4[[#This Row],[Route]]=ClosureLocation!$B$3, ClosureLocation!$B$6 &gt;= Table4[[#This Row],[StartMP]], ClosureLocation!$B$6 &lt;= Table4[[#This Row],[EndMP]]), "Yes", "")</f>
        <v/>
      </c>
      <c r="Q16" s="1" t="str">
        <f>IF( AND( Table4[[#This Row],[Route]]=ClosureLocation!$B$3, ClosureLocation!$B$6 &lt;= Table4[[#This Row],[StartMP]], ClosureLocation!$B$6 &gt;= Table4[[#This Row],[EndMP]]), "Yes", "")</f>
        <v/>
      </c>
      <c r="R16" s="1" t="str">
        <f>IF( OR( Table4[[#This Row],[PrimaryMatch]]="Yes", Table4[[#This Row],[SecondaryMatch]]="Yes"), "Yes", "")</f>
        <v/>
      </c>
    </row>
    <row r="17" spans="1:18" hidden="1" x14ac:dyDescent="0.25">
      <c r="A17" t="s">
        <v>244</v>
      </c>
      <c r="B17" t="s">
        <v>3209</v>
      </c>
      <c r="C17" t="s">
        <v>3222</v>
      </c>
      <c r="D17" t="s">
        <v>4818</v>
      </c>
      <c r="E17" s="1">
        <v>1.835</v>
      </c>
      <c r="F17" s="1">
        <v>0</v>
      </c>
      <c r="K17" s="39">
        <f>DefaultValues!$B$2</f>
        <v>1440</v>
      </c>
      <c r="L17" s="1">
        <f>DefaultValues!$C$2</f>
        <v>1999</v>
      </c>
      <c r="M17" s="1" t="str">
        <f>DefaultValues!$D$2</f>
        <v xml:space="preserve">- Detour not possible - </v>
      </c>
      <c r="N17" s="1">
        <f>1000 - 1.835</f>
        <v>998.16499999999996</v>
      </c>
      <c r="O17" s="1">
        <f>ABS(Table4[[#This Row],[EndMP]]-Table4[[#This Row],[StartMP]])</f>
        <v>1.835</v>
      </c>
      <c r="P17" s="1" t="str">
        <f>IF( AND( Table4[[#This Row],[Route]]=ClosureLocation!$B$3, ClosureLocation!$B$6 &gt;= Table4[[#This Row],[StartMP]], ClosureLocation!$B$6 &lt;= Table4[[#This Row],[EndMP]]), "Yes", "")</f>
        <v/>
      </c>
      <c r="Q17" s="1" t="str">
        <f>IF( AND( Table4[[#This Row],[Route]]=ClosureLocation!$B$3, ClosureLocation!$B$6 &lt;= Table4[[#This Row],[StartMP]], ClosureLocation!$B$6 &gt;= Table4[[#This Row],[EndMP]]), "Yes", "")</f>
        <v/>
      </c>
      <c r="R17" s="1" t="str">
        <f>IF( OR( Table4[[#This Row],[PrimaryMatch]]="Yes", Table4[[#This Row],[SecondaryMatch]]="Yes"), "Yes", "")</f>
        <v/>
      </c>
    </row>
    <row r="18" spans="1:18" hidden="1" x14ac:dyDescent="0.25">
      <c r="A18" t="s">
        <v>273</v>
      </c>
      <c r="B18" t="s">
        <v>3205</v>
      </c>
      <c r="C18" t="s">
        <v>3222</v>
      </c>
      <c r="D18" t="s">
        <v>4726</v>
      </c>
      <c r="E18" s="1">
        <v>419.95</v>
      </c>
      <c r="F18" s="1">
        <v>422.70699999999999</v>
      </c>
      <c r="K18" s="39">
        <f>DefaultValues!$B$2</f>
        <v>1440</v>
      </c>
      <c r="L18" s="1">
        <f>DefaultValues!$C$2</f>
        <v>1999</v>
      </c>
      <c r="M18" s="1" t="str">
        <f>DefaultValues!$D$2</f>
        <v xml:space="preserve">- Detour not possible - </v>
      </c>
      <c r="N18" s="1">
        <v>419.95</v>
      </c>
      <c r="O18" s="1">
        <f>ABS(Table4[[#This Row],[EndMP]]-Table4[[#This Row],[StartMP]])</f>
        <v>2.757000000000005</v>
      </c>
      <c r="P18" s="1" t="str">
        <f>IF( AND( Table4[[#This Row],[Route]]=ClosureLocation!$B$3, ClosureLocation!$B$6 &gt;= Table4[[#This Row],[StartMP]], ClosureLocation!$B$6 &lt;= Table4[[#This Row],[EndMP]]), "Yes", "")</f>
        <v/>
      </c>
      <c r="Q18" s="1" t="str">
        <f>IF( AND( Table4[[#This Row],[Route]]=ClosureLocation!$B$3, ClosureLocation!$B$6 &lt;= Table4[[#This Row],[StartMP]], ClosureLocation!$B$6 &gt;= Table4[[#This Row],[EndMP]]), "Yes", "")</f>
        <v/>
      </c>
      <c r="R18" s="1" t="str">
        <f>IF( OR( Table4[[#This Row],[PrimaryMatch]]="Yes", Table4[[#This Row],[SecondaryMatch]]="Yes"), "Yes", "")</f>
        <v/>
      </c>
    </row>
    <row r="19" spans="1:18" hidden="1" x14ac:dyDescent="0.25">
      <c r="A19" t="s">
        <v>273</v>
      </c>
      <c r="B19" t="s">
        <v>3209</v>
      </c>
      <c r="C19" t="s">
        <v>3226</v>
      </c>
      <c r="D19" t="s">
        <v>4727</v>
      </c>
      <c r="E19" s="1">
        <v>422.70699999999999</v>
      </c>
      <c r="F19" s="1">
        <v>419.95</v>
      </c>
      <c r="K19" s="39">
        <f>DefaultValues!$B$2</f>
        <v>1440</v>
      </c>
      <c r="L19" s="1">
        <f>DefaultValues!$C$2</f>
        <v>1999</v>
      </c>
      <c r="M19" s="1" t="str">
        <f>DefaultValues!$D$2</f>
        <v xml:space="preserve">- Detour not possible - </v>
      </c>
      <c r="N19" s="1">
        <f>1000 - 422.707</f>
        <v>577.29300000000001</v>
      </c>
      <c r="O19" s="1">
        <f>ABS(Table4[[#This Row],[EndMP]]-Table4[[#This Row],[StartMP]])</f>
        <v>2.757000000000005</v>
      </c>
      <c r="P19" s="1" t="str">
        <f>IF( AND( Table4[[#This Row],[Route]]=ClosureLocation!$B$3, ClosureLocation!$B$6 &gt;= Table4[[#This Row],[StartMP]], ClosureLocation!$B$6 &lt;= Table4[[#This Row],[EndMP]]), "Yes", "")</f>
        <v/>
      </c>
      <c r="Q19" s="1" t="str">
        <f>IF( AND( Table4[[#This Row],[Route]]=ClosureLocation!$B$3, ClosureLocation!$B$6 &lt;= Table4[[#This Row],[StartMP]], ClosureLocation!$B$6 &gt;= Table4[[#This Row],[EndMP]]), "Yes", "")</f>
        <v/>
      </c>
      <c r="R19" s="1" t="str">
        <f>IF( OR( Table4[[#This Row],[PrimaryMatch]]="Yes", Table4[[#This Row],[SecondaryMatch]]="Yes"), "Yes", "")</f>
        <v/>
      </c>
    </row>
    <row r="20" spans="1:18" hidden="1" x14ac:dyDescent="0.25">
      <c r="A20" t="s">
        <v>282</v>
      </c>
      <c r="B20" t="s">
        <v>3205</v>
      </c>
      <c r="C20" t="s">
        <v>3222</v>
      </c>
      <c r="D20" t="s">
        <v>3403</v>
      </c>
      <c r="E20" s="1">
        <v>456.02</v>
      </c>
      <c r="F20" s="1">
        <v>457.29</v>
      </c>
      <c r="K20" s="39">
        <f>DefaultValues!$B$2</f>
        <v>1440</v>
      </c>
      <c r="L20" s="1">
        <f>DefaultValues!$C$2</f>
        <v>1999</v>
      </c>
      <c r="M20" s="1" t="str">
        <f>DefaultValues!$D$2</f>
        <v xml:space="preserve">- Detour not possible - </v>
      </c>
      <c r="N20" s="1">
        <v>456.02</v>
      </c>
      <c r="O20" s="1">
        <f>ABS(Table4[[#This Row],[EndMP]]-Table4[[#This Row],[StartMP]])</f>
        <v>1.2700000000000387</v>
      </c>
      <c r="P20" s="1" t="str">
        <f>IF( AND( Table4[[#This Row],[Route]]=ClosureLocation!$B$3, ClosureLocation!$B$6 &gt;= Table4[[#This Row],[StartMP]], ClosureLocation!$B$6 &lt;= Table4[[#This Row],[EndMP]]), "Yes", "")</f>
        <v/>
      </c>
      <c r="Q20" s="1" t="str">
        <f>IF( AND( Table4[[#This Row],[Route]]=ClosureLocation!$B$3, ClosureLocation!$B$6 &lt;= Table4[[#This Row],[StartMP]], ClosureLocation!$B$6 &gt;= Table4[[#This Row],[EndMP]]), "Yes", "")</f>
        <v/>
      </c>
      <c r="R20" s="1" t="str">
        <f>IF( OR( Table4[[#This Row],[PrimaryMatch]]="Yes", Table4[[#This Row],[SecondaryMatch]]="Yes"), "Yes", "")</f>
        <v/>
      </c>
    </row>
    <row r="21" spans="1:18" hidden="1" x14ac:dyDescent="0.25">
      <c r="A21" t="s">
        <v>282</v>
      </c>
      <c r="B21" t="s">
        <v>3209</v>
      </c>
      <c r="C21" t="s">
        <v>3226</v>
      </c>
      <c r="D21" t="s">
        <v>3405</v>
      </c>
      <c r="E21" s="1">
        <v>457.29</v>
      </c>
      <c r="F21" s="1">
        <v>456.02</v>
      </c>
      <c r="K21" s="39">
        <f>DefaultValues!$B$2</f>
        <v>1440</v>
      </c>
      <c r="L21" s="1">
        <f>DefaultValues!$C$2</f>
        <v>1999</v>
      </c>
      <c r="M21" s="1" t="str">
        <f>DefaultValues!$D$2</f>
        <v xml:space="preserve">- Detour not possible - </v>
      </c>
      <c r="N21" s="1">
        <f>1000 - 457.29</f>
        <v>542.71</v>
      </c>
      <c r="O21" s="1">
        <f>ABS(Table4[[#This Row],[EndMP]]-Table4[[#This Row],[StartMP]])</f>
        <v>1.2700000000000387</v>
      </c>
      <c r="P21" s="1" t="str">
        <f>IF( AND( Table4[[#This Row],[Route]]=ClosureLocation!$B$3, ClosureLocation!$B$6 &gt;= Table4[[#This Row],[StartMP]], ClosureLocation!$B$6 &lt;= Table4[[#This Row],[EndMP]]), "Yes", "")</f>
        <v/>
      </c>
      <c r="Q21" s="1" t="str">
        <f>IF( AND( Table4[[#This Row],[Route]]=ClosureLocation!$B$3, ClosureLocation!$B$6 &lt;= Table4[[#This Row],[StartMP]], ClosureLocation!$B$6 &gt;= Table4[[#This Row],[EndMP]]), "Yes", "")</f>
        <v/>
      </c>
      <c r="R21" s="1" t="str">
        <f>IF( OR( Table4[[#This Row],[PrimaryMatch]]="Yes", Table4[[#This Row],[SecondaryMatch]]="Yes"), "Yes", "")</f>
        <v/>
      </c>
    </row>
    <row r="22" spans="1:18" hidden="1" x14ac:dyDescent="0.25">
      <c r="A22" t="s">
        <v>307</v>
      </c>
      <c r="B22" t="s">
        <v>3205</v>
      </c>
      <c r="C22" t="s">
        <v>3222</v>
      </c>
      <c r="D22" t="s">
        <v>4819</v>
      </c>
      <c r="E22" s="1">
        <v>4.1959999999999997</v>
      </c>
      <c r="F22" s="1">
        <v>4.3230000000000004</v>
      </c>
      <c r="K22" s="39">
        <f>DefaultValues!$B$2</f>
        <v>1440</v>
      </c>
      <c r="L22" s="1">
        <f>DefaultValues!$C$2</f>
        <v>1999</v>
      </c>
      <c r="M22" s="1" t="str">
        <f>DefaultValues!$D$2</f>
        <v xml:space="preserve">- Detour not possible - </v>
      </c>
      <c r="N22" s="1">
        <v>4.1959999999999997</v>
      </c>
      <c r="O22" s="1">
        <f>ABS(Table4[[#This Row],[EndMP]]-Table4[[#This Row],[StartMP]])</f>
        <v>0.12700000000000067</v>
      </c>
      <c r="P22" s="1" t="str">
        <f>IF( AND( Table4[[#This Row],[Route]]=ClosureLocation!$B$3, ClosureLocation!$B$6 &gt;= Table4[[#This Row],[StartMP]], ClosureLocation!$B$6 &lt;= Table4[[#This Row],[EndMP]]), "Yes", "")</f>
        <v/>
      </c>
      <c r="Q22" s="1" t="str">
        <f>IF( AND( Table4[[#This Row],[Route]]=ClosureLocation!$B$3, ClosureLocation!$B$6 &lt;= Table4[[#This Row],[StartMP]], ClosureLocation!$B$6 &gt;= Table4[[#This Row],[EndMP]]), "Yes", "")</f>
        <v/>
      </c>
      <c r="R22" s="1" t="str">
        <f>IF( OR( Table4[[#This Row],[PrimaryMatch]]="Yes", Table4[[#This Row],[SecondaryMatch]]="Yes"), "Yes", "")</f>
        <v/>
      </c>
    </row>
    <row r="23" spans="1:18" hidden="1" x14ac:dyDescent="0.25">
      <c r="A23" t="s">
        <v>307</v>
      </c>
      <c r="B23" t="s">
        <v>3209</v>
      </c>
      <c r="C23" t="s">
        <v>3226</v>
      </c>
      <c r="D23" t="s">
        <v>4820</v>
      </c>
      <c r="E23" s="1">
        <v>4.3230000000000004</v>
      </c>
      <c r="F23" s="1">
        <v>4.1959999999999997</v>
      </c>
      <c r="K23" s="39">
        <f>DefaultValues!$B$2</f>
        <v>1440</v>
      </c>
      <c r="L23" s="1">
        <f>DefaultValues!$C$2</f>
        <v>1999</v>
      </c>
      <c r="M23" s="1" t="str">
        <f>DefaultValues!$D$2</f>
        <v xml:space="preserve">- Detour not possible - </v>
      </c>
      <c r="N23" s="1">
        <f>1000 - 4.323</f>
        <v>995.67700000000002</v>
      </c>
      <c r="O23" s="1">
        <f>ABS(Table4[[#This Row],[EndMP]]-Table4[[#This Row],[StartMP]])</f>
        <v>0.12700000000000067</v>
      </c>
      <c r="P23" s="1" t="str">
        <f>IF( AND( Table4[[#This Row],[Route]]=ClosureLocation!$B$3, ClosureLocation!$B$6 &gt;= Table4[[#This Row],[StartMP]], ClosureLocation!$B$6 &lt;= Table4[[#This Row],[EndMP]]), "Yes", "")</f>
        <v/>
      </c>
      <c r="Q23" s="1" t="str">
        <f>IF( AND( Table4[[#This Row],[Route]]=ClosureLocation!$B$3, ClosureLocation!$B$6 &lt;= Table4[[#This Row],[StartMP]], ClosureLocation!$B$6 &gt;= Table4[[#This Row],[EndMP]]), "Yes", "")</f>
        <v/>
      </c>
      <c r="R23" s="1" t="str">
        <f>IF( OR( Table4[[#This Row],[PrimaryMatch]]="Yes", Table4[[#This Row],[SecondaryMatch]]="Yes"), "Yes", "")</f>
        <v/>
      </c>
    </row>
    <row r="24" spans="1:18" hidden="1" x14ac:dyDescent="0.25">
      <c r="A24" t="s">
        <v>375</v>
      </c>
      <c r="B24" t="s">
        <v>3205</v>
      </c>
      <c r="C24" t="s">
        <v>3226</v>
      </c>
      <c r="D24" t="s">
        <v>4656</v>
      </c>
      <c r="E24" s="1">
        <v>0</v>
      </c>
      <c r="F24" s="1">
        <v>1.948</v>
      </c>
      <c r="K24" s="39">
        <f>DefaultValues!$B$2</f>
        <v>1440</v>
      </c>
      <c r="L24" s="1">
        <f>DefaultValues!$C$2</f>
        <v>1999</v>
      </c>
      <c r="M24" s="1" t="str">
        <f>DefaultValues!$D$2</f>
        <v xml:space="preserve">- Detour not possible - </v>
      </c>
      <c r="N24" s="1">
        <v>0</v>
      </c>
      <c r="O24" s="1">
        <f>ABS(Table4[[#This Row],[EndMP]]-Table4[[#This Row],[StartMP]])</f>
        <v>1.948</v>
      </c>
      <c r="P24" s="1" t="str">
        <f>IF( AND( Table4[[#This Row],[Route]]=ClosureLocation!$B$3, ClosureLocation!$B$6 &gt;= Table4[[#This Row],[StartMP]], ClosureLocation!$B$6 &lt;= Table4[[#This Row],[EndMP]]), "Yes", "")</f>
        <v/>
      </c>
      <c r="Q24" s="1" t="str">
        <f>IF( AND( Table4[[#This Row],[Route]]=ClosureLocation!$B$3, ClosureLocation!$B$6 &lt;= Table4[[#This Row],[StartMP]], ClosureLocation!$B$6 &gt;= Table4[[#This Row],[EndMP]]), "Yes", "")</f>
        <v/>
      </c>
      <c r="R24" s="1" t="str">
        <f>IF( OR( Table4[[#This Row],[PrimaryMatch]]="Yes", Table4[[#This Row],[SecondaryMatch]]="Yes"), "Yes", "")</f>
        <v/>
      </c>
    </row>
    <row r="25" spans="1:18" hidden="1" x14ac:dyDescent="0.25">
      <c r="A25" t="s">
        <v>375</v>
      </c>
      <c r="B25" t="s">
        <v>3209</v>
      </c>
      <c r="C25" t="s">
        <v>3222</v>
      </c>
      <c r="D25" t="s">
        <v>4657</v>
      </c>
      <c r="E25" s="1">
        <v>1.948</v>
      </c>
      <c r="F25" s="1">
        <v>0</v>
      </c>
      <c r="K25" s="39">
        <f>DefaultValues!$B$2</f>
        <v>1440</v>
      </c>
      <c r="L25" s="1">
        <f>DefaultValues!$C$2</f>
        <v>1999</v>
      </c>
      <c r="M25" s="1" t="str">
        <f>DefaultValues!$D$2</f>
        <v xml:space="preserve">- Detour not possible - </v>
      </c>
      <c r="N25" s="1">
        <f>1000 - 1.948</f>
        <v>998.05200000000002</v>
      </c>
      <c r="O25" s="1">
        <f>ABS(Table4[[#This Row],[EndMP]]-Table4[[#This Row],[StartMP]])</f>
        <v>1.948</v>
      </c>
      <c r="P25" s="1" t="str">
        <f>IF( AND( Table4[[#This Row],[Route]]=ClosureLocation!$B$3, ClosureLocation!$B$6 &gt;= Table4[[#This Row],[StartMP]], ClosureLocation!$B$6 &lt;= Table4[[#This Row],[EndMP]]), "Yes", "")</f>
        <v/>
      </c>
      <c r="Q25" s="1" t="str">
        <f>IF( AND( Table4[[#This Row],[Route]]=ClosureLocation!$B$3, ClosureLocation!$B$6 &lt;= Table4[[#This Row],[StartMP]], ClosureLocation!$B$6 &gt;= Table4[[#This Row],[EndMP]]), "Yes", "")</f>
        <v/>
      </c>
      <c r="R25" s="1" t="str">
        <f>IF( OR( Table4[[#This Row],[PrimaryMatch]]="Yes", Table4[[#This Row],[SecondaryMatch]]="Yes"), "Yes", "")</f>
        <v/>
      </c>
    </row>
    <row r="26" spans="1:18" hidden="1" x14ac:dyDescent="0.25">
      <c r="A26" t="s">
        <v>442</v>
      </c>
      <c r="B26" t="s">
        <v>3205</v>
      </c>
      <c r="C26" t="s">
        <v>3222</v>
      </c>
      <c r="D26" t="s">
        <v>4821</v>
      </c>
      <c r="E26" s="1">
        <v>0</v>
      </c>
      <c r="F26" s="1">
        <v>3.1E-2</v>
      </c>
      <c r="K26" s="39">
        <f>DefaultValues!$B$2</f>
        <v>1440</v>
      </c>
      <c r="L26" s="1">
        <f>DefaultValues!$C$2</f>
        <v>1999</v>
      </c>
      <c r="M26" s="1" t="str">
        <f>DefaultValues!$D$2</f>
        <v xml:space="preserve">- Detour not possible - </v>
      </c>
      <c r="N26" s="1">
        <v>0</v>
      </c>
      <c r="O26" s="1">
        <f>ABS(Table4[[#This Row],[EndMP]]-Table4[[#This Row],[StartMP]])</f>
        <v>3.1E-2</v>
      </c>
      <c r="P26" s="1" t="str">
        <f>IF( AND( Table4[[#This Row],[Route]]=ClosureLocation!$B$3, ClosureLocation!$B$6 &gt;= Table4[[#This Row],[StartMP]], ClosureLocation!$B$6 &lt;= Table4[[#This Row],[EndMP]]), "Yes", "")</f>
        <v/>
      </c>
      <c r="Q26" s="1" t="str">
        <f>IF( AND( Table4[[#This Row],[Route]]=ClosureLocation!$B$3, ClosureLocation!$B$6 &lt;= Table4[[#This Row],[StartMP]], ClosureLocation!$B$6 &gt;= Table4[[#This Row],[EndMP]]), "Yes", "")</f>
        <v/>
      </c>
      <c r="R26" s="1" t="str">
        <f>IF( OR( Table4[[#This Row],[PrimaryMatch]]="Yes", Table4[[#This Row],[SecondaryMatch]]="Yes"), "Yes", "")</f>
        <v/>
      </c>
    </row>
    <row r="27" spans="1:18" hidden="1" x14ac:dyDescent="0.25">
      <c r="A27" t="s">
        <v>442</v>
      </c>
      <c r="B27" t="s">
        <v>3209</v>
      </c>
      <c r="C27" t="s">
        <v>3226</v>
      </c>
      <c r="D27" t="s">
        <v>4822</v>
      </c>
      <c r="E27" s="1">
        <v>3.1E-2</v>
      </c>
      <c r="F27" s="1">
        <v>0</v>
      </c>
      <c r="K27" s="39">
        <f>DefaultValues!$B$2</f>
        <v>1440</v>
      </c>
      <c r="L27" s="1">
        <f>DefaultValues!$C$2</f>
        <v>1999</v>
      </c>
      <c r="M27" s="1" t="str">
        <f>DefaultValues!$D$2</f>
        <v xml:space="preserve">- Detour not possible - </v>
      </c>
      <c r="N27" s="1">
        <f>1000 - 0.031</f>
        <v>999.96900000000005</v>
      </c>
      <c r="O27" s="1">
        <f>ABS(Table4[[#This Row],[EndMP]]-Table4[[#This Row],[StartMP]])</f>
        <v>3.1E-2</v>
      </c>
      <c r="P27" s="1" t="str">
        <f>IF( AND( Table4[[#This Row],[Route]]=ClosureLocation!$B$3, ClosureLocation!$B$6 &gt;= Table4[[#This Row],[StartMP]], ClosureLocation!$B$6 &lt;= Table4[[#This Row],[EndMP]]), "Yes", "")</f>
        <v/>
      </c>
      <c r="Q27" s="1" t="str">
        <f>IF( AND( Table4[[#This Row],[Route]]=ClosureLocation!$B$3, ClosureLocation!$B$6 &lt;= Table4[[#This Row],[StartMP]], ClosureLocation!$B$6 &gt;= Table4[[#This Row],[EndMP]]), "Yes", "")</f>
        <v/>
      </c>
      <c r="R27" s="1" t="str">
        <f>IF( OR( Table4[[#This Row],[PrimaryMatch]]="Yes", Table4[[#This Row],[SecondaryMatch]]="Yes"), "Yes", "")</f>
        <v/>
      </c>
    </row>
    <row r="28" spans="1:18" hidden="1" x14ac:dyDescent="0.25">
      <c r="A28" t="s">
        <v>448</v>
      </c>
      <c r="B28" t="s">
        <v>3205</v>
      </c>
      <c r="C28" t="s">
        <v>3206</v>
      </c>
      <c r="D28" t="s">
        <v>3517</v>
      </c>
      <c r="E28" s="1">
        <v>9.3260000000000005</v>
      </c>
      <c r="F28" s="1">
        <v>9.7040000000000006</v>
      </c>
      <c r="K28" s="39">
        <f>DefaultValues!$B$2</f>
        <v>1440</v>
      </c>
      <c r="L28" s="1">
        <f>DefaultValues!$C$2</f>
        <v>1999</v>
      </c>
      <c r="M28" s="1" t="str">
        <f>DefaultValues!$D$2</f>
        <v xml:space="preserve">- Detour not possible - </v>
      </c>
      <c r="N28" s="1">
        <v>9.3260000000000005</v>
      </c>
      <c r="O28" s="1">
        <f>ABS(Table4[[#This Row],[EndMP]]-Table4[[#This Row],[StartMP]])</f>
        <v>0.37800000000000011</v>
      </c>
      <c r="P28" s="1" t="str">
        <f>IF( AND( Table4[[#This Row],[Route]]=ClosureLocation!$B$3, ClosureLocation!$B$6 &gt;= Table4[[#This Row],[StartMP]], ClosureLocation!$B$6 &lt;= Table4[[#This Row],[EndMP]]), "Yes", "")</f>
        <v/>
      </c>
      <c r="Q28" s="1" t="str">
        <f>IF( AND( Table4[[#This Row],[Route]]=ClosureLocation!$B$3, ClosureLocation!$B$6 &lt;= Table4[[#This Row],[StartMP]], ClosureLocation!$B$6 &gt;= Table4[[#This Row],[EndMP]]), "Yes", "")</f>
        <v/>
      </c>
      <c r="R28" s="1" t="str">
        <f>IF( OR( Table4[[#This Row],[PrimaryMatch]]="Yes", Table4[[#This Row],[SecondaryMatch]]="Yes"), "Yes", "")</f>
        <v/>
      </c>
    </row>
    <row r="29" spans="1:18" hidden="1" x14ac:dyDescent="0.25">
      <c r="A29" t="s">
        <v>448</v>
      </c>
      <c r="B29" t="s">
        <v>3209</v>
      </c>
      <c r="C29" t="s">
        <v>3210</v>
      </c>
      <c r="D29" t="s">
        <v>3519</v>
      </c>
      <c r="E29" s="1">
        <v>9.7040000000000006</v>
      </c>
      <c r="F29" s="1">
        <v>9.3260000000000005</v>
      </c>
      <c r="K29" s="39">
        <f>DefaultValues!$B$2</f>
        <v>1440</v>
      </c>
      <c r="L29" s="1">
        <f>DefaultValues!$C$2</f>
        <v>1999</v>
      </c>
      <c r="M29" s="1" t="str">
        <f>DefaultValues!$D$2</f>
        <v xml:space="preserve">- Detour not possible - </v>
      </c>
      <c r="N29" s="1">
        <f>1000 - 9.704</f>
        <v>990.29600000000005</v>
      </c>
      <c r="O29" s="1">
        <f>ABS(Table4[[#This Row],[EndMP]]-Table4[[#This Row],[StartMP]])</f>
        <v>0.37800000000000011</v>
      </c>
      <c r="P29" s="1" t="str">
        <f>IF( AND( Table4[[#This Row],[Route]]=ClosureLocation!$B$3, ClosureLocation!$B$6 &gt;= Table4[[#This Row],[StartMP]], ClosureLocation!$B$6 &lt;= Table4[[#This Row],[EndMP]]), "Yes", "")</f>
        <v/>
      </c>
      <c r="Q29" s="1" t="str">
        <f>IF( AND( Table4[[#This Row],[Route]]=ClosureLocation!$B$3, ClosureLocation!$B$6 &lt;= Table4[[#This Row],[StartMP]], ClosureLocation!$B$6 &gt;= Table4[[#This Row],[EndMP]]), "Yes", "")</f>
        <v/>
      </c>
      <c r="R29" s="1" t="str">
        <f>IF( OR( Table4[[#This Row],[PrimaryMatch]]="Yes", Table4[[#This Row],[SecondaryMatch]]="Yes"), "Yes", "")</f>
        <v/>
      </c>
    </row>
    <row r="30" spans="1:18" hidden="1" x14ac:dyDescent="0.25">
      <c r="A30" t="s">
        <v>562</v>
      </c>
      <c r="B30" t="s">
        <v>3205</v>
      </c>
      <c r="C30" t="s">
        <v>3222</v>
      </c>
      <c r="D30" t="s">
        <v>4823</v>
      </c>
      <c r="E30" s="1">
        <v>338.57</v>
      </c>
      <c r="F30" s="1">
        <v>340.38099999999997</v>
      </c>
      <c r="K30" s="39">
        <f>DefaultValues!$B$2</f>
        <v>1440</v>
      </c>
      <c r="L30" s="1">
        <f>DefaultValues!$C$2</f>
        <v>1999</v>
      </c>
      <c r="M30" s="1" t="str">
        <f>DefaultValues!$D$2</f>
        <v xml:space="preserve">- Detour not possible - </v>
      </c>
      <c r="N30" s="1">
        <v>338.57</v>
      </c>
      <c r="O30" s="1">
        <f>ABS(Table4[[#This Row],[EndMP]]-Table4[[#This Row],[StartMP]])</f>
        <v>1.8109999999999786</v>
      </c>
      <c r="P30" s="1" t="str">
        <f>IF( AND( Table4[[#This Row],[Route]]=ClosureLocation!$B$3, ClosureLocation!$B$6 &gt;= Table4[[#This Row],[StartMP]], ClosureLocation!$B$6 &lt;= Table4[[#This Row],[EndMP]]), "Yes", "")</f>
        <v/>
      </c>
      <c r="Q30" s="1" t="str">
        <f>IF( AND( Table4[[#This Row],[Route]]=ClosureLocation!$B$3, ClosureLocation!$B$6 &lt;= Table4[[#This Row],[StartMP]], ClosureLocation!$B$6 &gt;= Table4[[#This Row],[EndMP]]), "Yes", "")</f>
        <v/>
      </c>
      <c r="R30" s="1" t="str">
        <f>IF( OR( Table4[[#This Row],[PrimaryMatch]]="Yes", Table4[[#This Row],[SecondaryMatch]]="Yes"), "Yes", "")</f>
        <v/>
      </c>
    </row>
    <row r="31" spans="1:18" hidden="1" x14ac:dyDescent="0.25">
      <c r="A31" t="s">
        <v>562</v>
      </c>
      <c r="B31" t="s">
        <v>3209</v>
      </c>
      <c r="C31" t="s">
        <v>3226</v>
      </c>
      <c r="D31" t="s">
        <v>4824</v>
      </c>
      <c r="E31" s="1">
        <v>340.38099999999997</v>
      </c>
      <c r="F31" s="1">
        <v>338.57</v>
      </c>
      <c r="K31" s="39">
        <f>DefaultValues!$B$2</f>
        <v>1440</v>
      </c>
      <c r="L31" s="1">
        <f>DefaultValues!$C$2</f>
        <v>1999</v>
      </c>
      <c r="M31" s="1" t="str">
        <f>DefaultValues!$D$2</f>
        <v xml:space="preserve">- Detour not possible - </v>
      </c>
      <c r="N31" s="1">
        <f>1000 - 340.381</f>
        <v>659.61900000000003</v>
      </c>
      <c r="O31" s="1">
        <f>ABS(Table4[[#This Row],[EndMP]]-Table4[[#This Row],[StartMP]])</f>
        <v>1.8109999999999786</v>
      </c>
      <c r="P31" s="1" t="str">
        <f>IF( AND( Table4[[#This Row],[Route]]=ClosureLocation!$B$3, ClosureLocation!$B$6 &gt;= Table4[[#This Row],[StartMP]], ClosureLocation!$B$6 &lt;= Table4[[#This Row],[EndMP]]), "Yes", "")</f>
        <v/>
      </c>
      <c r="Q31" s="1" t="str">
        <f>IF( AND( Table4[[#This Row],[Route]]=ClosureLocation!$B$3, ClosureLocation!$B$6 &lt;= Table4[[#This Row],[StartMP]], ClosureLocation!$B$6 &gt;= Table4[[#This Row],[EndMP]]), "Yes", "")</f>
        <v/>
      </c>
      <c r="R31" s="1" t="str">
        <f>IF( OR( Table4[[#This Row],[PrimaryMatch]]="Yes", Table4[[#This Row],[SecondaryMatch]]="Yes"), "Yes", "")</f>
        <v/>
      </c>
    </row>
    <row r="32" spans="1:18" hidden="1" x14ac:dyDescent="0.25">
      <c r="A32" t="s">
        <v>565</v>
      </c>
      <c r="B32" t="s">
        <v>3205</v>
      </c>
      <c r="C32" t="s">
        <v>3222</v>
      </c>
      <c r="D32" t="s">
        <v>4762</v>
      </c>
      <c r="E32" s="1">
        <v>350.86200000000002</v>
      </c>
      <c r="F32" s="1">
        <v>352.245</v>
      </c>
      <c r="K32" s="39">
        <f>DefaultValues!$B$2</f>
        <v>1440</v>
      </c>
      <c r="L32" s="1">
        <f>DefaultValues!$C$2</f>
        <v>1999</v>
      </c>
      <c r="M32" s="1" t="str">
        <f>DefaultValues!$D$2</f>
        <v xml:space="preserve">- Detour not possible - </v>
      </c>
      <c r="N32" s="1">
        <v>350.86200000000002</v>
      </c>
      <c r="O32" s="1">
        <f>ABS(Table4[[#This Row],[EndMP]]-Table4[[#This Row],[StartMP]])</f>
        <v>1.3829999999999814</v>
      </c>
      <c r="P32" s="1" t="str">
        <f>IF( AND( Table4[[#This Row],[Route]]=ClosureLocation!$B$3, ClosureLocation!$B$6 &gt;= Table4[[#This Row],[StartMP]], ClosureLocation!$B$6 &lt;= Table4[[#This Row],[EndMP]]), "Yes", "")</f>
        <v/>
      </c>
      <c r="Q32" s="1" t="str">
        <f>IF( AND( Table4[[#This Row],[Route]]=ClosureLocation!$B$3, ClosureLocation!$B$6 &lt;= Table4[[#This Row],[StartMP]], ClosureLocation!$B$6 &gt;= Table4[[#This Row],[EndMP]]), "Yes", "")</f>
        <v/>
      </c>
      <c r="R32" s="1" t="str">
        <f>IF( OR( Table4[[#This Row],[PrimaryMatch]]="Yes", Table4[[#This Row],[SecondaryMatch]]="Yes"), "Yes", "")</f>
        <v/>
      </c>
    </row>
    <row r="33" spans="1:18" hidden="1" x14ac:dyDescent="0.25">
      <c r="A33" t="s">
        <v>565</v>
      </c>
      <c r="B33" t="s">
        <v>3209</v>
      </c>
      <c r="C33" t="s">
        <v>3226</v>
      </c>
      <c r="D33" t="s">
        <v>4763</v>
      </c>
      <c r="E33" s="1">
        <v>352.245</v>
      </c>
      <c r="F33" s="1">
        <v>350.86200000000002</v>
      </c>
      <c r="K33" s="39">
        <f>DefaultValues!$B$2</f>
        <v>1440</v>
      </c>
      <c r="L33" s="1">
        <f>DefaultValues!$C$2</f>
        <v>1999</v>
      </c>
      <c r="M33" s="1" t="str">
        <f>DefaultValues!$D$2</f>
        <v xml:space="preserve">- Detour not possible - </v>
      </c>
      <c r="N33" s="1">
        <f>1000 - 352.245</f>
        <v>647.755</v>
      </c>
      <c r="O33" s="1">
        <f>ABS(Table4[[#This Row],[EndMP]]-Table4[[#This Row],[StartMP]])</f>
        <v>1.3829999999999814</v>
      </c>
      <c r="P33" s="1" t="str">
        <f>IF( AND( Table4[[#This Row],[Route]]=ClosureLocation!$B$3, ClosureLocation!$B$6 &gt;= Table4[[#This Row],[StartMP]], ClosureLocation!$B$6 &lt;= Table4[[#This Row],[EndMP]]), "Yes", "")</f>
        <v/>
      </c>
      <c r="Q33" s="1" t="str">
        <f>IF( AND( Table4[[#This Row],[Route]]=ClosureLocation!$B$3, ClosureLocation!$B$6 &lt;= Table4[[#This Row],[StartMP]], ClosureLocation!$B$6 &gt;= Table4[[#This Row],[EndMP]]), "Yes", "")</f>
        <v/>
      </c>
      <c r="R33" s="1" t="str">
        <f>IF( OR( Table4[[#This Row],[PrimaryMatch]]="Yes", Table4[[#This Row],[SecondaryMatch]]="Yes"), "Yes", "")</f>
        <v/>
      </c>
    </row>
    <row r="34" spans="1:18" hidden="1" x14ac:dyDescent="0.25">
      <c r="A34" t="s">
        <v>569</v>
      </c>
      <c r="B34" t="s">
        <v>3205</v>
      </c>
      <c r="C34" t="s">
        <v>3222</v>
      </c>
      <c r="D34" t="s">
        <v>4825</v>
      </c>
      <c r="E34" s="1">
        <v>360.20100000000002</v>
      </c>
      <c r="F34" s="1">
        <v>362.99900000000002</v>
      </c>
      <c r="K34" s="39">
        <f>DefaultValues!$B$2</f>
        <v>1440</v>
      </c>
      <c r="L34" s="1">
        <f>DefaultValues!$C$2</f>
        <v>1999</v>
      </c>
      <c r="M34" s="1" t="str">
        <f>DefaultValues!$D$2</f>
        <v xml:space="preserve">- Detour not possible - </v>
      </c>
      <c r="N34" s="1">
        <v>360.20100000000002</v>
      </c>
      <c r="O34" s="1">
        <f>ABS(Table4[[#This Row],[EndMP]]-Table4[[#This Row],[StartMP]])</f>
        <v>2.7980000000000018</v>
      </c>
      <c r="P34" s="1" t="str">
        <f>IF( AND( Table4[[#This Row],[Route]]=ClosureLocation!$B$3, ClosureLocation!$B$6 &gt;= Table4[[#This Row],[StartMP]], ClosureLocation!$B$6 &lt;= Table4[[#This Row],[EndMP]]), "Yes", "")</f>
        <v/>
      </c>
      <c r="Q34" s="1" t="str">
        <f>IF( AND( Table4[[#This Row],[Route]]=ClosureLocation!$B$3, ClosureLocation!$B$6 &lt;= Table4[[#This Row],[StartMP]], ClosureLocation!$B$6 &gt;= Table4[[#This Row],[EndMP]]), "Yes", "")</f>
        <v/>
      </c>
      <c r="R34" s="1" t="str">
        <f>IF( OR( Table4[[#This Row],[PrimaryMatch]]="Yes", Table4[[#This Row],[SecondaryMatch]]="Yes"), "Yes", "")</f>
        <v/>
      </c>
    </row>
    <row r="35" spans="1:18" hidden="1" x14ac:dyDescent="0.25">
      <c r="A35" t="s">
        <v>569</v>
      </c>
      <c r="B35" t="s">
        <v>3209</v>
      </c>
      <c r="C35" t="s">
        <v>3226</v>
      </c>
      <c r="D35" t="s">
        <v>4826</v>
      </c>
      <c r="E35" s="1">
        <v>362.99900000000002</v>
      </c>
      <c r="F35" s="1">
        <v>360.20100000000002</v>
      </c>
      <c r="K35" s="39">
        <f>DefaultValues!$B$2</f>
        <v>1440</v>
      </c>
      <c r="L35" s="1">
        <f>DefaultValues!$C$2</f>
        <v>1999</v>
      </c>
      <c r="M35" s="1" t="str">
        <f>DefaultValues!$D$2</f>
        <v xml:space="preserve">- Detour not possible - </v>
      </c>
      <c r="N35" s="1">
        <f>1000 - 362.999</f>
        <v>637.00099999999998</v>
      </c>
      <c r="O35" s="1">
        <f>ABS(Table4[[#This Row],[EndMP]]-Table4[[#This Row],[StartMP]])</f>
        <v>2.7980000000000018</v>
      </c>
      <c r="P35" s="1" t="str">
        <f>IF( AND( Table4[[#This Row],[Route]]=ClosureLocation!$B$3, ClosureLocation!$B$6 &gt;= Table4[[#This Row],[StartMP]], ClosureLocation!$B$6 &lt;= Table4[[#This Row],[EndMP]]), "Yes", "")</f>
        <v/>
      </c>
      <c r="Q35" s="1" t="str">
        <f>IF( AND( Table4[[#This Row],[Route]]=ClosureLocation!$B$3, ClosureLocation!$B$6 &lt;= Table4[[#This Row],[StartMP]], ClosureLocation!$B$6 &gt;= Table4[[#This Row],[EndMP]]), "Yes", "")</f>
        <v/>
      </c>
      <c r="R35" s="1" t="str">
        <f>IF( OR( Table4[[#This Row],[PrimaryMatch]]="Yes", Table4[[#This Row],[SecondaryMatch]]="Yes"), "Yes", "")</f>
        <v/>
      </c>
    </row>
    <row r="36" spans="1:18" hidden="1" x14ac:dyDescent="0.25">
      <c r="A36" t="s">
        <v>572</v>
      </c>
      <c r="B36" t="s">
        <v>3205</v>
      </c>
      <c r="C36" t="s">
        <v>3222</v>
      </c>
      <c r="D36" t="s">
        <v>4827</v>
      </c>
      <c r="E36" s="1">
        <v>380.68900000000002</v>
      </c>
      <c r="F36" s="1">
        <v>382.18400000000003</v>
      </c>
      <c r="K36" s="39">
        <f>DefaultValues!$B$2</f>
        <v>1440</v>
      </c>
      <c r="L36" s="1">
        <f>DefaultValues!$C$2</f>
        <v>1999</v>
      </c>
      <c r="M36" s="1" t="str">
        <f>DefaultValues!$D$2</f>
        <v xml:space="preserve">- Detour not possible - </v>
      </c>
      <c r="N36" s="1">
        <v>380.68900000000002</v>
      </c>
      <c r="O36" s="1">
        <f>ABS(Table4[[#This Row],[EndMP]]-Table4[[#This Row],[StartMP]])</f>
        <v>1.4950000000000045</v>
      </c>
      <c r="P36" s="1" t="str">
        <f>IF( AND( Table4[[#This Row],[Route]]=ClosureLocation!$B$3, ClosureLocation!$B$6 &gt;= Table4[[#This Row],[StartMP]], ClosureLocation!$B$6 &lt;= Table4[[#This Row],[EndMP]]), "Yes", "")</f>
        <v/>
      </c>
      <c r="Q36" s="1" t="str">
        <f>IF( AND( Table4[[#This Row],[Route]]=ClosureLocation!$B$3, ClosureLocation!$B$6 &lt;= Table4[[#This Row],[StartMP]], ClosureLocation!$B$6 &gt;= Table4[[#This Row],[EndMP]]), "Yes", "")</f>
        <v/>
      </c>
      <c r="R36" s="1" t="str">
        <f>IF( OR( Table4[[#This Row],[PrimaryMatch]]="Yes", Table4[[#This Row],[SecondaryMatch]]="Yes"), "Yes", "")</f>
        <v/>
      </c>
    </row>
    <row r="37" spans="1:18" hidden="1" x14ac:dyDescent="0.25">
      <c r="A37" t="s">
        <v>572</v>
      </c>
      <c r="B37" t="s">
        <v>3209</v>
      </c>
      <c r="C37" t="s">
        <v>3226</v>
      </c>
      <c r="D37" t="s">
        <v>4828</v>
      </c>
      <c r="E37" s="1">
        <v>382.18400000000003</v>
      </c>
      <c r="F37" s="1">
        <v>380.68900000000002</v>
      </c>
      <c r="K37" s="39">
        <f>DefaultValues!$B$2</f>
        <v>1440</v>
      </c>
      <c r="L37" s="1">
        <f>DefaultValues!$C$2</f>
        <v>1999</v>
      </c>
      <c r="M37" s="1" t="str">
        <f>DefaultValues!$D$2</f>
        <v xml:space="preserve">- Detour not possible - </v>
      </c>
      <c r="N37" s="1">
        <f>1000 - 382.184</f>
        <v>617.81600000000003</v>
      </c>
      <c r="O37" s="1">
        <f>ABS(Table4[[#This Row],[EndMP]]-Table4[[#This Row],[StartMP]])</f>
        <v>1.4950000000000045</v>
      </c>
      <c r="P37" s="1" t="str">
        <f>IF( AND( Table4[[#This Row],[Route]]=ClosureLocation!$B$3, ClosureLocation!$B$6 &gt;= Table4[[#This Row],[StartMP]], ClosureLocation!$B$6 &lt;= Table4[[#This Row],[EndMP]]), "Yes", "")</f>
        <v/>
      </c>
      <c r="Q37" s="1" t="str">
        <f>IF( AND( Table4[[#This Row],[Route]]=ClosureLocation!$B$3, ClosureLocation!$B$6 &lt;= Table4[[#This Row],[StartMP]], ClosureLocation!$B$6 &gt;= Table4[[#This Row],[EndMP]]), "Yes", "")</f>
        <v/>
      </c>
      <c r="R37" s="1" t="str">
        <f>IF( OR( Table4[[#This Row],[PrimaryMatch]]="Yes", Table4[[#This Row],[SecondaryMatch]]="Yes"), "Yes", "")</f>
        <v/>
      </c>
    </row>
    <row r="38" spans="1:18" hidden="1" x14ac:dyDescent="0.25">
      <c r="A38" t="s">
        <v>590</v>
      </c>
      <c r="B38" t="s">
        <v>3205</v>
      </c>
      <c r="C38" t="s">
        <v>3226</v>
      </c>
      <c r="D38" t="s">
        <v>4830</v>
      </c>
      <c r="E38" s="1">
        <v>0</v>
      </c>
      <c r="F38" s="1">
        <v>1.8</v>
      </c>
      <c r="K38" s="39">
        <f>DefaultValues!$B$2</f>
        <v>1440</v>
      </c>
      <c r="L38" s="1">
        <f>DefaultValues!$C$2</f>
        <v>1999</v>
      </c>
      <c r="M38" s="1" t="str">
        <f>DefaultValues!$D$2</f>
        <v xml:space="preserve">- Detour not possible - </v>
      </c>
      <c r="N38" s="1">
        <v>0</v>
      </c>
      <c r="O38" s="1">
        <f>ABS(Table4[[#This Row],[EndMP]]-Table4[[#This Row],[StartMP]])</f>
        <v>1.8</v>
      </c>
      <c r="P38" s="1" t="str">
        <f>IF( AND( Table4[[#This Row],[Route]]=ClosureLocation!$B$3, ClosureLocation!$B$6 &gt;= Table4[[#This Row],[StartMP]], ClosureLocation!$B$6 &lt;= Table4[[#This Row],[EndMP]]), "Yes", "")</f>
        <v/>
      </c>
      <c r="Q38" s="1" t="str">
        <f>IF( AND( Table4[[#This Row],[Route]]=ClosureLocation!$B$3, ClosureLocation!$B$6 &lt;= Table4[[#This Row],[StartMP]], ClosureLocation!$B$6 &gt;= Table4[[#This Row],[EndMP]]), "Yes", "")</f>
        <v/>
      </c>
      <c r="R38" s="1" t="str">
        <f>IF( OR( Table4[[#This Row],[PrimaryMatch]]="Yes", Table4[[#This Row],[SecondaryMatch]]="Yes"), "Yes", "")</f>
        <v/>
      </c>
    </row>
    <row r="39" spans="1:18" hidden="1" x14ac:dyDescent="0.25">
      <c r="A39" t="s">
        <v>590</v>
      </c>
      <c r="B39" t="s">
        <v>3205</v>
      </c>
      <c r="C39" t="s">
        <v>3226</v>
      </c>
      <c r="D39" t="s">
        <v>4830</v>
      </c>
      <c r="E39" s="1">
        <v>1.8</v>
      </c>
      <c r="F39" s="1">
        <v>4.9580000000000002</v>
      </c>
      <c r="K39" s="39">
        <f>DefaultValues!$B$2</f>
        <v>1440</v>
      </c>
      <c r="L39" s="1">
        <f>DefaultValues!$C$2</f>
        <v>1999</v>
      </c>
      <c r="M39" s="1" t="str">
        <f>DefaultValues!$D$2</f>
        <v xml:space="preserve">- Detour not possible - </v>
      </c>
      <c r="N39" s="1">
        <v>1.8</v>
      </c>
      <c r="O39" s="1">
        <f>ABS(Table4[[#This Row],[EndMP]]-Table4[[#This Row],[StartMP]])</f>
        <v>3.1580000000000004</v>
      </c>
      <c r="P39" s="1" t="str">
        <f>IF( AND( Table4[[#This Row],[Route]]=ClosureLocation!$B$3, ClosureLocation!$B$6 &gt;= Table4[[#This Row],[StartMP]], ClosureLocation!$B$6 &lt;= Table4[[#This Row],[EndMP]]), "Yes", "")</f>
        <v/>
      </c>
      <c r="Q39" s="1" t="str">
        <f>IF( AND( Table4[[#This Row],[Route]]=ClosureLocation!$B$3, ClosureLocation!$B$6 &lt;= Table4[[#This Row],[StartMP]], ClosureLocation!$B$6 &gt;= Table4[[#This Row],[EndMP]]), "Yes", "")</f>
        <v/>
      </c>
      <c r="R39" s="1" t="str">
        <f>IF( OR( Table4[[#This Row],[PrimaryMatch]]="Yes", Table4[[#This Row],[SecondaryMatch]]="Yes"), "Yes", "")</f>
        <v/>
      </c>
    </row>
    <row r="40" spans="1:18" hidden="1" x14ac:dyDescent="0.25">
      <c r="A40" t="s">
        <v>590</v>
      </c>
      <c r="B40" t="s">
        <v>3209</v>
      </c>
      <c r="C40" t="s">
        <v>3222</v>
      </c>
      <c r="D40" t="s">
        <v>4829</v>
      </c>
      <c r="E40" s="1">
        <v>4.9580000000000002</v>
      </c>
      <c r="F40" s="1">
        <v>1.8</v>
      </c>
      <c r="K40" s="39">
        <f>DefaultValues!$B$2</f>
        <v>1440</v>
      </c>
      <c r="L40" s="1">
        <f>DefaultValues!$C$2</f>
        <v>1999</v>
      </c>
      <c r="M40" s="1" t="str">
        <f>DefaultValues!$D$2</f>
        <v xml:space="preserve">- Detour not possible - </v>
      </c>
      <c r="N40" s="1">
        <f>1000 - 4.958</f>
        <v>995.04200000000003</v>
      </c>
      <c r="O40" s="1">
        <f>ABS(Table4[[#This Row],[EndMP]]-Table4[[#This Row],[StartMP]])</f>
        <v>3.1580000000000004</v>
      </c>
      <c r="P40" s="1" t="str">
        <f>IF( AND( Table4[[#This Row],[Route]]=ClosureLocation!$B$3, ClosureLocation!$B$6 &gt;= Table4[[#This Row],[StartMP]], ClosureLocation!$B$6 &lt;= Table4[[#This Row],[EndMP]]), "Yes", "")</f>
        <v/>
      </c>
      <c r="Q40" s="1" t="str">
        <f>IF( AND( Table4[[#This Row],[Route]]=ClosureLocation!$B$3, ClosureLocation!$B$6 &lt;= Table4[[#This Row],[StartMP]], ClosureLocation!$B$6 &gt;= Table4[[#This Row],[EndMP]]), "Yes", "")</f>
        <v/>
      </c>
      <c r="R40" s="1" t="str">
        <f>IF( OR( Table4[[#This Row],[PrimaryMatch]]="Yes", Table4[[#This Row],[SecondaryMatch]]="Yes"), "Yes", "")</f>
        <v/>
      </c>
    </row>
    <row r="41" spans="1:18" hidden="1" x14ac:dyDescent="0.25">
      <c r="A41" t="s">
        <v>590</v>
      </c>
      <c r="B41" t="s">
        <v>3209</v>
      </c>
      <c r="C41" t="s">
        <v>3222</v>
      </c>
      <c r="D41" t="s">
        <v>4829</v>
      </c>
      <c r="E41" s="1">
        <v>1.8</v>
      </c>
      <c r="F41" s="1">
        <v>0</v>
      </c>
      <c r="K41" s="39">
        <f>DefaultValues!$B$2</f>
        <v>1440</v>
      </c>
      <c r="L41" s="1">
        <f>DefaultValues!$C$2</f>
        <v>1999</v>
      </c>
      <c r="M41" s="1" t="str">
        <f>DefaultValues!$D$2</f>
        <v xml:space="preserve">- Detour not possible - </v>
      </c>
      <c r="N41" s="1">
        <f>1000 - 1.8</f>
        <v>998.2</v>
      </c>
      <c r="O41" s="1">
        <f>ABS(Table4[[#This Row],[EndMP]]-Table4[[#This Row],[StartMP]])</f>
        <v>1.8</v>
      </c>
      <c r="P41" s="1" t="str">
        <f>IF( AND( Table4[[#This Row],[Route]]=ClosureLocation!$B$3, ClosureLocation!$B$6 &gt;= Table4[[#This Row],[StartMP]], ClosureLocation!$B$6 &lt;= Table4[[#This Row],[EndMP]]), "Yes", "")</f>
        <v/>
      </c>
      <c r="Q41" s="1" t="str">
        <f>IF( AND( Table4[[#This Row],[Route]]=ClosureLocation!$B$3, ClosureLocation!$B$6 &lt;= Table4[[#This Row],[StartMP]], ClosureLocation!$B$6 &gt;= Table4[[#This Row],[EndMP]]), "Yes", "")</f>
        <v/>
      </c>
      <c r="R41" s="1" t="str">
        <f>IF( OR( Table4[[#This Row],[PrimaryMatch]]="Yes", Table4[[#This Row],[SecondaryMatch]]="Yes"), "Yes", "")</f>
        <v/>
      </c>
    </row>
    <row r="42" spans="1:18" hidden="1" x14ac:dyDescent="0.25">
      <c r="A42" t="s">
        <v>596</v>
      </c>
      <c r="B42" t="s">
        <v>3205</v>
      </c>
      <c r="C42" t="s">
        <v>3222</v>
      </c>
      <c r="D42" t="s">
        <v>4831</v>
      </c>
      <c r="E42" s="1">
        <v>0</v>
      </c>
      <c r="F42" s="1">
        <v>6.61</v>
      </c>
      <c r="K42" s="39">
        <f>DefaultValues!$B$2</f>
        <v>1440</v>
      </c>
      <c r="L42" s="1">
        <f>DefaultValues!$C$2</f>
        <v>1999</v>
      </c>
      <c r="M42" s="1" t="str">
        <f>DefaultValues!$D$2</f>
        <v xml:space="preserve">- Detour not possible - </v>
      </c>
      <c r="N42" s="1">
        <v>0</v>
      </c>
      <c r="O42" s="1">
        <f>ABS(Table4[[#This Row],[EndMP]]-Table4[[#This Row],[StartMP]])</f>
        <v>6.61</v>
      </c>
      <c r="P42" s="1" t="str">
        <f>IF( AND( Table4[[#This Row],[Route]]=ClosureLocation!$B$3, ClosureLocation!$B$6 &gt;= Table4[[#This Row],[StartMP]], ClosureLocation!$B$6 &lt;= Table4[[#This Row],[EndMP]]), "Yes", "")</f>
        <v/>
      </c>
      <c r="Q42" s="1" t="str">
        <f>IF( AND( Table4[[#This Row],[Route]]=ClosureLocation!$B$3, ClosureLocation!$B$6 &lt;= Table4[[#This Row],[StartMP]], ClosureLocation!$B$6 &gt;= Table4[[#This Row],[EndMP]]), "Yes", "")</f>
        <v/>
      </c>
      <c r="R42" s="1" t="str">
        <f>IF( OR( Table4[[#This Row],[PrimaryMatch]]="Yes", Table4[[#This Row],[SecondaryMatch]]="Yes"), "Yes", "")</f>
        <v/>
      </c>
    </row>
    <row r="43" spans="1:18" hidden="1" x14ac:dyDescent="0.25">
      <c r="A43" t="s">
        <v>596</v>
      </c>
      <c r="B43" t="s">
        <v>3209</v>
      </c>
      <c r="C43" t="s">
        <v>3226</v>
      </c>
      <c r="D43" t="s">
        <v>4832</v>
      </c>
      <c r="E43" s="1">
        <v>6.61</v>
      </c>
      <c r="F43" s="1">
        <v>0</v>
      </c>
      <c r="K43" s="39">
        <f>DefaultValues!$B$2</f>
        <v>1440</v>
      </c>
      <c r="L43" s="1">
        <f>DefaultValues!$C$2</f>
        <v>1999</v>
      </c>
      <c r="M43" s="1" t="str">
        <f>DefaultValues!$D$2</f>
        <v xml:space="preserve">- Detour not possible - </v>
      </c>
      <c r="N43" s="1">
        <f>1000 - 6.61</f>
        <v>993.39</v>
      </c>
      <c r="O43" s="1">
        <f>ABS(Table4[[#This Row],[EndMP]]-Table4[[#This Row],[StartMP]])</f>
        <v>6.61</v>
      </c>
      <c r="P43" s="1" t="str">
        <f>IF( AND( Table4[[#This Row],[Route]]=ClosureLocation!$B$3, ClosureLocation!$B$6 &gt;= Table4[[#This Row],[StartMP]], ClosureLocation!$B$6 &lt;= Table4[[#This Row],[EndMP]]), "Yes", "")</f>
        <v/>
      </c>
      <c r="Q43" s="1" t="str">
        <f>IF( AND( Table4[[#This Row],[Route]]=ClosureLocation!$B$3, ClosureLocation!$B$6 &lt;= Table4[[#This Row],[StartMP]], ClosureLocation!$B$6 &gt;= Table4[[#This Row],[EndMP]]), "Yes", "")</f>
        <v/>
      </c>
      <c r="R43" s="1" t="str">
        <f>IF( OR( Table4[[#This Row],[PrimaryMatch]]="Yes", Table4[[#This Row],[SecondaryMatch]]="Yes"), "Yes", "")</f>
        <v/>
      </c>
    </row>
    <row r="44" spans="1:18" hidden="1" x14ac:dyDescent="0.25">
      <c r="A44" t="s">
        <v>700</v>
      </c>
      <c r="B44" t="s">
        <v>3205</v>
      </c>
      <c r="C44" t="s">
        <v>3210</v>
      </c>
      <c r="D44" t="s">
        <v>3671</v>
      </c>
      <c r="E44" s="1">
        <v>2.4169999999999998</v>
      </c>
      <c r="F44" s="1">
        <v>5.6589999999999998</v>
      </c>
      <c r="K44" s="39">
        <f>DefaultValues!$B$2</f>
        <v>1440</v>
      </c>
      <c r="L44" s="1">
        <f>DefaultValues!$C$2</f>
        <v>1999</v>
      </c>
      <c r="M44" s="1" t="str">
        <f>DefaultValues!$D$2</f>
        <v xml:space="preserve">- Detour not possible - </v>
      </c>
      <c r="N44" s="1">
        <v>2.4169999999999998</v>
      </c>
      <c r="O44" s="1">
        <f>ABS(Table4[[#This Row],[EndMP]]-Table4[[#This Row],[StartMP]])</f>
        <v>3.242</v>
      </c>
      <c r="P44" s="1" t="str">
        <f>IF( AND( Table4[[#This Row],[Route]]=ClosureLocation!$B$3, ClosureLocation!$B$6 &gt;= Table4[[#This Row],[StartMP]], ClosureLocation!$B$6 &lt;= Table4[[#This Row],[EndMP]]), "Yes", "")</f>
        <v/>
      </c>
      <c r="Q44" s="1" t="str">
        <f>IF( AND( Table4[[#This Row],[Route]]=ClosureLocation!$B$3, ClosureLocation!$B$6 &lt;= Table4[[#This Row],[StartMP]], ClosureLocation!$B$6 &gt;= Table4[[#This Row],[EndMP]]), "Yes", "")</f>
        <v/>
      </c>
      <c r="R44" s="1" t="str">
        <f>IF( OR( Table4[[#This Row],[PrimaryMatch]]="Yes", Table4[[#This Row],[SecondaryMatch]]="Yes"), "Yes", "")</f>
        <v/>
      </c>
    </row>
    <row r="45" spans="1:18" hidden="1" x14ac:dyDescent="0.25">
      <c r="A45" t="s">
        <v>700</v>
      </c>
      <c r="B45" t="s">
        <v>3209</v>
      </c>
      <c r="C45" t="s">
        <v>3206</v>
      </c>
      <c r="D45" t="s">
        <v>3669</v>
      </c>
      <c r="E45" s="1">
        <v>5.6589999999999998</v>
      </c>
      <c r="F45" s="1">
        <v>2.4169999999999998</v>
      </c>
      <c r="K45" s="39">
        <f>DefaultValues!$B$2</f>
        <v>1440</v>
      </c>
      <c r="L45" s="1">
        <f>DefaultValues!$C$2</f>
        <v>1999</v>
      </c>
      <c r="M45" s="1" t="str">
        <f>DefaultValues!$D$2</f>
        <v xml:space="preserve">- Detour not possible - </v>
      </c>
      <c r="N45" s="1">
        <f>1000 - 5.659</f>
        <v>994.34100000000001</v>
      </c>
      <c r="O45" s="1">
        <f>ABS(Table4[[#This Row],[EndMP]]-Table4[[#This Row],[StartMP]])</f>
        <v>3.242</v>
      </c>
      <c r="P45" s="1" t="str">
        <f>IF( AND( Table4[[#This Row],[Route]]=ClosureLocation!$B$3, ClosureLocation!$B$6 &gt;= Table4[[#This Row],[StartMP]], ClosureLocation!$B$6 &lt;= Table4[[#This Row],[EndMP]]), "Yes", "")</f>
        <v/>
      </c>
      <c r="Q45" s="1" t="str">
        <f>IF( AND( Table4[[#This Row],[Route]]=ClosureLocation!$B$3, ClosureLocation!$B$6 &lt;= Table4[[#This Row],[StartMP]], ClosureLocation!$B$6 &gt;= Table4[[#This Row],[EndMP]]), "Yes", "")</f>
        <v/>
      </c>
      <c r="R45" s="1" t="str">
        <f>IF( OR( Table4[[#This Row],[PrimaryMatch]]="Yes", Table4[[#This Row],[SecondaryMatch]]="Yes"), "Yes", "")</f>
        <v/>
      </c>
    </row>
    <row r="46" spans="1:18" hidden="1" x14ac:dyDescent="0.25">
      <c r="A46" t="s">
        <v>756</v>
      </c>
      <c r="B46" t="s">
        <v>3205</v>
      </c>
      <c r="C46" t="s">
        <v>3206</v>
      </c>
      <c r="D46" t="s">
        <v>4833</v>
      </c>
      <c r="E46" s="1">
        <v>45.866999999999997</v>
      </c>
      <c r="F46" s="1">
        <v>50.73</v>
      </c>
      <c r="K46" s="39">
        <f>DefaultValues!$B$2</f>
        <v>1440</v>
      </c>
      <c r="L46" s="1">
        <f>DefaultValues!$C$2</f>
        <v>1999</v>
      </c>
      <c r="M46" s="1" t="str">
        <f>DefaultValues!$D$2</f>
        <v xml:space="preserve">- Detour not possible - </v>
      </c>
      <c r="N46" s="1">
        <v>45.866999999999997</v>
      </c>
      <c r="O46" s="1">
        <f>ABS(Table4[[#This Row],[EndMP]]-Table4[[#This Row],[StartMP]])</f>
        <v>4.8629999999999995</v>
      </c>
      <c r="P46" s="1" t="str">
        <f>IF( AND( Table4[[#This Row],[Route]]=ClosureLocation!$B$3, ClosureLocation!$B$6 &gt;= Table4[[#This Row],[StartMP]], ClosureLocation!$B$6 &lt;= Table4[[#This Row],[EndMP]]), "Yes", "")</f>
        <v/>
      </c>
      <c r="Q46" s="1" t="str">
        <f>IF( AND( Table4[[#This Row],[Route]]=ClosureLocation!$B$3, ClosureLocation!$B$6 &lt;= Table4[[#This Row],[StartMP]], ClosureLocation!$B$6 &gt;= Table4[[#This Row],[EndMP]]), "Yes", "")</f>
        <v/>
      </c>
      <c r="R46" s="1" t="str">
        <f>IF( OR( Table4[[#This Row],[PrimaryMatch]]="Yes", Table4[[#This Row],[SecondaryMatch]]="Yes"), "Yes", "")</f>
        <v/>
      </c>
    </row>
    <row r="47" spans="1:18" hidden="1" x14ac:dyDescent="0.25">
      <c r="A47" t="s">
        <v>756</v>
      </c>
      <c r="B47" t="s">
        <v>3209</v>
      </c>
      <c r="C47" t="s">
        <v>3210</v>
      </c>
      <c r="D47" t="s">
        <v>4834</v>
      </c>
      <c r="E47" s="1">
        <v>50.73</v>
      </c>
      <c r="F47" s="1">
        <v>45.866999999999997</v>
      </c>
      <c r="K47" s="39">
        <f>DefaultValues!$B$2</f>
        <v>1440</v>
      </c>
      <c r="L47" s="1">
        <f>DefaultValues!$C$2</f>
        <v>1999</v>
      </c>
      <c r="M47" s="1" t="str">
        <f>DefaultValues!$D$2</f>
        <v xml:space="preserve">- Detour not possible - </v>
      </c>
      <c r="N47" s="1">
        <f>1000 - 50.73</f>
        <v>949.27</v>
      </c>
      <c r="O47" s="1">
        <f>ABS(Table4[[#This Row],[EndMP]]-Table4[[#This Row],[StartMP]])</f>
        <v>4.8629999999999995</v>
      </c>
      <c r="P47" s="1" t="str">
        <f>IF( AND( Table4[[#This Row],[Route]]=ClosureLocation!$B$3, ClosureLocation!$B$6 &gt;= Table4[[#This Row],[StartMP]], ClosureLocation!$B$6 &lt;= Table4[[#This Row],[EndMP]]), "Yes", "")</f>
        <v/>
      </c>
      <c r="Q47" s="1" t="str">
        <f>IF( AND( Table4[[#This Row],[Route]]=ClosureLocation!$B$3, ClosureLocation!$B$6 &lt;= Table4[[#This Row],[StartMP]], ClosureLocation!$B$6 &gt;= Table4[[#This Row],[EndMP]]), "Yes", "")</f>
        <v/>
      </c>
      <c r="R47" s="1" t="str">
        <f>IF( OR( Table4[[#This Row],[PrimaryMatch]]="Yes", Table4[[#This Row],[SecondaryMatch]]="Yes"), "Yes", "")</f>
        <v/>
      </c>
    </row>
    <row r="48" spans="1:18" hidden="1" x14ac:dyDescent="0.25">
      <c r="A48" t="s">
        <v>760</v>
      </c>
      <c r="B48" t="s">
        <v>3205</v>
      </c>
      <c r="C48" t="s">
        <v>3206</v>
      </c>
      <c r="D48" t="s">
        <v>4660</v>
      </c>
      <c r="E48" s="1">
        <v>76.92</v>
      </c>
      <c r="F48" s="1">
        <v>100.036</v>
      </c>
      <c r="K48" s="39">
        <f>DefaultValues!$B$2</f>
        <v>1440</v>
      </c>
      <c r="L48" s="1">
        <f>DefaultValues!$C$2</f>
        <v>1999</v>
      </c>
      <c r="M48" s="1" t="str">
        <f>DefaultValues!$D$2</f>
        <v xml:space="preserve">- Detour not possible - </v>
      </c>
      <c r="N48" s="1">
        <v>76.92</v>
      </c>
      <c r="O48" s="1">
        <f>ABS(Table4[[#This Row],[EndMP]]-Table4[[#This Row],[StartMP]])</f>
        <v>23.116</v>
      </c>
      <c r="P48" s="1" t="str">
        <f>IF( AND( Table4[[#This Row],[Route]]=ClosureLocation!$B$3, ClosureLocation!$B$6 &gt;= Table4[[#This Row],[StartMP]], ClosureLocation!$B$6 &lt;= Table4[[#This Row],[EndMP]]), "Yes", "")</f>
        <v/>
      </c>
      <c r="Q48" s="1" t="str">
        <f>IF( AND( Table4[[#This Row],[Route]]=ClosureLocation!$B$3, ClosureLocation!$B$6 &lt;= Table4[[#This Row],[StartMP]], ClosureLocation!$B$6 &gt;= Table4[[#This Row],[EndMP]]), "Yes", "")</f>
        <v/>
      </c>
      <c r="R48" s="1" t="str">
        <f>IF( OR( Table4[[#This Row],[PrimaryMatch]]="Yes", Table4[[#This Row],[SecondaryMatch]]="Yes"), "Yes", "")</f>
        <v/>
      </c>
    </row>
    <row r="49" spans="1:18" hidden="1" x14ac:dyDescent="0.25">
      <c r="A49" t="s">
        <v>760</v>
      </c>
      <c r="B49" t="s">
        <v>3209</v>
      </c>
      <c r="C49" t="s">
        <v>3210</v>
      </c>
      <c r="D49" t="s">
        <v>4661</v>
      </c>
      <c r="E49" s="1">
        <v>100.036</v>
      </c>
      <c r="F49" s="1">
        <v>76.92</v>
      </c>
      <c r="K49" s="39">
        <f>DefaultValues!$B$2</f>
        <v>1440</v>
      </c>
      <c r="L49" s="1">
        <f>DefaultValues!$C$2</f>
        <v>1999</v>
      </c>
      <c r="M49" s="1" t="str">
        <f>DefaultValues!$D$2</f>
        <v xml:space="preserve">- Detour not possible - </v>
      </c>
      <c r="N49" s="1">
        <f>1000 - 100.036</f>
        <v>899.96399999999994</v>
      </c>
      <c r="O49" s="1">
        <f>ABS(Table4[[#This Row],[EndMP]]-Table4[[#This Row],[StartMP]])</f>
        <v>23.116</v>
      </c>
      <c r="P49" s="1" t="str">
        <f>IF( AND( Table4[[#This Row],[Route]]=ClosureLocation!$B$3, ClosureLocation!$B$6 &gt;= Table4[[#This Row],[StartMP]], ClosureLocation!$B$6 &lt;= Table4[[#This Row],[EndMP]]), "Yes", "")</f>
        <v/>
      </c>
      <c r="Q49" s="1" t="str">
        <f>IF( AND( Table4[[#This Row],[Route]]=ClosureLocation!$B$3, ClosureLocation!$B$6 &lt;= Table4[[#This Row],[StartMP]], ClosureLocation!$B$6 &gt;= Table4[[#This Row],[EndMP]]), "Yes", "")</f>
        <v/>
      </c>
      <c r="R49" s="1" t="str">
        <f>IF( OR( Table4[[#This Row],[PrimaryMatch]]="Yes", Table4[[#This Row],[SecondaryMatch]]="Yes"), "Yes", "")</f>
        <v/>
      </c>
    </row>
    <row r="50" spans="1:18" hidden="1" x14ac:dyDescent="0.25">
      <c r="A50" t="s">
        <v>764</v>
      </c>
      <c r="B50" t="s">
        <v>3205</v>
      </c>
      <c r="C50" t="s">
        <v>3206</v>
      </c>
      <c r="D50" t="s">
        <v>4662</v>
      </c>
      <c r="E50" s="1">
        <v>117.349</v>
      </c>
      <c r="F50" s="1">
        <v>126.738</v>
      </c>
      <c r="K50" s="39">
        <f>DefaultValues!$B$2</f>
        <v>1440</v>
      </c>
      <c r="L50" s="1">
        <f>DefaultValues!$C$2</f>
        <v>1999</v>
      </c>
      <c r="M50" s="1" t="str">
        <f>DefaultValues!$D$2</f>
        <v xml:space="preserve">- Detour not possible - </v>
      </c>
      <c r="N50" s="1">
        <v>117.349</v>
      </c>
      <c r="O50" s="1">
        <f>ABS(Table4[[#This Row],[EndMP]]-Table4[[#This Row],[StartMP]])</f>
        <v>9.3889999999999958</v>
      </c>
      <c r="P50" s="1" t="str">
        <f>IF( AND( Table4[[#This Row],[Route]]=ClosureLocation!$B$3, ClosureLocation!$B$6 &gt;= Table4[[#This Row],[StartMP]], ClosureLocation!$B$6 &lt;= Table4[[#This Row],[EndMP]]), "Yes", "")</f>
        <v/>
      </c>
      <c r="Q50" s="1" t="str">
        <f>IF( AND( Table4[[#This Row],[Route]]=ClosureLocation!$B$3, ClosureLocation!$B$6 &lt;= Table4[[#This Row],[StartMP]], ClosureLocation!$B$6 &gt;= Table4[[#This Row],[EndMP]]), "Yes", "")</f>
        <v/>
      </c>
      <c r="R50" s="1" t="str">
        <f>IF( OR( Table4[[#This Row],[PrimaryMatch]]="Yes", Table4[[#This Row],[SecondaryMatch]]="Yes"), "Yes", "")</f>
        <v/>
      </c>
    </row>
    <row r="51" spans="1:18" hidden="1" x14ac:dyDescent="0.25">
      <c r="A51" t="s">
        <v>764</v>
      </c>
      <c r="B51" t="s">
        <v>3205</v>
      </c>
      <c r="C51" t="s">
        <v>3206</v>
      </c>
      <c r="D51" t="s">
        <v>4662</v>
      </c>
      <c r="E51" s="1">
        <v>126.738</v>
      </c>
      <c r="F51" s="1">
        <v>127.449</v>
      </c>
      <c r="K51" s="39">
        <f>DefaultValues!$B$2</f>
        <v>1440</v>
      </c>
      <c r="L51" s="1">
        <f>DefaultValues!$C$2</f>
        <v>1999</v>
      </c>
      <c r="M51" s="1" t="str">
        <f>DefaultValues!$D$2</f>
        <v xml:space="preserve">- Detour not possible - </v>
      </c>
      <c r="N51" s="1">
        <v>126.738</v>
      </c>
      <c r="O51" s="1">
        <f>ABS(Table4[[#This Row],[EndMP]]-Table4[[#This Row],[StartMP]])</f>
        <v>0.71099999999999852</v>
      </c>
      <c r="P51" s="1" t="str">
        <f>IF( AND( Table4[[#This Row],[Route]]=ClosureLocation!$B$3, ClosureLocation!$B$6 &gt;= Table4[[#This Row],[StartMP]], ClosureLocation!$B$6 &lt;= Table4[[#This Row],[EndMP]]), "Yes", "")</f>
        <v/>
      </c>
      <c r="Q51" s="1" t="str">
        <f>IF( AND( Table4[[#This Row],[Route]]=ClosureLocation!$B$3, ClosureLocation!$B$6 &lt;= Table4[[#This Row],[StartMP]], ClosureLocation!$B$6 &gt;= Table4[[#This Row],[EndMP]]), "Yes", "")</f>
        <v/>
      </c>
      <c r="R51" s="1" t="str">
        <f>IF( OR( Table4[[#This Row],[PrimaryMatch]]="Yes", Table4[[#This Row],[SecondaryMatch]]="Yes"), "Yes", "")</f>
        <v/>
      </c>
    </row>
    <row r="52" spans="1:18" hidden="1" x14ac:dyDescent="0.25">
      <c r="A52" t="s">
        <v>764</v>
      </c>
      <c r="B52" t="s">
        <v>3209</v>
      </c>
      <c r="C52" t="s">
        <v>3210</v>
      </c>
      <c r="D52" t="s">
        <v>4663</v>
      </c>
      <c r="E52" s="1">
        <v>127.449</v>
      </c>
      <c r="F52" s="1">
        <v>126.738</v>
      </c>
      <c r="K52" s="39">
        <f>DefaultValues!$B$2</f>
        <v>1440</v>
      </c>
      <c r="L52" s="1">
        <f>DefaultValues!$C$2</f>
        <v>1999</v>
      </c>
      <c r="M52" s="1" t="str">
        <f>DefaultValues!$D$2</f>
        <v xml:space="preserve">- Detour not possible - </v>
      </c>
      <c r="N52" s="1">
        <f>1000 - 127.449</f>
        <v>872.55100000000004</v>
      </c>
      <c r="O52" s="1">
        <f>ABS(Table4[[#This Row],[EndMP]]-Table4[[#This Row],[StartMP]])</f>
        <v>0.71099999999999852</v>
      </c>
      <c r="P52" s="1" t="str">
        <f>IF( AND( Table4[[#This Row],[Route]]=ClosureLocation!$B$3, ClosureLocation!$B$6 &gt;= Table4[[#This Row],[StartMP]], ClosureLocation!$B$6 &lt;= Table4[[#This Row],[EndMP]]), "Yes", "")</f>
        <v/>
      </c>
      <c r="Q52" s="1" t="str">
        <f>IF( AND( Table4[[#This Row],[Route]]=ClosureLocation!$B$3, ClosureLocation!$B$6 &lt;= Table4[[#This Row],[StartMP]], ClosureLocation!$B$6 &gt;= Table4[[#This Row],[EndMP]]), "Yes", "")</f>
        <v/>
      </c>
      <c r="R52" s="1" t="str">
        <f>IF( OR( Table4[[#This Row],[PrimaryMatch]]="Yes", Table4[[#This Row],[SecondaryMatch]]="Yes"), "Yes", "")</f>
        <v/>
      </c>
    </row>
    <row r="53" spans="1:18" hidden="1" x14ac:dyDescent="0.25">
      <c r="A53" t="s">
        <v>764</v>
      </c>
      <c r="B53" t="s">
        <v>3209</v>
      </c>
      <c r="C53" t="s">
        <v>3210</v>
      </c>
      <c r="D53" t="s">
        <v>4663</v>
      </c>
      <c r="E53" s="1">
        <v>126.738</v>
      </c>
      <c r="F53" s="1">
        <v>117.349</v>
      </c>
      <c r="K53" s="39">
        <f>DefaultValues!$B$2</f>
        <v>1440</v>
      </c>
      <c r="L53" s="1">
        <f>DefaultValues!$C$2</f>
        <v>1999</v>
      </c>
      <c r="M53" s="1" t="str">
        <f>DefaultValues!$D$2</f>
        <v xml:space="preserve">- Detour not possible - </v>
      </c>
      <c r="N53" s="1">
        <f>1000 - 126.738</f>
        <v>873.26199999999994</v>
      </c>
      <c r="O53" s="1">
        <f>ABS(Table4[[#This Row],[EndMP]]-Table4[[#This Row],[StartMP]])</f>
        <v>9.3889999999999958</v>
      </c>
      <c r="P53" s="1" t="str">
        <f>IF( AND( Table4[[#This Row],[Route]]=ClosureLocation!$B$3, ClosureLocation!$B$6 &gt;= Table4[[#This Row],[StartMP]], ClosureLocation!$B$6 &lt;= Table4[[#This Row],[EndMP]]), "Yes", "")</f>
        <v/>
      </c>
      <c r="Q53" s="1" t="str">
        <f>IF( AND( Table4[[#This Row],[Route]]=ClosureLocation!$B$3, ClosureLocation!$B$6 &lt;= Table4[[#This Row],[StartMP]], ClosureLocation!$B$6 &gt;= Table4[[#This Row],[EndMP]]), "Yes", "")</f>
        <v/>
      </c>
      <c r="R53" s="1" t="str">
        <f>IF( OR( Table4[[#This Row],[PrimaryMatch]]="Yes", Table4[[#This Row],[SecondaryMatch]]="Yes"), "Yes", "")</f>
        <v/>
      </c>
    </row>
    <row r="54" spans="1:18" hidden="1" x14ac:dyDescent="0.25">
      <c r="A54" t="s">
        <v>769</v>
      </c>
      <c r="B54" t="s">
        <v>3205</v>
      </c>
      <c r="C54" t="s">
        <v>3206</v>
      </c>
      <c r="D54" t="s">
        <v>4835</v>
      </c>
      <c r="E54" s="1">
        <v>52.304000000000002</v>
      </c>
      <c r="F54" s="1">
        <v>69.652000000000001</v>
      </c>
      <c r="K54" s="39">
        <f>DefaultValues!$B$2</f>
        <v>1440</v>
      </c>
      <c r="L54" s="1">
        <f>DefaultValues!$C$2</f>
        <v>1999</v>
      </c>
      <c r="M54" s="1" t="str">
        <f>DefaultValues!$D$2</f>
        <v xml:space="preserve">- Detour not possible - </v>
      </c>
      <c r="N54" s="1">
        <v>52.304000000000002</v>
      </c>
      <c r="O54" s="1">
        <f>ABS(Table4[[#This Row],[EndMP]]-Table4[[#This Row],[StartMP]])</f>
        <v>17.347999999999999</v>
      </c>
      <c r="P54" s="1" t="str">
        <f>IF( AND( Table4[[#This Row],[Route]]=ClosureLocation!$B$3, ClosureLocation!$B$6 &gt;= Table4[[#This Row],[StartMP]], ClosureLocation!$B$6 &lt;= Table4[[#This Row],[EndMP]]), "Yes", "")</f>
        <v/>
      </c>
      <c r="Q54" s="1" t="str">
        <f>IF( AND( Table4[[#This Row],[Route]]=ClosureLocation!$B$3, ClosureLocation!$B$6 &lt;= Table4[[#This Row],[StartMP]], ClosureLocation!$B$6 &gt;= Table4[[#This Row],[EndMP]]), "Yes", "")</f>
        <v/>
      </c>
      <c r="R54" s="1" t="str">
        <f>IF( OR( Table4[[#This Row],[PrimaryMatch]]="Yes", Table4[[#This Row],[SecondaryMatch]]="Yes"), "Yes", "")</f>
        <v/>
      </c>
    </row>
    <row r="55" spans="1:18" hidden="1" x14ac:dyDescent="0.25">
      <c r="A55" t="s">
        <v>769</v>
      </c>
      <c r="B55" t="s">
        <v>3209</v>
      </c>
      <c r="C55" t="s">
        <v>3210</v>
      </c>
      <c r="D55" t="s">
        <v>4836</v>
      </c>
      <c r="E55" s="1">
        <v>69.652000000000001</v>
      </c>
      <c r="F55" s="1">
        <v>52.304000000000002</v>
      </c>
      <c r="K55" s="39">
        <f>DefaultValues!$B$2</f>
        <v>1440</v>
      </c>
      <c r="L55" s="1">
        <f>DefaultValues!$C$2</f>
        <v>1999</v>
      </c>
      <c r="M55" s="1" t="str">
        <f>DefaultValues!$D$2</f>
        <v xml:space="preserve">- Detour not possible - </v>
      </c>
      <c r="N55" s="1">
        <f>1000 - 69.652</f>
        <v>930.34799999999996</v>
      </c>
      <c r="O55" s="1">
        <f>ABS(Table4[[#This Row],[EndMP]]-Table4[[#This Row],[StartMP]])</f>
        <v>17.347999999999999</v>
      </c>
      <c r="P55" s="1" t="str">
        <f>IF( AND( Table4[[#This Row],[Route]]=ClosureLocation!$B$3, ClosureLocation!$B$6 &gt;= Table4[[#This Row],[StartMP]], ClosureLocation!$B$6 &lt;= Table4[[#This Row],[EndMP]]), "Yes", "")</f>
        <v/>
      </c>
      <c r="Q55" s="1" t="str">
        <f>IF( AND( Table4[[#This Row],[Route]]=ClosureLocation!$B$3, ClosureLocation!$B$6 &lt;= Table4[[#This Row],[StartMP]], ClosureLocation!$B$6 &gt;= Table4[[#This Row],[EndMP]]), "Yes", "")</f>
        <v/>
      </c>
      <c r="R55" s="1" t="str">
        <f>IF( OR( Table4[[#This Row],[PrimaryMatch]]="Yes", Table4[[#This Row],[SecondaryMatch]]="Yes"), "Yes", "")</f>
        <v/>
      </c>
    </row>
    <row r="56" spans="1:18" hidden="1" x14ac:dyDescent="0.25">
      <c r="A56" t="s">
        <v>855</v>
      </c>
      <c r="B56" t="s">
        <v>3205</v>
      </c>
      <c r="C56" t="s">
        <v>3222</v>
      </c>
      <c r="D56" t="s">
        <v>4664</v>
      </c>
      <c r="E56" s="1">
        <v>0</v>
      </c>
      <c r="F56" s="1">
        <v>0.21199999999999999</v>
      </c>
      <c r="K56" s="39">
        <f>DefaultValues!$B$2</f>
        <v>1440</v>
      </c>
      <c r="L56" s="1">
        <f>DefaultValues!$C$2</f>
        <v>1999</v>
      </c>
      <c r="M56" s="1" t="str">
        <f>DefaultValues!$D$2</f>
        <v xml:space="preserve">- Detour not possible - </v>
      </c>
      <c r="N56" s="1">
        <v>0</v>
      </c>
      <c r="O56" s="1">
        <f>ABS(Table4[[#This Row],[EndMP]]-Table4[[#This Row],[StartMP]])</f>
        <v>0.21199999999999999</v>
      </c>
      <c r="P56" s="1" t="str">
        <f>IF( AND( Table4[[#This Row],[Route]]=ClosureLocation!$B$3, ClosureLocation!$B$6 &gt;= Table4[[#This Row],[StartMP]], ClosureLocation!$B$6 &lt;= Table4[[#This Row],[EndMP]]), "Yes", "")</f>
        <v/>
      </c>
      <c r="Q56" s="1" t="str">
        <f>IF( AND( Table4[[#This Row],[Route]]=ClosureLocation!$B$3, ClosureLocation!$B$6 &lt;= Table4[[#This Row],[StartMP]], ClosureLocation!$B$6 &gt;= Table4[[#This Row],[EndMP]]), "Yes", "")</f>
        <v/>
      </c>
      <c r="R56" s="1" t="str">
        <f>IF( OR( Table4[[#This Row],[PrimaryMatch]]="Yes", Table4[[#This Row],[SecondaryMatch]]="Yes"), "Yes", "")</f>
        <v/>
      </c>
    </row>
    <row r="57" spans="1:18" hidden="1" x14ac:dyDescent="0.25">
      <c r="A57" t="s">
        <v>855</v>
      </c>
      <c r="B57" t="s">
        <v>3209</v>
      </c>
      <c r="C57" t="s">
        <v>3226</v>
      </c>
      <c r="D57" t="s">
        <v>4665</v>
      </c>
      <c r="E57" s="1">
        <v>0.21199999999999999</v>
      </c>
      <c r="F57" s="1">
        <v>0</v>
      </c>
      <c r="K57" s="39">
        <f>DefaultValues!$B$2</f>
        <v>1440</v>
      </c>
      <c r="L57" s="1">
        <f>DefaultValues!$C$2</f>
        <v>1999</v>
      </c>
      <c r="M57" s="1" t="str">
        <f>DefaultValues!$D$2</f>
        <v xml:space="preserve">- Detour not possible - </v>
      </c>
      <c r="N57" s="1">
        <f>1000 - 0.212</f>
        <v>999.78800000000001</v>
      </c>
      <c r="O57" s="1">
        <f>ABS(Table4[[#This Row],[EndMP]]-Table4[[#This Row],[StartMP]])</f>
        <v>0.21199999999999999</v>
      </c>
      <c r="P57" s="1" t="str">
        <f>IF( AND( Table4[[#This Row],[Route]]=ClosureLocation!$B$3, ClosureLocation!$B$6 &gt;= Table4[[#This Row],[StartMP]], ClosureLocation!$B$6 &lt;= Table4[[#This Row],[EndMP]]), "Yes", "")</f>
        <v/>
      </c>
      <c r="Q57" s="1" t="str">
        <f>IF( AND( Table4[[#This Row],[Route]]=ClosureLocation!$B$3, ClosureLocation!$B$6 &lt;= Table4[[#This Row],[StartMP]], ClosureLocation!$B$6 &gt;= Table4[[#This Row],[EndMP]]), "Yes", "")</f>
        <v/>
      </c>
      <c r="R57" s="1" t="str">
        <f>IF( OR( Table4[[#This Row],[PrimaryMatch]]="Yes", Table4[[#This Row],[SecondaryMatch]]="Yes"), "Yes", "")</f>
        <v/>
      </c>
    </row>
    <row r="58" spans="1:18" hidden="1" x14ac:dyDescent="0.25">
      <c r="A58" t="s">
        <v>864</v>
      </c>
      <c r="B58" t="s">
        <v>3205</v>
      </c>
      <c r="C58" t="s">
        <v>3222</v>
      </c>
      <c r="D58" t="s">
        <v>3781</v>
      </c>
      <c r="E58" s="1">
        <v>0</v>
      </c>
      <c r="F58" s="1">
        <v>0.39600000000000002</v>
      </c>
      <c r="K58" s="39">
        <f>DefaultValues!$B$2</f>
        <v>1440</v>
      </c>
      <c r="L58" s="1">
        <f>DefaultValues!$C$2</f>
        <v>1999</v>
      </c>
      <c r="M58" s="1" t="str">
        <f>DefaultValues!$D$2</f>
        <v xml:space="preserve">- Detour not possible - </v>
      </c>
      <c r="N58" s="1">
        <v>0</v>
      </c>
      <c r="O58" s="1">
        <f>ABS(Table4[[#This Row],[EndMP]]-Table4[[#This Row],[StartMP]])</f>
        <v>0.39600000000000002</v>
      </c>
      <c r="P58" s="1" t="str">
        <f>IF( AND( Table4[[#This Row],[Route]]=ClosureLocation!$B$3, ClosureLocation!$B$6 &gt;= Table4[[#This Row],[StartMP]], ClosureLocation!$B$6 &lt;= Table4[[#This Row],[EndMP]]), "Yes", "")</f>
        <v/>
      </c>
      <c r="Q58" s="1" t="str">
        <f>IF( AND( Table4[[#This Row],[Route]]=ClosureLocation!$B$3, ClosureLocation!$B$6 &lt;= Table4[[#This Row],[StartMP]], ClosureLocation!$B$6 &gt;= Table4[[#This Row],[EndMP]]), "Yes", "")</f>
        <v/>
      </c>
      <c r="R58" s="1" t="str">
        <f>IF( OR( Table4[[#This Row],[PrimaryMatch]]="Yes", Table4[[#This Row],[SecondaryMatch]]="Yes"), "Yes", "")</f>
        <v/>
      </c>
    </row>
    <row r="59" spans="1:18" hidden="1" x14ac:dyDescent="0.25">
      <c r="A59" t="s">
        <v>864</v>
      </c>
      <c r="B59" t="s">
        <v>3209</v>
      </c>
      <c r="C59" t="s">
        <v>3226</v>
      </c>
      <c r="D59" t="s">
        <v>3784</v>
      </c>
      <c r="E59" s="1">
        <v>0.39600000000000002</v>
      </c>
      <c r="F59" s="1">
        <v>0</v>
      </c>
      <c r="K59" s="39">
        <f>DefaultValues!$B$2</f>
        <v>1440</v>
      </c>
      <c r="L59" s="1">
        <f>DefaultValues!$C$2</f>
        <v>1999</v>
      </c>
      <c r="M59" s="1" t="str">
        <f>DefaultValues!$D$2</f>
        <v xml:space="preserve">- Detour not possible - </v>
      </c>
      <c r="N59" s="1">
        <f>1000 - 0.396</f>
        <v>999.60400000000004</v>
      </c>
      <c r="O59" s="1">
        <f>ABS(Table4[[#This Row],[EndMP]]-Table4[[#This Row],[StartMP]])</f>
        <v>0.39600000000000002</v>
      </c>
      <c r="P59" s="1" t="str">
        <f>IF( AND( Table4[[#This Row],[Route]]=ClosureLocation!$B$3, ClosureLocation!$B$6 &gt;= Table4[[#This Row],[StartMP]], ClosureLocation!$B$6 &lt;= Table4[[#This Row],[EndMP]]), "Yes", "")</f>
        <v/>
      </c>
      <c r="Q59" s="1" t="str">
        <f>IF( AND( Table4[[#This Row],[Route]]=ClosureLocation!$B$3, ClosureLocation!$B$6 &lt;= Table4[[#This Row],[StartMP]], ClosureLocation!$B$6 &gt;= Table4[[#This Row],[EndMP]]), "Yes", "")</f>
        <v/>
      </c>
      <c r="R59" s="1" t="str">
        <f>IF( OR( Table4[[#This Row],[PrimaryMatch]]="Yes", Table4[[#This Row],[SecondaryMatch]]="Yes"), "Yes", "")</f>
        <v/>
      </c>
    </row>
    <row r="60" spans="1:18" hidden="1" x14ac:dyDescent="0.25">
      <c r="A60" t="s">
        <v>867</v>
      </c>
      <c r="B60" t="s">
        <v>3205</v>
      </c>
      <c r="C60" t="s">
        <v>3222</v>
      </c>
      <c r="D60" t="s">
        <v>4666</v>
      </c>
      <c r="E60" s="1">
        <v>0</v>
      </c>
      <c r="F60" s="1">
        <v>0.35299999999999998</v>
      </c>
      <c r="K60" s="39">
        <f>DefaultValues!$B$2</f>
        <v>1440</v>
      </c>
      <c r="L60" s="1">
        <f>DefaultValues!$C$2</f>
        <v>1999</v>
      </c>
      <c r="M60" s="1" t="str">
        <f>DefaultValues!$D$2</f>
        <v xml:space="preserve">- Detour not possible - </v>
      </c>
      <c r="N60" s="1">
        <v>0</v>
      </c>
      <c r="O60" s="1">
        <f>ABS(Table4[[#This Row],[EndMP]]-Table4[[#This Row],[StartMP]])</f>
        <v>0.35299999999999998</v>
      </c>
      <c r="P60" s="1" t="str">
        <f>IF( AND( Table4[[#This Row],[Route]]=ClosureLocation!$B$3, ClosureLocation!$B$6 &gt;= Table4[[#This Row],[StartMP]], ClosureLocation!$B$6 &lt;= Table4[[#This Row],[EndMP]]), "Yes", "")</f>
        <v/>
      </c>
      <c r="Q60" s="1" t="str">
        <f>IF( AND( Table4[[#This Row],[Route]]=ClosureLocation!$B$3, ClosureLocation!$B$6 &lt;= Table4[[#This Row],[StartMP]], ClosureLocation!$B$6 &gt;= Table4[[#This Row],[EndMP]]), "Yes", "")</f>
        <v/>
      </c>
      <c r="R60" s="1" t="str">
        <f>IF( OR( Table4[[#This Row],[PrimaryMatch]]="Yes", Table4[[#This Row],[SecondaryMatch]]="Yes"), "Yes", "")</f>
        <v/>
      </c>
    </row>
    <row r="61" spans="1:18" hidden="1" x14ac:dyDescent="0.25">
      <c r="A61" t="s">
        <v>867</v>
      </c>
      <c r="B61" t="s">
        <v>3209</v>
      </c>
      <c r="C61" t="s">
        <v>3226</v>
      </c>
      <c r="D61" t="s">
        <v>4667</v>
      </c>
      <c r="E61" s="1">
        <v>0.35299999999999998</v>
      </c>
      <c r="F61" s="1">
        <v>0</v>
      </c>
      <c r="K61" s="39">
        <f>DefaultValues!$B$2</f>
        <v>1440</v>
      </c>
      <c r="L61" s="1">
        <f>DefaultValues!$C$2</f>
        <v>1999</v>
      </c>
      <c r="M61" s="1" t="str">
        <f>DefaultValues!$D$2</f>
        <v xml:space="preserve">- Detour not possible - </v>
      </c>
      <c r="N61" s="1">
        <f>1000 - 0.353</f>
        <v>999.64700000000005</v>
      </c>
      <c r="O61" s="1">
        <f>ABS(Table4[[#This Row],[EndMP]]-Table4[[#This Row],[StartMP]])</f>
        <v>0.35299999999999998</v>
      </c>
      <c r="P61" s="1" t="str">
        <f>IF( AND( Table4[[#This Row],[Route]]=ClosureLocation!$B$3, ClosureLocation!$B$6 &gt;= Table4[[#This Row],[StartMP]], ClosureLocation!$B$6 &lt;= Table4[[#This Row],[EndMP]]), "Yes", "")</f>
        <v/>
      </c>
      <c r="Q61" s="1" t="str">
        <f>IF( AND( Table4[[#This Row],[Route]]=ClosureLocation!$B$3, ClosureLocation!$B$6 &lt;= Table4[[#This Row],[StartMP]], ClosureLocation!$B$6 &gt;= Table4[[#This Row],[EndMP]]), "Yes", "")</f>
        <v/>
      </c>
      <c r="R61" s="1" t="str">
        <f>IF( OR( Table4[[#This Row],[PrimaryMatch]]="Yes", Table4[[#This Row],[SecondaryMatch]]="Yes"), "Yes", "")</f>
        <v/>
      </c>
    </row>
    <row r="62" spans="1:18" hidden="1" x14ac:dyDescent="0.25">
      <c r="A62" t="s">
        <v>876</v>
      </c>
      <c r="B62" t="s">
        <v>3205</v>
      </c>
      <c r="C62" t="s">
        <v>3222</v>
      </c>
      <c r="D62" t="s">
        <v>4668</v>
      </c>
      <c r="E62" s="1">
        <v>2.1880000000000002</v>
      </c>
      <c r="F62" s="1">
        <v>2.7109999999999999</v>
      </c>
      <c r="K62" s="39">
        <f>DefaultValues!$B$2</f>
        <v>1440</v>
      </c>
      <c r="L62" s="1">
        <f>DefaultValues!$C$2</f>
        <v>1999</v>
      </c>
      <c r="M62" s="1" t="str">
        <f>DefaultValues!$D$2</f>
        <v xml:space="preserve">- Detour not possible - </v>
      </c>
      <c r="N62" s="1">
        <v>2.1880000000000002</v>
      </c>
      <c r="O62" s="1">
        <f>ABS(Table4[[#This Row],[EndMP]]-Table4[[#This Row],[StartMP]])</f>
        <v>0.52299999999999969</v>
      </c>
      <c r="P62" s="1" t="str">
        <f>IF( AND( Table4[[#This Row],[Route]]=ClosureLocation!$B$3, ClosureLocation!$B$6 &gt;= Table4[[#This Row],[StartMP]], ClosureLocation!$B$6 &lt;= Table4[[#This Row],[EndMP]]), "Yes", "")</f>
        <v/>
      </c>
      <c r="Q62" s="1" t="str">
        <f>IF( AND( Table4[[#This Row],[Route]]=ClosureLocation!$B$3, ClosureLocation!$B$6 &lt;= Table4[[#This Row],[StartMP]], ClosureLocation!$B$6 &gt;= Table4[[#This Row],[EndMP]]), "Yes", "")</f>
        <v/>
      </c>
      <c r="R62" s="1" t="str">
        <f>IF( OR( Table4[[#This Row],[PrimaryMatch]]="Yes", Table4[[#This Row],[SecondaryMatch]]="Yes"), "Yes", "")</f>
        <v/>
      </c>
    </row>
    <row r="63" spans="1:18" hidden="1" x14ac:dyDescent="0.25">
      <c r="A63" t="s">
        <v>876</v>
      </c>
      <c r="B63" t="s">
        <v>3209</v>
      </c>
      <c r="C63" t="s">
        <v>3226</v>
      </c>
      <c r="D63" t="s">
        <v>4669</v>
      </c>
      <c r="E63" s="1">
        <v>2.7109999999999999</v>
      </c>
      <c r="F63" s="1">
        <v>2.1880000000000002</v>
      </c>
      <c r="K63" s="39">
        <f>DefaultValues!$B$2</f>
        <v>1440</v>
      </c>
      <c r="L63" s="1">
        <f>DefaultValues!$C$2</f>
        <v>1999</v>
      </c>
      <c r="M63" s="1" t="str">
        <f>DefaultValues!$D$2</f>
        <v xml:space="preserve">- Detour not possible - </v>
      </c>
      <c r="N63" s="1">
        <f>1000 - 2.711</f>
        <v>997.28899999999999</v>
      </c>
      <c r="O63" s="1">
        <f>ABS(Table4[[#This Row],[EndMP]]-Table4[[#This Row],[StartMP]])</f>
        <v>0.52299999999999969</v>
      </c>
      <c r="P63" s="1" t="str">
        <f>IF( AND( Table4[[#This Row],[Route]]=ClosureLocation!$B$3, ClosureLocation!$B$6 &gt;= Table4[[#This Row],[StartMP]], ClosureLocation!$B$6 &lt;= Table4[[#This Row],[EndMP]]), "Yes", "")</f>
        <v/>
      </c>
      <c r="Q63" s="1" t="str">
        <f>IF( AND( Table4[[#This Row],[Route]]=ClosureLocation!$B$3, ClosureLocation!$B$6 &lt;= Table4[[#This Row],[StartMP]], ClosureLocation!$B$6 &gt;= Table4[[#This Row],[EndMP]]), "Yes", "")</f>
        <v/>
      </c>
      <c r="R63" s="1" t="str">
        <f>IF( OR( Table4[[#This Row],[PrimaryMatch]]="Yes", Table4[[#This Row],[SecondaryMatch]]="Yes"), "Yes", "")</f>
        <v/>
      </c>
    </row>
    <row r="64" spans="1:18" hidden="1" x14ac:dyDescent="0.25">
      <c r="A64" t="s">
        <v>914</v>
      </c>
      <c r="B64" t="s">
        <v>3205</v>
      </c>
      <c r="C64" t="s">
        <v>3210</v>
      </c>
      <c r="D64" t="s">
        <v>4837</v>
      </c>
      <c r="E64" s="1">
        <v>5.2869999999999999</v>
      </c>
      <c r="F64" s="1">
        <v>8.5229999999999997</v>
      </c>
      <c r="K64" s="39">
        <f>DefaultValues!$B$2</f>
        <v>1440</v>
      </c>
      <c r="L64" s="1">
        <f>DefaultValues!$C$2</f>
        <v>1999</v>
      </c>
      <c r="M64" s="1" t="str">
        <f>DefaultValues!$D$2</f>
        <v xml:space="preserve">- Detour not possible - </v>
      </c>
      <c r="N64" s="1">
        <v>5.2869999999999999</v>
      </c>
      <c r="O64" s="1">
        <f>ABS(Table4[[#This Row],[EndMP]]-Table4[[#This Row],[StartMP]])</f>
        <v>3.2359999999999998</v>
      </c>
      <c r="P64" s="1" t="str">
        <f>IF( AND( Table4[[#This Row],[Route]]=ClosureLocation!$B$3, ClosureLocation!$B$6 &gt;= Table4[[#This Row],[StartMP]], ClosureLocation!$B$6 &lt;= Table4[[#This Row],[EndMP]]), "Yes", "")</f>
        <v/>
      </c>
      <c r="Q64" s="1" t="str">
        <f>IF( AND( Table4[[#This Row],[Route]]=ClosureLocation!$B$3, ClosureLocation!$B$6 &lt;= Table4[[#This Row],[StartMP]], ClosureLocation!$B$6 &gt;= Table4[[#This Row],[EndMP]]), "Yes", "")</f>
        <v/>
      </c>
      <c r="R64" s="1" t="str">
        <f>IF( OR( Table4[[#This Row],[PrimaryMatch]]="Yes", Table4[[#This Row],[SecondaryMatch]]="Yes"), "Yes", "")</f>
        <v/>
      </c>
    </row>
    <row r="65" spans="1:18" hidden="1" x14ac:dyDescent="0.25">
      <c r="A65" t="s">
        <v>914</v>
      </c>
      <c r="B65" t="s">
        <v>3209</v>
      </c>
      <c r="C65" t="s">
        <v>3206</v>
      </c>
      <c r="D65" t="s">
        <v>4838</v>
      </c>
      <c r="E65" s="1">
        <v>8.5229999999999997</v>
      </c>
      <c r="F65" s="1">
        <v>5.2869999999999999</v>
      </c>
      <c r="K65" s="39">
        <f>DefaultValues!$B$2</f>
        <v>1440</v>
      </c>
      <c r="L65" s="1">
        <f>DefaultValues!$C$2</f>
        <v>1999</v>
      </c>
      <c r="M65" s="1" t="str">
        <f>DefaultValues!$D$2</f>
        <v xml:space="preserve">- Detour not possible - </v>
      </c>
      <c r="N65" s="1">
        <f>1000 - 8.523</f>
        <v>991.47699999999998</v>
      </c>
      <c r="O65" s="1">
        <f>ABS(Table4[[#This Row],[EndMP]]-Table4[[#This Row],[StartMP]])</f>
        <v>3.2359999999999998</v>
      </c>
      <c r="P65" s="1" t="str">
        <f>IF( AND( Table4[[#This Row],[Route]]=ClosureLocation!$B$3, ClosureLocation!$B$6 &gt;= Table4[[#This Row],[StartMP]], ClosureLocation!$B$6 &lt;= Table4[[#This Row],[EndMP]]), "Yes", "")</f>
        <v/>
      </c>
      <c r="Q65" s="1" t="str">
        <f>IF( AND( Table4[[#This Row],[Route]]=ClosureLocation!$B$3, ClosureLocation!$B$6 &lt;= Table4[[#This Row],[StartMP]], ClosureLocation!$B$6 &gt;= Table4[[#This Row],[EndMP]]), "Yes", "")</f>
        <v/>
      </c>
      <c r="R65" s="1" t="str">
        <f>IF( OR( Table4[[#This Row],[PrimaryMatch]]="Yes", Table4[[#This Row],[SecondaryMatch]]="Yes"), "Yes", "")</f>
        <v/>
      </c>
    </row>
    <row r="66" spans="1:18" hidden="1" x14ac:dyDescent="0.25">
      <c r="A66" t="s">
        <v>938</v>
      </c>
      <c r="B66" t="s">
        <v>3205</v>
      </c>
      <c r="C66" t="s">
        <v>3210</v>
      </c>
      <c r="D66" t="s">
        <v>4671</v>
      </c>
      <c r="E66" s="1">
        <v>0</v>
      </c>
      <c r="F66" s="1">
        <v>0.18099999999999999</v>
      </c>
      <c r="K66" s="39">
        <f>DefaultValues!$B$2</f>
        <v>1440</v>
      </c>
      <c r="L66" s="1">
        <f>DefaultValues!$C$2</f>
        <v>1999</v>
      </c>
      <c r="M66" s="1" t="str">
        <f>DefaultValues!$D$2</f>
        <v xml:space="preserve">- Detour not possible - </v>
      </c>
      <c r="N66" s="1">
        <v>0</v>
      </c>
      <c r="O66" s="1">
        <f>ABS(Table4[[#This Row],[EndMP]]-Table4[[#This Row],[StartMP]])</f>
        <v>0.18099999999999999</v>
      </c>
      <c r="P66" s="1" t="str">
        <f>IF( AND( Table4[[#This Row],[Route]]=ClosureLocation!$B$3, ClosureLocation!$B$6 &gt;= Table4[[#This Row],[StartMP]], ClosureLocation!$B$6 &lt;= Table4[[#This Row],[EndMP]]), "Yes", "")</f>
        <v/>
      </c>
      <c r="Q66" s="1" t="str">
        <f>IF( AND( Table4[[#This Row],[Route]]=ClosureLocation!$B$3, ClosureLocation!$B$6 &lt;= Table4[[#This Row],[StartMP]], ClosureLocation!$B$6 &gt;= Table4[[#This Row],[EndMP]]), "Yes", "")</f>
        <v/>
      </c>
      <c r="R66" s="1" t="str">
        <f>IF( OR( Table4[[#This Row],[PrimaryMatch]]="Yes", Table4[[#This Row],[SecondaryMatch]]="Yes"), "Yes", "")</f>
        <v/>
      </c>
    </row>
    <row r="67" spans="1:18" hidden="1" x14ac:dyDescent="0.25">
      <c r="A67" t="s">
        <v>938</v>
      </c>
      <c r="B67" t="s">
        <v>3205</v>
      </c>
      <c r="C67" t="s">
        <v>3210</v>
      </c>
      <c r="D67" t="s">
        <v>4671</v>
      </c>
      <c r="E67" s="1">
        <v>0.18099999999999999</v>
      </c>
      <c r="F67" s="1">
        <v>0.47199999999999998</v>
      </c>
      <c r="K67" s="39">
        <f>DefaultValues!$B$2</f>
        <v>1440</v>
      </c>
      <c r="L67" s="1">
        <f>DefaultValues!$C$2</f>
        <v>1999</v>
      </c>
      <c r="M67" s="1" t="str">
        <f>DefaultValues!$D$2</f>
        <v xml:space="preserve">- Detour not possible - </v>
      </c>
      <c r="N67" s="1">
        <v>0.18099999999999999</v>
      </c>
      <c r="O67" s="1">
        <f>ABS(Table4[[#This Row],[EndMP]]-Table4[[#This Row],[StartMP]])</f>
        <v>0.29099999999999998</v>
      </c>
      <c r="P67" s="1" t="str">
        <f>IF( AND( Table4[[#This Row],[Route]]=ClosureLocation!$B$3, ClosureLocation!$B$6 &gt;= Table4[[#This Row],[StartMP]], ClosureLocation!$B$6 &lt;= Table4[[#This Row],[EndMP]]), "Yes", "")</f>
        <v/>
      </c>
      <c r="Q67" s="1" t="str">
        <f>IF( AND( Table4[[#This Row],[Route]]=ClosureLocation!$B$3, ClosureLocation!$B$6 &lt;= Table4[[#This Row],[StartMP]], ClosureLocation!$B$6 &gt;= Table4[[#This Row],[EndMP]]), "Yes", "")</f>
        <v/>
      </c>
      <c r="R67" s="1" t="str">
        <f>IF( OR( Table4[[#This Row],[PrimaryMatch]]="Yes", Table4[[#This Row],[SecondaryMatch]]="Yes"), "Yes", "")</f>
        <v/>
      </c>
    </row>
    <row r="68" spans="1:18" hidden="1" x14ac:dyDescent="0.25">
      <c r="A68" t="s">
        <v>938</v>
      </c>
      <c r="B68" t="s">
        <v>3209</v>
      </c>
      <c r="C68" t="s">
        <v>3206</v>
      </c>
      <c r="D68" t="s">
        <v>4672</v>
      </c>
      <c r="E68" s="1">
        <v>0.47199999999999998</v>
      </c>
      <c r="F68" s="1">
        <v>0.18099999999999999</v>
      </c>
      <c r="K68" s="39">
        <f>DefaultValues!$B$2</f>
        <v>1440</v>
      </c>
      <c r="L68" s="1">
        <f>DefaultValues!$C$2</f>
        <v>1999</v>
      </c>
      <c r="M68" s="1" t="str">
        <f>DefaultValues!$D$2</f>
        <v xml:space="preserve">- Detour not possible - </v>
      </c>
      <c r="N68" s="1">
        <f>1000 - 0.472</f>
        <v>999.52800000000002</v>
      </c>
      <c r="O68" s="1">
        <f>ABS(Table4[[#This Row],[EndMP]]-Table4[[#This Row],[StartMP]])</f>
        <v>0.29099999999999998</v>
      </c>
      <c r="P68" s="1" t="str">
        <f>IF( AND( Table4[[#This Row],[Route]]=ClosureLocation!$B$3, ClosureLocation!$B$6 &gt;= Table4[[#This Row],[StartMP]], ClosureLocation!$B$6 &lt;= Table4[[#This Row],[EndMP]]), "Yes", "")</f>
        <v/>
      </c>
      <c r="Q68" s="1" t="str">
        <f>IF( AND( Table4[[#This Row],[Route]]=ClosureLocation!$B$3, ClosureLocation!$B$6 &lt;= Table4[[#This Row],[StartMP]], ClosureLocation!$B$6 &gt;= Table4[[#This Row],[EndMP]]), "Yes", "")</f>
        <v/>
      </c>
      <c r="R68" s="1" t="str">
        <f>IF( OR( Table4[[#This Row],[PrimaryMatch]]="Yes", Table4[[#This Row],[SecondaryMatch]]="Yes"), "Yes", "")</f>
        <v/>
      </c>
    </row>
    <row r="69" spans="1:18" hidden="1" x14ac:dyDescent="0.25">
      <c r="A69" t="s">
        <v>938</v>
      </c>
      <c r="B69" t="s">
        <v>3209</v>
      </c>
      <c r="C69" t="s">
        <v>3206</v>
      </c>
      <c r="D69" t="s">
        <v>4672</v>
      </c>
      <c r="E69" s="1">
        <v>0.18099999999999999</v>
      </c>
      <c r="F69" s="1">
        <v>0</v>
      </c>
      <c r="K69" s="39">
        <f>DefaultValues!$B$2</f>
        <v>1440</v>
      </c>
      <c r="L69" s="1">
        <f>DefaultValues!$C$2</f>
        <v>1999</v>
      </c>
      <c r="M69" s="1" t="str">
        <f>DefaultValues!$D$2</f>
        <v xml:space="preserve">- Detour not possible - </v>
      </c>
      <c r="N69" s="1">
        <f>1000 - 0.181</f>
        <v>999.81899999999996</v>
      </c>
      <c r="O69" s="1">
        <f>ABS(Table4[[#This Row],[EndMP]]-Table4[[#This Row],[StartMP]])</f>
        <v>0.18099999999999999</v>
      </c>
      <c r="P69" s="1" t="str">
        <f>IF( AND( Table4[[#This Row],[Route]]=ClosureLocation!$B$3, ClosureLocation!$B$6 &gt;= Table4[[#This Row],[StartMP]], ClosureLocation!$B$6 &lt;= Table4[[#This Row],[EndMP]]), "Yes", "")</f>
        <v/>
      </c>
      <c r="Q69" s="1" t="str">
        <f>IF( AND( Table4[[#This Row],[Route]]=ClosureLocation!$B$3, ClosureLocation!$B$6 &lt;= Table4[[#This Row],[StartMP]], ClosureLocation!$B$6 &gt;= Table4[[#This Row],[EndMP]]), "Yes", "")</f>
        <v/>
      </c>
      <c r="R69" s="1" t="str">
        <f>IF( OR( Table4[[#This Row],[PrimaryMatch]]="Yes", Table4[[#This Row],[SecondaryMatch]]="Yes"), "Yes", "")</f>
        <v/>
      </c>
    </row>
    <row r="70" spans="1:18" hidden="1" x14ac:dyDescent="0.25">
      <c r="A70" t="s">
        <v>946</v>
      </c>
      <c r="B70" t="s">
        <v>3205</v>
      </c>
      <c r="C70" t="s">
        <v>3226</v>
      </c>
      <c r="D70" t="s">
        <v>4839</v>
      </c>
      <c r="E70" s="1">
        <v>0</v>
      </c>
      <c r="F70" s="1">
        <v>1.4930000000000001</v>
      </c>
      <c r="K70" s="39">
        <f>DefaultValues!$B$2</f>
        <v>1440</v>
      </c>
      <c r="L70" s="1">
        <f>DefaultValues!$C$2</f>
        <v>1999</v>
      </c>
      <c r="M70" s="1" t="str">
        <f>DefaultValues!$D$2</f>
        <v xml:space="preserve">- Detour not possible - </v>
      </c>
      <c r="N70" s="1">
        <v>0</v>
      </c>
      <c r="O70" s="1">
        <f>ABS(Table4[[#This Row],[EndMP]]-Table4[[#This Row],[StartMP]])</f>
        <v>1.4930000000000001</v>
      </c>
      <c r="P70" s="1" t="str">
        <f>IF( AND( Table4[[#This Row],[Route]]=ClosureLocation!$B$3, ClosureLocation!$B$6 &gt;= Table4[[#This Row],[StartMP]], ClosureLocation!$B$6 &lt;= Table4[[#This Row],[EndMP]]), "Yes", "")</f>
        <v/>
      </c>
      <c r="Q70" s="1" t="str">
        <f>IF( AND( Table4[[#This Row],[Route]]=ClosureLocation!$B$3, ClosureLocation!$B$6 &lt;= Table4[[#This Row],[StartMP]], ClosureLocation!$B$6 &gt;= Table4[[#This Row],[EndMP]]), "Yes", "")</f>
        <v/>
      </c>
      <c r="R70" s="1" t="str">
        <f>IF( OR( Table4[[#This Row],[PrimaryMatch]]="Yes", Table4[[#This Row],[SecondaryMatch]]="Yes"), "Yes", "")</f>
        <v/>
      </c>
    </row>
    <row r="71" spans="1:18" hidden="1" x14ac:dyDescent="0.25">
      <c r="A71" t="s">
        <v>946</v>
      </c>
      <c r="B71" t="s">
        <v>3209</v>
      </c>
      <c r="C71" t="s">
        <v>3222</v>
      </c>
      <c r="D71" t="s">
        <v>4840</v>
      </c>
      <c r="E71" s="1">
        <v>1.4930000000000001</v>
      </c>
      <c r="F71" s="1">
        <v>0</v>
      </c>
      <c r="K71" s="39">
        <f>DefaultValues!$B$2</f>
        <v>1440</v>
      </c>
      <c r="L71" s="1">
        <f>DefaultValues!$C$2</f>
        <v>1999</v>
      </c>
      <c r="M71" s="1" t="str">
        <f>DefaultValues!$D$2</f>
        <v xml:space="preserve">- Detour not possible - </v>
      </c>
      <c r="N71" s="1">
        <f>1000 - 1.493</f>
        <v>998.50699999999995</v>
      </c>
      <c r="O71" s="1">
        <f>ABS(Table4[[#This Row],[EndMP]]-Table4[[#This Row],[StartMP]])</f>
        <v>1.4930000000000001</v>
      </c>
      <c r="P71" s="1" t="str">
        <f>IF( AND( Table4[[#This Row],[Route]]=ClosureLocation!$B$3, ClosureLocation!$B$6 &gt;= Table4[[#This Row],[StartMP]], ClosureLocation!$B$6 &lt;= Table4[[#This Row],[EndMP]]), "Yes", "")</f>
        <v/>
      </c>
      <c r="Q71" s="1" t="str">
        <f>IF( AND( Table4[[#This Row],[Route]]=ClosureLocation!$B$3, ClosureLocation!$B$6 &lt;= Table4[[#This Row],[StartMP]], ClosureLocation!$B$6 &gt;= Table4[[#This Row],[EndMP]]), "Yes", "")</f>
        <v/>
      </c>
      <c r="R71" s="1" t="str">
        <f>IF( OR( Table4[[#This Row],[PrimaryMatch]]="Yes", Table4[[#This Row],[SecondaryMatch]]="Yes"), "Yes", "")</f>
        <v/>
      </c>
    </row>
    <row r="72" spans="1:18" hidden="1" x14ac:dyDescent="0.25">
      <c r="A72" t="s">
        <v>976</v>
      </c>
      <c r="B72" t="s">
        <v>3205</v>
      </c>
      <c r="C72" t="s">
        <v>3206</v>
      </c>
      <c r="D72" t="s">
        <v>4673</v>
      </c>
      <c r="E72" s="1">
        <v>131.56100000000001</v>
      </c>
      <c r="F72" s="1">
        <v>137.04</v>
      </c>
      <c r="K72" s="39">
        <f>DefaultValues!$B$2</f>
        <v>1440</v>
      </c>
      <c r="L72" s="1">
        <f>DefaultValues!$C$2</f>
        <v>1999</v>
      </c>
      <c r="M72" s="1" t="str">
        <f>DefaultValues!$D$2</f>
        <v xml:space="preserve">- Detour not possible - </v>
      </c>
      <c r="N72" s="1">
        <v>131.56100000000001</v>
      </c>
      <c r="O72" s="1">
        <f>ABS(Table4[[#This Row],[EndMP]]-Table4[[#This Row],[StartMP]])</f>
        <v>5.478999999999985</v>
      </c>
      <c r="P72" s="1" t="str">
        <f>IF( AND( Table4[[#This Row],[Route]]=ClosureLocation!$B$3, ClosureLocation!$B$6 &gt;= Table4[[#This Row],[StartMP]], ClosureLocation!$B$6 &lt;= Table4[[#This Row],[EndMP]]), "Yes", "")</f>
        <v/>
      </c>
      <c r="Q72" s="1" t="str">
        <f>IF( AND( Table4[[#This Row],[Route]]=ClosureLocation!$B$3, ClosureLocation!$B$6 &lt;= Table4[[#This Row],[StartMP]], ClosureLocation!$B$6 &gt;= Table4[[#This Row],[EndMP]]), "Yes", "")</f>
        <v/>
      </c>
      <c r="R72" s="1" t="str">
        <f>IF( OR( Table4[[#This Row],[PrimaryMatch]]="Yes", Table4[[#This Row],[SecondaryMatch]]="Yes"), "Yes", "")</f>
        <v/>
      </c>
    </row>
    <row r="73" spans="1:18" hidden="1" x14ac:dyDescent="0.25">
      <c r="A73" t="s">
        <v>976</v>
      </c>
      <c r="B73" t="s">
        <v>3209</v>
      </c>
      <c r="C73" t="s">
        <v>3210</v>
      </c>
      <c r="D73" t="s">
        <v>4674</v>
      </c>
      <c r="E73" s="1">
        <v>137.04</v>
      </c>
      <c r="F73" s="1">
        <v>131.56100000000001</v>
      </c>
      <c r="K73" s="39">
        <f>DefaultValues!$B$2</f>
        <v>1440</v>
      </c>
      <c r="L73" s="1">
        <f>DefaultValues!$C$2</f>
        <v>1999</v>
      </c>
      <c r="M73" s="1" t="str">
        <f>DefaultValues!$D$2</f>
        <v xml:space="preserve">- Detour not possible - </v>
      </c>
      <c r="N73" s="1">
        <f>1000 - 137.04</f>
        <v>862.96</v>
      </c>
      <c r="O73" s="1">
        <f>ABS(Table4[[#This Row],[EndMP]]-Table4[[#This Row],[StartMP]])</f>
        <v>5.478999999999985</v>
      </c>
      <c r="P73" s="1" t="str">
        <f>IF( AND( Table4[[#This Row],[Route]]=ClosureLocation!$B$3, ClosureLocation!$B$6 &gt;= Table4[[#This Row],[StartMP]], ClosureLocation!$B$6 &lt;= Table4[[#This Row],[EndMP]]), "Yes", "")</f>
        <v/>
      </c>
      <c r="Q73" s="1" t="str">
        <f>IF( AND( Table4[[#This Row],[Route]]=ClosureLocation!$B$3, ClosureLocation!$B$6 &lt;= Table4[[#This Row],[StartMP]], ClosureLocation!$B$6 &gt;= Table4[[#This Row],[EndMP]]), "Yes", "")</f>
        <v/>
      </c>
      <c r="R73" s="1" t="str">
        <f>IF( OR( Table4[[#This Row],[PrimaryMatch]]="Yes", Table4[[#This Row],[SecondaryMatch]]="Yes"), "Yes", "")</f>
        <v/>
      </c>
    </row>
    <row r="74" spans="1:18" hidden="1" x14ac:dyDescent="0.25">
      <c r="A74" t="s">
        <v>1043</v>
      </c>
      <c r="B74" t="s">
        <v>3205</v>
      </c>
      <c r="C74" t="s">
        <v>3222</v>
      </c>
      <c r="D74" t="s">
        <v>4841</v>
      </c>
      <c r="E74" s="1">
        <v>81.533000000000001</v>
      </c>
      <c r="F74" s="1">
        <v>89.858000000000004</v>
      </c>
      <c r="K74" s="39">
        <f>DefaultValues!$B$2</f>
        <v>1440</v>
      </c>
      <c r="L74" s="1">
        <f>DefaultValues!$C$2</f>
        <v>1999</v>
      </c>
      <c r="M74" s="1" t="str">
        <f>DefaultValues!$D$2</f>
        <v xml:space="preserve">- Detour not possible - </v>
      </c>
      <c r="N74" s="1">
        <v>81.533000000000001</v>
      </c>
      <c r="O74" s="1">
        <f>ABS(Table4[[#This Row],[EndMP]]-Table4[[#This Row],[StartMP]])</f>
        <v>8.3250000000000028</v>
      </c>
      <c r="P74" s="1" t="str">
        <f>IF( AND( Table4[[#This Row],[Route]]=ClosureLocation!$B$3, ClosureLocation!$B$6 &gt;= Table4[[#This Row],[StartMP]], ClosureLocation!$B$6 &lt;= Table4[[#This Row],[EndMP]]), "Yes", "")</f>
        <v/>
      </c>
      <c r="Q74" s="1" t="str">
        <f>IF( AND( Table4[[#This Row],[Route]]=ClosureLocation!$B$3, ClosureLocation!$B$6 &lt;= Table4[[#This Row],[StartMP]], ClosureLocation!$B$6 &gt;= Table4[[#This Row],[EndMP]]), "Yes", "")</f>
        <v/>
      </c>
      <c r="R74" s="1" t="str">
        <f>IF( OR( Table4[[#This Row],[PrimaryMatch]]="Yes", Table4[[#This Row],[SecondaryMatch]]="Yes"), "Yes", "")</f>
        <v/>
      </c>
    </row>
    <row r="75" spans="1:18" hidden="1" x14ac:dyDescent="0.25">
      <c r="A75" t="s">
        <v>1043</v>
      </c>
      <c r="B75" t="s">
        <v>3209</v>
      </c>
      <c r="C75" t="s">
        <v>3226</v>
      </c>
      <c r="D75" t="s">
        <v>4842</v>
      </c>
      <c r="E75" s="1">
        <v>89.858000000000004</v>
      </c>
      <c r="F75" s="1">
        <v>81.533000000000001</v>
      </c>
      <c r="K75" s="39">
        <f>DefaultValues!$B$2</f>
        <v>1440</v>
      </c>
      <c r="L75" s="1">
        <f>DefaultValues!$C$2</f>
        <v>1999</v>
      </c>
      <c r="M75" s="1" t="str">
        <f>DefaultValues!$D$2</f>
        <v xml:space="preserve">- Detour not possible - </v>
      </c>
      <c r="N75" s="1">
        <f>1000 - 89.858</f>
        <v>910.14200000000005</v>
      </c>
      <c r="O75" s="1">
        <f>ABS(Table4[[#This Row],[EndMP]]-Table4[[#This Row],[StartMP]])</f>
        <v>8.3250000000000028</v>
      </c>
      <c r="P75" s="1" t="str">
        <f>IF( AND( Table4[[#This Row],[Route]]=ClosureLocation!$B$3, ClosureLocation!$B$6 &gt;= Table4[[#This Row],[StartMP]], ClosureLocation!$B$6 &lt;= Table4[[#This Row],[EndMP]]), "Yes", "")</f>
        <v/>
      </c>
      <c r="Q75" s="1" t="str">
        <f>IF( AND( Table4[[#This Row],[Route]]=ClosureLocation!$B$3, ClosureLocation!$B$6 &lt;= Table4[[#This Row],[StartMP]], ClosureLocation!$B$6 &gt;= Table4[[#This Row],[EndMP]]), "Yes", "")</f>
        <v/>
      </c>
      <c r="R75" s="1" t="str">
        <f>IF( OR( Table4[[#This Row],[PrimaryMatch]]="Yes", Table4[[#This Row],[SecondaryMatch]]="Yes"), "Yes", "")</f>
        <v/>
      </c>
    </row>
    <row r="76" spans="1:18" hidden="1" x14ac:dyDescent="0.25">
      <c r="A76" t="s">
        <v>1095</v>
      </c>
      <c r="B76" t="s">
        <v>3205</v>
      </c>
      <c r="C76" t="s">
        <v>3206</v>
      </c>
      <c r="D76" t="s">
        <v>4843</v>
      </c>
      <c r="E76" s="1">
        <v>0</v>
      </c>
      <c r="F76" s="1">
        <v>4.5839999999999996</v>
      </c>
      <c r="K76" s="39">
        <f>DefaultValues!$B$2</f>
        <v>1440</v>
      </c>
      <c r="L76" s="1">
        <f>DefaultValues!$C$2</f>
        <v>1999</v>
      </c>
      <c r="M76" s="1" t="str">
        <f>DefaultValues!$D$2</f>
        <v xml:space="preserve">- Detour not possible - </v>
      </c>
      <c r="N76" s="1">
        <v>0</v>
      </c>
      <c r="O76" s="1">
        <f>ABS(Table4[[#This Row],[EndMP]]-Table4[[#This Row],[StartMP]])</f>
        <v>4.5839999999999996</v>
      </c>
      <c r="P76" s="1" t="str">
        <f>IF( AND( Table4[[#This Row],[Route]]=ClosureLocation!$B$3, ClosureLocation!$B$6 &gt;= Table4[[#This Row],[StartMP]], ClosureLocation!$B$6 &lt;= Table4[[#This Row],[EndMP]]), "Yes", "")</f>
        <v/>
      </c>
      <c r="Q76" s="1" t="str">
        <f>IF( AND( Table4[[#This Row],[Route]]=ClosureLocation!$B$3, ClosureLocation!$B$6 &lt;= Table4[[#This Row],[StartMP]], ClosureLocation!$B$6 &gt;= Table4[[#This Row],[EndMP]]), "Yes", "")</f>
        <v/>
      </c>
      <c r="R76" s="1" t="str">
        <f>IF( OR( Table4[[#This Row],[PrimaryMatch]]="Yes", Table4[[#This Row],[SecondaryMatch]]="Yes"), "Yes", "")</f>
        <v/>
      </c>
    </row>
    <row r="77" spans="1:18" hidden="1" x14ac:dyDescent="0.25">
      <c r="A77" t="s">
        <v>1095</v>
      </c>
      <c r="B77" t="s">
        <v>3209</v>
      </c>
      <c r="C77" t="s">
        <v>3210</v>
      </c>
      <c r="D77" t="s">
        <v>4844</v>
      </c>
      <c r="E77" s="1">
        <v>4.5839999999999996</v>
      </c>
      <c r="F77" s="1">
        <v>0</v>
      </c>
      <c r="K77" s="39">
        <f>DefaultValues!$B$2</f>
        <v>1440</v>
      </c>
      <c r="L77" s="1">
        <f>DefaultValues!$C$2</f>
        <v>1999</v>
      </c>
      <c r="M77" s="1" t="str">
        <f>DefaultValues!$D$2</f>
        <v xml:space="preserve">- Detour not possible - </v>
      </c>
      <c r="N77" s="1">
        <f>1000 - 4.584</f>
        <v>995.41600000000005</v>
      </c>
      <c r="O77" s="1">
        <f>ABS(Table4[[#This Row],[EndMP]]-Table4[[#This Row],[StartMP]])</f>
        <v>4.5839999999999996</v>
      </c>
      <c r="P77" s="1" t="str">
        <f>IF( AND( Table4[[#This Row],[Route]]=ClosureLocation!$B$3, ClosureLocation!$B$6 &gt;= Table4[[#This Row],[StartMP]], ClosureLocation!$B$6 &lt;= Table4[[#This Row],[EndMP]]), "Yes", "")</f>
        <v/>
      </c>
      <c r="Q77" s="1" t="str">
        <f>IF( AND( Table4[[#This Row],[Route]]=ClosureLocation!$B$3, ClosureLocation!$B$6 &lt;= Table4[[#This Row],[StartMP]], ClosureLocation!$B$6 &gt;= Table4[[#This Row],[EndMP]]), "Yes", "")</f>
        <v/>
      </c>
      <c r="R77" s="1" t="str">
        <f>IF( OR( Table4[[#This Row],[PrimaryMatch]]="Yes", Table4[[#This Row],[SecondaryMatch]]="Yes"), "Yes", "")</f>
        <v/>
      </c>
    </row>
    <row r="78" spans="1:18" hidden="1" x14ac:dyDescent="0.25">
      <c r="A78" t="s">
        <v>1099</v>
      </c>
      <c r="B78" t="s">
        <v>3205</v>
      </c>
      <c r="C78" t="s">
        <v>3210</v>
      </c>
      <c r="D78" t="s">
        <v>4845</v>
      </c>
      <c r="E78" s="1">
        <v>0</v>
      </c>
      <c r="F78" s="1">
        <v>0.41899999999999998</v>
      </c>
      <c r="K78" s="39">
        <f>DefaultValues!$B$2</f>
        <v>1440</v>
      </c>
      <c r="L78" s="1">
        <f>DefaultValues!$C$2</f>
        <v>1999</v>
      </c>
      <c r="M78" s="1" t="str">
        <f>DefaultValues!$D$2</f>
        <v xml:space="preserve">- Detour not possible - </v>
      </c>
      <c r="N78" s="1">
        <v>0</v>
      </c>
      <c r="O78" s="1">
        <f>ABS(Table4[[#This Row],[EndMP]]-Table4[[#This Row],[StartMP]])</f>
        <v>0.41899999999999998</v>
      </c>
      <c r="P78" s="1" t="str">
        <f>IF( AND( Table4[[#This Row],[Route]]=ClosureLocation!$B$3, ClosureLocation!$B$6 &gt;= Table4[[#This Row],[StartMP]], ClosureLocation!$B$6 &lt;= Table4[[#This Row],[EndMP]]), "Yes", "")</f>
        <v/>
      </c>
      <c r="Q78" s="1" t="str">
        <f>IF( AND( Table4[[#This Row],[Route]]=ClosureLocation!$B$3, ClosureLocation!$B$6 &lt;= Table4[[#This Row],[StartMP]], ClosureLocation!$B$6 &gt;= Table4[[#This Row],[EndMP]]), "Yes", "")</f>
        <v/>
      </c>
      <c r="R78" s="1" t="str">
        <f>IF( OR( Table4[[#This Row],[PrimaryMatch]]="Yes", Table4[[#This Row],[SecondaryMatch]]="Yes"), "Yes", "")</f>
        <v/>
      </c>
    </row>
    <row r="79" spans="1:18" hidden="1" x14ac:dyDescent="0.25">
      <c r="A79" t="s">
        <v>1099</v>
      </c>
      <c r="B79" t="s">
        <v>3209</v>
      </c>
      <c r="C79" t="s">
        <v>3206</v>
      </c>
      <c r="D79" t="s">
        <v>4846</v>
      </c>
      <c r="E79" s="1">
        <v>0.41899999999999998</v>
      </c>
      <c r="F79" s="1">
        <v>0</v>
      </c>
      <c r="K79" s="39">
        <f>DefaultValues!$B$2</f>
        <v>1440</v>
      </c>
      <c r="L79" s="1">
        <f>DefaultValues!$C$2</f>
        <v>1999</v>
      </c>
      <c r="M79" s="1" t="str">
        <f>DefaultValues!$D$2</f>
        <v xml:space="preserve">- Detour not possible - </v>
      </c>
      <c r="N79" s="1">
        <f>1000 - 0.419</f>
        <v>999.58100000000002</v>
      </c>
      <c r="O79" s="1">
        <f>ABS(Table4[[#This Row],[EndMP]]-Table4[[#This Row],[StartMP]])</f>
        <v>0.41899999999999998</v>
      </c>
      <c r="P79" s="1" t="str">
        <f>IF( AND( Table4[[#This Row],[Route]]=ClosureLocation!$B$3, ClosureLocation!$B$6 &gt;= Table4[[#This Row],[StartMP]], ClosureLocation!$B$6 &lt;= Table4[[#This Row],[EndMP]]), "Yes", "")</f>
        <v/>
      </c>
      <c r="Q79" s="1" t="str">
        <f>IF( AND( Table4[[#This Row],[Route]]=ClosureLocation!$B$3, ClosureLocation!$B$6 &lt;= Table4[[#This Row],[StartMP]], ClosureLocation!$B$6 &gt;= Table4[[#This Row],[EndMP]]), "Yes", "")</f>
        <v/>
      </c>
      <c r="R79" s="1" t="str">
        <f>IF( OR( Table4[[#This Row],[PrimaryMatch]]="Yes", Table4[[#This Row],[SecondaryMatch]]="Yes"), "Yes", "")</f>
        <v/>
      </c>
    </row>
    <row r="80" spans="1:18" hidden="1" x14ac:dyDescent="0.25">
      <c r="A80" t="s">
        <v>1102</v>
      </c>
      <c r="B80" t="s">
        <v>3205</v>
      </c>
      <c r="C80" t="s">
        <v>3210</v>
      </c>
      <c r="D80" t="s">
        <v>4847</v>
      </c>
      <c r="E80" s="1">
        <v>0</v>
      </c>
      <c r="F80" s="1">
        <v>21.413</v>
      </c>
      <c r="K80" s="39">
        <f>DefaultValues!$B$2</f>
        <v>1440</v>
      </c>
      <c r="L80" s="1">
        <f>DefaultValues!$C$2</f>
        <v>1999</v>
      </c>
      <c r="M80" s="1" t="str">
        <f>DefaultValues!$D$2</f>
        <v xml:space="preserve">- Detour not possible - </v>
      </c>
      <c r="N80" s="1">
        <v>0</v>
      </c>
      <c r="O80" s="1">
        <f>ABS(Table4[[#This Row],[EndMP]]-Table4[[#This Row],[StartMP]])</f>
        <v>21.413</v>
      </c>
      <c r="P80" s="1" t="str">
        <f>IF( AND( Table4[[#This Row],[Route]]=ClosureLocation!$B$3, ClosureLocation!$B$6 &gt;= Table4[[#This Row],[StartMP]], ClosureLocation!$B$6 &lt;= Table4[[#This Row],[EndMP]]), "Yes", "")</f>
        <v/>
      </c>
      <c r="Q80" s="1" t="str">
        <f>IF( AND( Table4[[#This Row],[Route]]=ClosureLocation!$B$3, ClosureLocation!$B$6 &lt;= Table4[[#This Row],[StartMP]], ClosureLocation!$B$6 &gt;= Table4[[#This Row],[EndMP]]), "Yes", "")</f>
        <v/>
      </c>
      <c r="R80" s="1" t="str">
        <f>IF( OR( Table4[[#This Row],[PrimaryMatch]]="Yes", Table4[[#This Row],[SecondaryMatch]]="Yes"), "Yes", "")</f>
        <v/>
      </c>
    </row>
    <row r="81" spans="1:18" hidden="1" x14ac:dyDescent="0.25">
      <c r="A81" t="s">
        <v>1102</v>
      </c>
      <c r="B81" t="s">
        <v>3209</v>
      </c>
      <c r="C81" t="s">
        <v>3206</v>
      </c>
      <c r="D81" t="s">
        <v>4848</v>
      </c>
      <c r="E81" s="1">
        <v>21.413</v>
      </c>
      <c r="F81" s="1">
        <v>0</v>
      </c>
      <c r="K81" s="39">
        <f>DefaultValues!$B$2</f>
        <v>1440</v>
      </c>
      <c r="L81" s="1">
        <f>DefaultValues!$C$2</f>
        <v>1999</v>
      </c>
      <c r="M81" s="1" t="str">
        <f>DefaultValues!$D$2</f>
        <v xml:space="preserve">- Detour not possible - </v>
      </c>
      <c r="N81" s="1">
        <f>1000 - 21.413</f>
        <v>978.58699999999999</v>
      </c>
      <c r="O81" s="1">
        <f>ABS(Table4[[#This Row],[EndMP]]-Table4[[#This Row],[StartMP]])</f>
        <v>21.413</v>
      </c>
      <c r="P81" s="1" t="str">
        <f>IF( AND( Table4[[#This Row],[Route]]=ClosureLocation!$B$3, ClosureLocation!$B$6 &gt;= Table4[[#This Row],[StartMP]], ClosureLocation!$B$6 &lt;= Table4[[#This Row],[EndMP]]), "Yes", "")</f>
        <v/>
      </c>
      <c r="Q81" s="1" t="str">
        <f>IF( AND( Table4[[#This Row],[Route]]=ClosureLocation!$B$3, ClosureLocation!$B$6 &lt;= Table4[[#This Row],[StartMP]], ClosureLocation!$B$6 &gt;= Table4[[#This Row],[EndMP]]), "Yes", "")</f>
        <v/>
      </c>
      <c r="R81" s="1" t="str">
        <f>IF( OR( Table4[[#This Row],[PrimaryMatch]]="Yes", Table4[[#This Row],[SecondaryMatch]]="Yes"), "Yes", "")</f>
        <v/>
      </c>
    </row>
    <row r="82" spans="1:18" hidden="1" x14ac:dyDescent="0.25">
      <c r="A82" t="s">
        <v>1105</v>
      </c>
      <c r="B82" t="s">
        <v>3205</v>
      </c>
      <c r="C82" t="s">
        <v>3210</v>
      </c>
      <c r="D82" t="s">
        <v>4675</v>
      </c>
      <c r="E82" s="1">
        <v>8.2000000000000003E-2</v>
      </c>
      <c r="F82" s="1">
        <v>0.11899999999999999</v>
      </c>
      <c r="K82" s="39">
        <f>DefaultValues!$B$2</f>
        <v>1440</v>
      </c>
      <c r="L82" s="1">
        <f>DefaultValues!$C$2</f>
        <v>1999</v>
      </c>
      <c r="M82" s="1" t="str">
        <f>DefaultValues!$D$2</f>
        <v xml:space="preserve">- Detour not possible - </v>
      </c>
      <c r="N82" s="1">
        <v>8.2000000000000003E-2</v>
      </c>
      <c r="O82" s="1">
        <f>ABS(Table4[[#This Row],[EndMP]]-Table4[[#This Row],[StartMP]])</f>
        <v>3.6999999999999991E-2</v>
      </c>
      <c r="P82" s="1" t="str">
        <f>IF( AND( Table4[[#This Row],[Route]]=ClosureLocation!$B$3, ClosureLocation!$B$6 &gt;= Table4[[#This Row],[StartMP]], ClosureLocation!$B$6 &lt;= Table4[[#This Row],[EndMP]]), "Yes", "")</f>
        <v/>
      </c>
      <c r="Q82" s="1" t="str">
        <f>IF( AND( Table4[[#This Row],[Route]]=ClosureLocation!$B$3, ClosureLocation!$B$6 &lt;= Table4[[#This Row],[StartMP]], ClosureLocation!$B$6 &gt;= Table4[[#This Row],[EndMP]]), "Yes", "")</f>
        <v/>
      </c>
      <c r="R82" s="1" t="str">
        <f>IF( OR( Table4[[#This Row],[PrimaryMatch]]="Yes", Table4[[#This Row],[SecondaryMatch]]="Yes"), "Yes", "")</f>
        <v/>
      </c>
    </row>
    <row r="83" spans="1:18" hidden="1" x14ac:dyDescent="0.25">
      <c r="A83" t="s">
        <v>1105</v>
      </c>
      <c r="B83" t="s">
        <v>3205</v>
      </c>
      <c r="C83" t="s">
        <v>3210</v>
      </c>
      <c r="D83" t="s">
        <v>4675</v>
      </c>
      <c r="E83" s="1">
        <v>0.11899999999999999</v>
      </c>
      <c r="F83" s="1">
        <v>13.265000000000001</v>
      </c>
      <c r="K83" s="39">
        <f>DefaultValues!$B$2</f>
        <v>1440</v>
      </c>
      <c r="L83" s="1">
        <f>DefaultValues!$C$2</f>
        <v>1999</v>
      </c>
      <c r="M83" s="1" t="str">
        <f>DefaultValues!$D$2</f>
        <v xml:space="preserve">- Detour not possible - </v>
      </c>
      <c r="N83" s="1">
        <v>0.11899999999999999</v>
      </c>
      <c r="O83" s="1">
        <f>ABS(Table4[[#This Row],[EndMP]]-Table4[[#This Row],[StartMP]])</f>
        <v>13.146000000000001</v>
      </c>
      <c r="P83" s="1" t="str">
        <f>IF( AND( Table4[[#This Row],[Route]]=ClosureLocation!$B$3, ClosureLocation!$B$6 &gt;= Table4[[#This Row],[StartMP]], ClosureLocation!$B$6 &lt;= Table4[[#This Row],[EndMP]]), "Yes", "")</f>
        <v/>
      </c>
      <c r="Q83" s="1" t="str">
        <f>IF( AND( Table4[[#This Row],[Route]]=ClosureLocation!$B$3, ClosureLocation!$B$6 &lt;= Table4[[#This Row],[StartMP]], ClosureLocation!$B$6 &gt;= Table4[[#This Row],[EndMP]]), "Yes", "")</f>
        <v/>
      </c>
      <c r="R83" s="1" t="str">
        <f>IF( OR( Table4[[#This Row],[PrimaryMatch]]="Yes", Table4[[#This Row],[SecondaryMatch]]="Yes"), "Yes", "")</f>
        <v/>
      </c>
    </row>
    <row r="84" spans="1:18" hidden="1" x14ac:dyDescent="0.25">
      <c r="A84" t="s">
        <v>1105</v>
      </c>
      <c r="B84" t="s">
        <v>3205</v>
      </c>
      <c r="C84" t="s">
        <v>3210</v>
      </c>
      <c r="D84" t="s">
        <v>4675</v>
      </c>
      <c r="E84" s="1">
        <v>13.265000000000001</v>
      </c>
      <c r="F84" s="1">
        <v>22.488</v>
      </c>
      <c r="K84" s="39">
        <f>DefaultValues!$B$2</f>
        <v>1440</v>
      </c>
      <c r="L84" s="1">
        <f>DefaultValues!$C$2</f>
        <v>1999</v>
      </c>
      <c r="M84" s="1" t="str">
        <f>DefaultValues!$D$2</f>
        <v xml:space="preserve">- Detour not possible - </v>
      </c>
      <c r="N84" s="1">
        <v>13.265000000000001</v>
      </c>
      <c r="O84" s="1">
        <f>ABS(Table4[[#This Row],[EndMP]]-Table4[[#This Row],[StartMP]])</f>
        <v>9.222999999999999</v>
      </c>
      <c r="P84" s="1" t="str">
        <f>IF( AND( Table4[[#This Row],[Route]]=ClosureLocation!$B$3, ClosureLocation!$B$6 &gt;= Table4[[#This Row],[StartMP]], ClosureLocation!$B$6 &lt;= Table4[[#This Row],[EndMP]]), "Yes", "")</f>
        <v/>
      </c>
      <c r="Q84" s="1" t="str">
        <f>IF( AND( Table4[[#This Row],[Route]]=ClosureLocation!$B$3, ClosureLocation!$B$6 &lt;= Table4[[#This Row],[StartMP]], ClosureLocation!$B$6 &gt;= Table4[[#This Row],[EndMP]]), "Yes", "")</f>
        <v/>
      </c>
      <c r="R84" s="1" t="str">
        <f>IF( OR( Table4[[#This Row],[PrimaryMatch]]="Yes", Table4[[#This Row],[SecondaryMatch]]="Yes"), "Yes", "")</f>
        <v/>
      </c>
    </row>
    <row r="85" spans="1:18" hidden="1" x14ac:dyDescent="0.25">
      <c r="A85" t="s">
        <v>1105</v>
      </c>
      <c r="B85" t="s">
        <v>3209</v>
      </c>
      <c r="C85" t="s">
        <v>3206</v>
      </c>
      <c r="D85" t="s">
        <v>4676</v>
      </c>
      <c r="E85" s="1">
        <v>22.488</v>
      </c>
      <c r="F85" s="1">
        <v>13.265000000000001</v>
      </c>
      <c r="K85" s="39">
        <f>DefaultValues!$B$2</f>
        <v>1440</v>
      </c>
      <c r="L85" s="1">
        <f>DefaultValues!$C$2</f>
        <v>1999</v>
      </c>
      <c r="M85" s="1" t="str">
        <f>DefaultValues!$D$2</f>
        <v xml:space="preserve">- Detour not possible - </v>
      </c>
      <c r="N85" s="1">
        <f>1000 - 22.488</f>
        <v>977.51199999999994</v>
      </c>
      <c r="O85" s="1">
        <f>ABS(Table4[[#This Row],[EndMP]]-Table4[[#This Row],[StartMP]])</f>
        <v>9.222999999999999</v>
      </c>
      <c r="P85" s="1" t="str">
        <f>IF( AND( Table4[[#This Row],[Route]]=ClosureLocation!$B$3, ClosureLocation!$B$6 &gt;= Table4[[#This Row],[StartMP]], ClosureLocation!$B$6 &lt;= Table4[[#This Row],[EndMP]]), "Yes", "")</f>
        <v/>
      </c>
      <c r="Q85" s="1" t="str">
        <f>IF( AND( Table4[[#This Row],[Route]]=ClosureLocation!$B$3, ClosureLocation!$B$6 &lt;= Table4[[#This Row],[StartMP]], ClosureLocation!$B$6 &gt;= Table4[[#This Row],[EndMP]]), "Yes", "")</f>
        <v/>
      </c>
      <c r="R85" s="1" t="str">
        <f>IF( OR( Table4[[#This Row],[PrimaryMatch]]="Yes", Table4[[#This Row],[SecondaryMatch]]="Yes"), "Yes", "")</f>
        <v/>
      </c>
    </row>
    <row r="86" spans="1:18" hidden="1" x14ac:dyDescent="0.25">
      <c r="A86" t="s">
        <v>1105</v>
      </c>
      <c r="B86" t="s">
        <v>3209</v>
      </c>
      <c r="C86" t="s">
        <v>3206</v>
      </c>
      <c r="D86" t="s">
        <v>4676</v>
      </c>
      <c r="E86" s="1">
        <v>13.265000000000001</v>
      </c>
      <c r="F86" s="1">
        <v>0.11899999999999999</v>
      </c>
      <c r="K86" s="39">
        <f>DefaultValues!$B$2</f>
        <v>1440</v>
      </c>
      <c r="L86" s="1">
        <f>DefaultValues!$C$2</f>
        <v>1999</v>
      </c>
      <c r="M86" s="1" t="str">
        <f>DefaultValues!$D$2</f>
        <v xml:space="preserve">- Detour not possible - </v>
      </c>
      <c r="N86" s="1">
        <f>1000 - 13.265</f>
        <v>986.73500000000001</v>
      </c>
      <c r="O86" s="1">
        <f>ABS(Table4[[#This Row],[EndMP]]-Table4[[#This Row],[StartMP]])</f>
        <v>13.146000000000001</v>
      </c>
      <c r="P86" s="1" t="str">
        <f>IF( AND( Table4[[#This Row],[Route]]=ClosureLocation!$B$3, ClosureLocation!$B$6 &gt;= Table4[[#This Row],[StartMP]], ClosureLocation!$B$6 &lt;= Table4[[#This Row],[EndMP]]), "Yes", "")</f>
        <v/>
      </c>
      <c r="Q86" s="1" t="str">
        <f>IF( AND( Table4[[#This Row],[Route]]=ClosureLocation!$B$3, ClosureLocation!$B$6 &lt;= Table4[[#This Row],[StartMP]], ClosureLocation!$B$6 &gt;= Table4[[#This Row],[EndMP]]), "Yes", "")</f>
        <v/>
      </c>
      <c r="R86" s="1" t="str">
        <f>IF( OR( Table4[[#This Row],[PrimaryMatch]]="Yes", Table4[[#This Row],[SecondaryMatch]]="Yes"), "Yes", "")</f>
        <v/>
      </c>
    </row>
    <row r="87" spans="1:18" hidden="1" x14ac:dyDescent="0.25">
      <c r="A87" t="s">
        <v>1105</v>
      </c>
      <c r="B87" t="s">
        <v>3209</v>
      </c>
      <c r="C87" t="s">
        <v>3206</v>
      </c>
      <c r="D87" t="s">
        <v>4676</v>
      </c>
      <c r="E87" s="1">
        <v>0.11899999999999999</v>
      </c>
      <c r="F87" s="1">
        <v>8.2000000000000003E-2</v>
      </c>
      <c r="K87" s="39">
        <f>DefaultValues!$B$2</f>
        <v>1440</v>
      </c>
      <c r="L87" s="1">
        <f>DefaultValues!$C$2</f>
        <v>1999</v>
      </c>
      <c r="M87" s="1" t="str">
        <f>DefaultValues!$D$2</f>
        <v xml:space="preserve">- Detour not possible - </v>
      </c>
      <c r="N87" s="1">
        <f>1000 - 0.119</f>
        <v>999.88099999999997</v>
      </c>
      <c r="O87" s="1">
        <f>ABS(Table4[[#This Row],[EndMP]]-Table4[[#This Row],[StartMP]])</f>
        <v>3.6999999999999991E-2</v>
      </c>
      <c r="P87" s="1" t="str">
        <f>IF( AND( Table4[[#This Row],[Route]]=ClosureLocation!$B$3, ClosureLocation!$B$6 &gt;= Table4[[#This Row],[StartMP]], ClosureLocation!$B$6 &lt;= Table4[[#This Row],[EndMP]]), "Yes", "")</f>
        <v/>
      </c>
      <c r="Q87" s="1" t="str">
        <f>IF( AND( Table4[[#This Row],[Route]]=ClosureLocation!$B$3, ClosureLocation!$B$6 &lt;= Table4[[#This Row],[StartMP]], ClosureLocation!$B$6 &gt;= Table4[[#This Row],[EndMP]]), "Yes", "")</f>
        <v/>
      </c>
      <c r="R87" s="1" t="str">
        <f>IF( OR( Table4[[#This Row],[PrimaryMatch]]="Yes", Table4[[#This Row],[SecondaryMatch]]="Yes"), "Yes", "")</f>
        <v/>
      </c>
    </row>
    <row r="88" spans="1:18" hidden="1" x14ac:dyDescent="0.25">
      <c r="A88" t="s">
        <v>1110</v>
      </c>
      <c r="B88" t="s">
        <v>3205</v>
      </c>
      <c r="C88" t="s">
        <v>3206</v>
      </c>
      <c r="D88" t="s">
        <v>4849</v>
      </c>
      <c r="E88" s="1">
        <v>4.7309999999999999</v>
      </c>
      <c r="F88" s="1">
        <v>5.2110000000000003</v>
      </c>
      <c r="K88" s="39">
        <f>DefaultValues!$B$2</f>
        <v>1440</v>
      </c>
      <c r="L88" s="1">
        <f>DefaultValues!$C$2</f>
        <v>1999</v>
      </c>
      <c r="M88" s="1" t="str">
        <f>DefaultValues!$D$2</f>
        <v xml:space="preserve">- Detour not possible - </v>
      </c>
      <c r="N88" s="1">
        <v>4.7309999999999999</v>
      </c>
      <c r="O88" s="1">
        <f>ABS(Table4[[#This Row],[EndMP]]-Table4[[#This Row],[StartMP]])</f>
        <v>0.48000000000000043</v>
      </c>
      <c r="P88" s="1" t="str">
        <f>IF( AND( Table4[[#This Row],[Route]]=ClosureLocation!$B$3, ClosureLocation!$B$6 &gt;= Table4[[#This Row],[StartMP]], ClosureLocation!$B$6 &lt;= Table4[[#This Row],[EndMP]]), "Yes", "")</f>
        <v/>
      </c>
      <c r="Q88" s="1" t="str">
        <f>IF( AND( Table4[[#This Row],[Route]]=ClosureLocation!$B$3, ClosureLocation!$B$6 &lt;= Table4[[#This Row],[StartMP]], ClosureLocation!$B$6 &gt;= Table4[[#This Row],[EndMP]]), "Yes", "")</f>
        <v/>
      </c>
      <c r="R88" s="1" t="str">
        <f>IF( OR( Table4[[#This Row],[PrimaryMatch]]="Yes", Table4[[#This Row],[SecondaryMatch]]="Yes"), "Yes", "")</f>
        <v/>
      </c>
    </row>
    <row r="89" spans="1:18" hidden="1" x14ac:dyDescent="0.25">
      <c r="A89" t="s">
        <v>1110</v>
      </c>
      <c r="B89" t="s">
        <v>3205</v>
      </c>
      <c r="C89" t="s">
        <v>3206</v>
      </c>
      <c r="D89" t="s">
        <v>4849</v>
      </c>
      <c r="E89" s="1">
        <v>5.2110000000000003</v>
      </c>
      <c r="F89" s="1">
        <v>9.48</v>
      </c>
      <c r="K89" s="39">
        <f>DefaultValues!$B$2</f>
        <v>1440</v>
      </c>
      <c r="L89" s="1">
        <f>DefaultValues!$C$2</f>
        <v>1999</v>
      </c>
      <c r="M89" s="1" t="str">
        <f>DefaultValues!$D$2</f>
        <v xml:space="preserve">- Detour not possible - </v>
      </c>
      <c r="N89" s="1">
        <v>5.2110000000000003</v>
      </c>
      <c r="O89" s="1">
        <f>ABS(Table4[[#This Row],[EndMP]]-Table4[[#This Row],[StartMP]])</f>
        <v>4.2690000000000001</v>
      </c>
      <c r="P89" s="1" t="str">
        <f>IF( AND( Table4[[#This Row],[Route]]=ClosureLocation!$B$3, ClosureLocation!$B$6 &gt;= Table4[[#This Row],[StartMP]], ClosureLocation!$B$6 &lt;= Table4[[#This Row],[EndMP]]), "Yes", "")</f>
        <v/>
      </c>
      <c r="Q89" s="1" t="str">
        <f>IF( AND( Table4[[#This Row],[Route]]=ClosureLocation!$B$3, ClosureLocation!$B$6 &lt;= Table4[[#This Row],[StartMP]], ClosureLocation!$B$6 &gt;= Table4[[#This Row],[EndMP]]), "Yes", "")</f>
        <v/>
      </c>
      <c r="R89" s="1" t="str">
        <f>IF( OR( Table4[[#This Row],[PrimaryMatch]]="Yes", Table4[[#This Row],[SecondaryMatch]]="Yes"), "Yes", "")</f>
        <v/>
      </c>
    </row>
    <row r="90" spans="1:18" hidden="1" x14ac:dyDescent="0.25">
      <c r="A90" t="s">
        <v>1110</v>
      </c>
      <c r="B90" t="s">
        <v>3209</v>
      </c>
      <c r="C90" t="s">
        <v>3210</v>
      </c>
      <c r="D90" t="s">
        <v>4850</v>
      </c>
      <c r="E90" s="1">
        <v>9.48</v>
      </c>
      <c r="F90" s="1">
        <v>5.2110000000000003</v>
      </c>
      <c r="K90" s="39">
        <f>DefaultValues!$B$2</f>
        <v>1440</v>
      </c>
      <c r="L90" s="1">
        <f>DefaultValues!$C$2</f>
        <v>1999</v>
      </c>
      <c r="M90" s="1" t="str">
        <f>DefaultValues!$D$2</f>
        <v xml:space="preserve">- Detour not possible - </v>
      </c>
      <c r="N90" s="1">
        <f>1000 - 9.48</f>
        <v>990.52</v>
      </c>
      <c r="O90" s="1">
        <f>ABS(Table4[[#This Row],[EndMP]]-Table4[[#This Row],[StartMP]])</f>
        <v>4.2690000000000001</v>
      </c>
      <c r="P90" s="1" t="str">
        <f>IF( AND( Table4[[#This Row],[Route]]=ClosureLocation!$B$3, ClosureLocation!$B$6 &gt;= Table4[[#This Row],[StartMP]], ClosureLocation!$B$6 &lt;= Table4[[#This Row],[EndMP]]), "Yes", "")</f>
        <v/>
      </c>
      <c r="Q90" s="1" t="str">
        <f>IF( AND( Table4[[#This Row],[Route]]=ClosureLocation!$B$3, ClosureLocation!$B$6 &lt;= Table4[[#This Row],[StartMP]], ClosureLocation!$B$6 &gt;= Table4[[#This Row],[EndMP]]), "Yes", "")</f>
        <v/>
      </c>
      <c r="R90" s="1" t="str">
        <f>IF( OR( Table4[[#This Row],[PrimaryMatch]]="Yes", Table4[[#This Row],[SecondaryMatch]]="Yes"), "Yes", "")</f>
        <v/>
      </c>
    </row>
    <row r="91" spans="1:18" hidden="1" x14ac:dyDescent="0.25">
      <c r="A91" t="s">
        <v>1110</v>
      </c>
      <c r="B91" t="s">
        <v>3209</v>
      </c>
      <c r="C91" t="s">
        <v>3210</v>
      </c>
      <c r="D91" t="s">
        <v>4850</v>
      </c>
      <c r="E91" s="1">
        <v>5.2110000000000003</v>
      </c>
      <c r="F91" s="1">
        <v>4.7309999999999999</v>
      </c>
      <c r="K91" s="39">
        <f>DefaultValues!$B$2</f>
        <v>1440</v>
      </c>
      <c r="L91" s="1">
        <f>DefaultValues!$C$2</f>
        <v>1999</v>
      </c>
      <c r="M91" s="1" t="str">
        <f>DefaultValues!$D$2</f>
        <v xml:space="preserve">- Detour not possible - </v>
      </c>
      <c r="N91" s="1">
        <f>1000 - 5.211</f>
        <v>994.78899999999999</v>
      </c>
      <c r="O91" s="1">
        <f>ABS(Table4[[#This Row],[EndMP]]-Table4[[#This Row],[StartMP]])</f>
        <v>0.48000000000000043</v>
      </c>
      <c r="P91" s="1" t="str">
        <f>IF( AND( Table4[[#This Row],[Route]]=ClosureLocation!$B$3, ClosureLocation!$B$6 &gt;= Table4[[#This Row],[StartMP]], ClosureLocation!$B$6 &lt;= Table4[[#This Row],[EndMP]]), "Yes", "")</f>
        <v/>
      </c>
      <c r="Q91" s="1" t="str">
        <f>IF( AND( Table4[[#This Row],[Route]]=ClosureLocation!$B$3, ClosureLocation!$B$6 &lt;= Table4[[#This Row],[StartMP]], ClosureLocation!$B$6 &gt;= Table4[[#This Row],[EndMP]]), "Yes", "")</f>
        <v/>
      </c>
      <c r="R91" s="1" t="str">
        <f>IF( OR( Table4[[#This Row],[PrimaryMatch]]="Yes", Table4[[#This Row],[SecondaryMatch]]="Yes"), "Yes", "")</f>
        <v/>
      </c>
    </row>
    <row r="92" spans="1:18" hidden="1" x14ac:dyDescent="0.25">
      <c r="A92" t="s">
        <v>1114</v>
      </c>
      <c r="B92" t="s">
        <v>3205</v>
      </c>
      <c r="C92" t="s">
        <v>3206</v>
      </c>
      <c r="D92" t="s">
        <v>4851</v>
      </c>
      <c r="E92" s="1">
        <v>28.16</v>
      </c>
      <c r="F92" s="1">
        <v>32.628</v>
      </c>
      <c r="K92" s="39">
        <f>DefaultValues!$B$2</f>
        <v>1440</v>
      </c>
      <c r="L92" s="1">
        <f>DefaultValues!$C$2</f>
        <v>1999</v>
      </c>
      <c r="M92" s="1" t="str">
        <f>DefaultValues!$D$2</f>
        <v xml:space="preserve">- Detour not possible - </v>
      </c>
      <c r="N92" s="1">
        <v>28.16</v>
      </c>
      <c r="O92" s="1">
        <f>ABS(Table4[[#This Row],[EndMP]]-Table4[[#This Row],[StartMP]])</f>
        <v>4.468</v>
      </c>
      <c r="P92" s="1" t="str">
        <f>IF( AND( Table4[[#This Row],[Route]]=ClosureLocation!$B$3, ClosureLocation!$B$6 &gt;= Table4[[#This Row],[StartMP]], ClosureLocation!$B$6 &lt;= Table4[[#This Row],[EndMP]]), "Yes", "")</f>
        <v/>
      </c>
      <c r="Q92" s="1" t="str">
        <f>IF( AND( Table4[[#This Row],[Route]]=ClosureLocation!$B$3, ClosureLocation!$B$6 &lt;= Table4[[#This Row],[StartMP]], ClosureLocation!$B$6 &gt;= Table4[[#This Row],[EndMP]]), "Yes", "")</f>
        <v/>
      </c>
      <c r="R92" s="1" t="str">
        <f>IF( OR( Table4[[#This Row],[PrimaryMatch]]="Yes", Table4[[#This Row],[SecondaryMatch]]="Yes"), "Yes", "")</f>
        <v/>
      </c>
    </row>
    <row r="93" spans="1:18" hidden="1" x14ac:dyDescent="0.25">
      <c r="A93" t="s">
        <v>1114</v>
      </c>
      <c r="B93" t="s">
        <v>3209</v>
      </c>
      <c r="C93" t="s">
        <v>3210</v>
      </c>
      <c r="D93" t="s">
        <v>4852</v>
      </c>
      <c r="E93" s="1">
        <v>32.628</v>
      </c>
      <c r="F93" s="1">
        <v>28.16</v>
      </c>
      <c r="K93" s="39">
        <f>DefaultValues!$B$2</f>
        <v>1440</v>
      </c>
      <c r="L93" s="1">
        <f>DefaultValues!$C$2</f>
        <v>1999</v>
      </c>
      <c r="M93" s="1" t="str">
        <f>DefaultValues!$D$2</f>
        <v xml:space="preserve">- Detour not possible - </v>
      </c>
      <c r="N93" s="1">
        <f>1000 - 32.628</f>
        <v>967.37199999999996</v>
      </c>
      <c r="O93" s="1">
        <f>ABS(Table4[[#This Row],[EndMP]]-Table4[[#This Row],[StartMP]])</f>
        <v>4.468</v>
      </c>
      <c r="P93" s="1" t="str">
        <f>IF( AND( Table4[[#This Row],[Route]]=ClosureLocation!$B$3, ClosureLocation!$B$6 &gt;= Table4[[#This Row],[StartMP]], ClosureLocation!$B$6 &lt;= Table4[[#This Row],[EndMP]]), "Yes", "")</f>
        <v/>
      </c>
      <c r="Q93" s="1" t="str">
        <f>IF( AND( Table4[[#This Row],[Route]]=ClosureLocation!$B$3, ClosureLocation!$B$6 &lt;= Table4[[#This Row],[StartMP]], ClosureLocation!$B$6 &gt;= Table4[[#This Row],[EndMP]]), "Yes", "")</f>
        <v/>
      </c>
      <c r="R93" s="1" t="str">
        <f>IF( OR( Table4[[#This Row],[PrimaryMatch]]="Yes", Table4[[#This Row],[SecondaryMatch]]="Yes"), "Yes", "")</f>
        <v/>
      </c>
    </row>
    <row r="94" spans="1:18" hidden="1" x14ac:dyDescent="0.25">
      <c r="A94" t="s">
        <v>1117</v>
      </c>
      <c r="B94" t="s">
        <v>3205</v>
      </c>
      <c r="C94" t="s">
        <v>3206</v>
      </c>
      <c r="D94" t="s">
        <v>3989</v>
      </c>
      <c r="E94" s="1">
        <v>63.255000000000003</v>
      </c>
      <c r="F94" s="1">
        <v>65.326999999999998</v>
      </c>
      <c r="K94" s="39">
        <f>DefaultValues!$B$2</f>
        <v>1440</v>
      </c>
      <c r="L94" s="1">
        <f>DefaultValues!$C$2</f>
        <v>1999</v>
      </c>
      <c r="M94" s="1" t="str">
        <f>DefaultValues!$D$2</f>
        <v xml:space="preserve">- Detour not possible - </v>
      </c>
      <c r="N94" s="1">
        <v>63.255000000000003</v>
      </c>
      <c r="O94" s="1">
        <f>ABS(Table4[[#This Row],[EndMP]]-Table4[[#This Row],[StartMP]])</f>
        <v>2.0719999999999956</v>
      </c>
      <c r="P94" s="1" t="str">
        <f>IF( AND( Table4[[#This Row],[Route]]=ClosureLocation!$B$3, ClosureLocation!$B$6 &gt;= Table4[[#This Row],[StartMP]], ClosureLocation!$B$6 &lt;= Table4[[#This Row],[EndMP]]), "Yes", "")</f>
        <v/>
      </c>
      <c r="Q94" s="1" t="str">
        <f>IF( AND( Table4[[#This Row],[Route]]=ClosureLocation!$B$3, ClosureLocation!$B$6 &lt;= Table4[[#This Row],[StartMP]], ClosureLocation!$B$6 &gt;= Table4[[#This Row],[EndMP]]), "Yes", "")</f>
        <v/>
      </c>
      <c r="R94" s="1" t="str">
        <f>IF( OR( Table4[[#This Row],[PrimaryMatch]]="Yes", Table4[[#This Row],[SecondaryMatch]]="Yes"), "Yes", "")</f>
        <v/>
      </c>
    </row>
    <row r="95" spans="1:18" hidden="1" x14ac:dyDescent="0.25">
      <c r="A95" t="s">
        <v>1117</v>
      </c>
      <c r="B95" t="s">
        <v>3209</v>
      </c>
      <c r="C95" t="s">
        <v>3210</v>
      </c>
      <c r="D95" t="s">
        <v>3992</v>
      </c>
      <c r="E95" s="1">
        <v>65.326999999999998</v>
      </c>
      <c r="F95" s="1">
        <v>63.255000000000003</v>
      </c>
      <c r="K95" s="39">
        <f>DefaultValues!$B$2</f>
        <v>1440</v>
      </c>
      <c r="L95" s="1">
        <f>DefaultValues!$C$2</f>
        <v>1999</v>
      </c>
      <c r="M95" s="1" t="str">
        <f>DefaultValues!$D$2</f>
        <v xml:space="preserve">- Detour not possible - </v>
      </c>
      <c r="N95" s="1">
        <f>1000 - 65.327</f>
        <v>934.673</v>
      </c>
      <c r="O95" s="1">
        <f>ABS(Table4[[#This Row],[EndMP]]-Table4[[#This Row],[StartMP]])</f>
        <v>2.0719999999999956</v>
      </c>
      <c r="P95" s="1" t="str">
        <f>IF( AND( Table4[[#This Row],[Route]]=ClosureLocation!$B$3, ClosureLocation!$B$6 &gt;= Table4[[#This Row],[StartMP]], ClosureLocation!$B$6 &lt;= Table4[[#This Row],[EndMP]]), "Yes", "")</f>
        <v/>
      </c>
      <c r="Q95" s="1" t="str">
        <f>IF( AND( Table4[[#This Row],[Route]]=ClosureLocation!$B$3, ClosureLocation!$B$6 &lt;= Table4[[#This Row],[StartMP]], ClosureLocation!$B$6 &gt;= Table4[[#This Row],[EndMP]]), "Yes", "")</f>
        <v/>
      </c>
      <c r="R95" s="1" t="str">
        <f>IF( OR( Table4[[#This Row],[PrimaryMatch]]="Yes", Table4[[#This Row],[SecondaryMatch]]="Yes"), "Yes", "")</f>
        <v/>
      </c>
    </row>
    <row r="96" spans="1:18" hidden="1" x14ac:dyDescent="0.25">
      <c r="A96" t="s">
        <v>1126</v>
      </c>
      <c r="B96" t="s">
        <v>3205</v>
      </c>
      <c r="C96" t="s">
        <v>3206</v>
      </c>
      <c r="D96" t="s">
        <v>4853</v>
      </c>
      <c r="E96" s="1">
        <v>0</v>
      </c>
      <c r="F96" s="1">
        <v>0.14000000000000001</v>
      </c>
      <c r="K96" s="39">
        <f>DefaultValues!$B$2</f>
        <v>1440</v>
      </c>
      <c r="L96" s="1">
        <f>DefaultValues!$C$2</f>
        <v>1999</v>
      </c>
      <c r="M96" s="1" t="str">
        <f>DefaultValues!$D$2</f>
        <v xml:space="preserve">- Detour not possible - </v>
      </c>
      <c r="N96" s="1">
        <v>0</v>
      </c>
      <c r="O96" s="1">
        <f>ABS(Table4[[#This Row],[EndMP]]-Table4[[#This Row],[StartMP]])</f>
        <v>0.14000000000000001</v>
      </c>
      <c r="P96" s="1" t="str">
        <f>IF( AND( Table4[[#This Row],[Route]]=ClosureLocation!$B$3, ClosureLocation!$B$6 &gt;= Table4[[#This Row],[StartMP]], ClosureLocation!$B$6 &lt;= Table4[[#This Row],[EndMP]]), "Yes", "")</f>
        <v/>
      </c>
      <c r="Q96" s="1" t="str">
        <f>IF( AND( Table4[[#This Row],[Route]]=ClosureLocation!$B$3, ClosureLocation!$B$6 &lt;= Table4[[#This Row],[StartMP]], ClosureLocation!$B$6 &gt;= Table4[[#This Row],[EndMP]]), "Yes", "")</f>
        <v/>
      </c>
      <c r="R96" s="1" t="str">
        <f>IF( OR( Table4[[#This Row],[PrimaryMatch]]="Yes", Table4[[#This Row],[SecondaryMatch]]="Yes"), "Yes", "")</f>
        <v/>
      </c>
    </row>
    <row r="97" spans="1:18" hidden="1" x14ac:dyDescent="0.25">
      <c r="A97" t="s">
        <v>1126</v>
      </c>
      <c r="B97" t="s">
        <v>3209</v>
      </c>
      <c r="C97" t="s">
        <v>3210</v>
      </c>
      <c r="D97" t="s">
        <v>4854</v>
      </c>
      <c r="E97" s="1">
        <v>0.14000000000000001</v>
      </c>
      <c r="F97" s="1">
        <v>0</v>
      </c>
      <c r="K97" s="39">
        <f>DefaultValues!$B$2</f>
        <v>1440</v>
      </c>
      <c r="L97" s="1">
        <f>DefaultValues!$C$2</f>
        <v>1999</v>
      </c>
      <c r="M97" s="1" t="str">
        <f>DefaultValues!$D$2</f>
        <v xml:space="preserve">- Detour not possible - </v>
      </c>
      <c r="N97" s="1">
        <f>1000 - 0.14</f>
        <v>999.86</v>
      </c>
      <c r="O97" s="1">
        <f>ABS(Table4[[#This Row],[EndMP]]-Table4[[#This Row],[StartMP]])</f>
        <v>0.14000000000000001</v>
      </c>
      <c r="P97" s="1" t="str">
        <f>IF( AND( Table4[[#This Row],[Route]]=ClosureLocation!$B$3, ClosureLocation!$B$6 &gt;= Table4[[#This Row],[StartMP]], ClosureLocation!$B$6 &lt;= Table4[[#This Row],[EndMP]]), "Yes", "")</f>
        <v/>
      </c>
      <c r="Q97" s="1" t="str">
        <f>IF( AND( Table4[[#This Row],[Route]]=ClosureLocation!$B$3, ClosureLocation!$B$6 &lt;= Table4[[#This Row],[StartMP]], ClosureLocation!$B$6 &gt;= Table4[[#This Row],[EndMP]]), "Yes", "")</f>
        <v/>
      </c>
      <c r="R97" s="1" t="str">
        <f>IF( OR( Table4[[#This Row],[PrimaryMatch]]="Yes", Table4[[#This Row],[SecondaryMatch]]="Yes"), "Yes", "")</f>
        <v/>
      </c>
    </row>
    <row r="98" spans="1:18" hidden="1" x14ac:dyDescent="0.25">
      <c r="A98" t="s">
        <v>1155</v>
      </c>
      <c r="B98" t="s">
        <v>3205</v>
      </c>
      <c r="C98" t="s">
        <v>3222</v>
      </c>
      <c r="D98" t="s">
        <v>4014</v>
      </c>
      <c r="E98" s="1">
        <v>27</v>
      </c>
      <c r="F98" s="1">
        <v>32.322000000000003</v>
      </c>
      <c r="K98" s="39">
        <f>DefaultValues!$B$2</f>
        <v>1440</v>
      </c>
      <c r="L98" s="1">
        <f>DefaultValues!$C$2</f>
        <v>1999</v>
      </c>
      <c r="M98" s="1" t="str">
        <f>DefaultValues!$D$2</f>
        <v xml:space="preserve">- Detour not possible - </v>
      </c>
      <c r="N98" s="1">
        <v>27</v>
      </c>
      <c r="O98" s="1">
        <f>ABS(Table4[[#This Row],[EndMP]]-Table4[[#This Row],[StartMP]])</f>
        <v>5.3220000000000027</v>
      </c>
      <c r="P98" s="1" t="str">
        <f>IF( AND( Table4[[#This Row],[Route]]=ClosureLocation!$B$3, ClosureLocation!$B$6 &gt;= Table4[[#This Row],[StartMP]], ClosureLocation!$B$6 &lt;= Table4[[#This Row],[EndMP]]), "Yes", "")</f>
        <v/>
      </c>
      <c r="Q98" s="1" t="str">
        <f>IF( AND( Table4[[#This Row],[Route]]=ClosureLocation!$B$3, ClosureLocation!$B$6 &lt;= Table4[[#This Row],[StartMP]], ClosureLocation!$B$6 &gt;= Table4[[#This Row],[EndMP]]), "Yes", "")</f>
        <v/>
      </c>
      <c r="R98" s="1" t="str">
        <f>IF( OR( Table4[[#This Row],[PrimaryMatch]]="Yes", Table4[[#This Row],[SecondaryMatch]]="Yes"), "Yes", "")</f>
        <v/>
      </c>
    </row>
    <row r="99" spans="1:18" hidden="1" x14ac:dyDescent="0.25">
      <c r="A99" t="s">
        <v>1155</v>
      </c>
      <c r="B99" t="s">
        <v>3209</v>
      </c>
      <c r="C99" t="s">
        <v>3226</v>
      </c>
      <c r="D99" t="s">
        <v>4016</v>
      </c>
      <c r="E99" s="1">
        <v>32.322000000000003</v>
      </c>
      <c r="F99" s="1">
        <v>27</v>
      </c>
      <c r="K99" s="39">
        <f>DefaultValues!$B$2</f>
        <v>1440</v>
      </c>
      <c r="L99" s="1">
        <f>DefaultValues!$C$2</f>
        <v>1999</v>
      </c>
      <c r="M99" s="1" t="str">
        <f>DefaultValues!$D$2</f>
        <v xml:space="preserve">- Detour not possible - </v>
      </c>
      <c r="N99" s="1">
        <f>1000 - 32.322</f>
        <v>967.678</v>
      </c>
      <c r="O99" s="1">
        <f>ABS(Table4[[#This Row],[EndMP]]-Table4[[#This Row],[StartMP]])</f>
        <v>5.3220000000000027</v>
      </c>
      <c r="P99" s="1" t="str">
        <f>IF( AND( Table4[[#This Row],[Route]]=ClosureLocation!$B$3, ClosureLocation!$B$6 &gt;= Table4[[#This Row],[StartMP]], ClosureLocation!$B$6 &lt;= Table4[[#This Row],[EndMP]]), "Yes", "")</f>
        <v/>
      </c>
      <c r="Q99" s="1" t="str">
        <f>IF( AND( Table4[[#This Row],[Route]]=ClosureLocation!$B$3, ClosureLocation!$B$6 &lt;= Table4[[#This Row],[StartMP]], ClosureLocation!$B$6 &gt;= Table4[[#This Row],[EndMP]]), "Yes", "")</f>
        <v/>
      </c>
      <c r="R99" s="1" t="str">
        <f>IF( OR( Table4[[#This Row],[PrimaryMatch]]="Yes", Table4[[#This Row],[SecondaryMatch]]="Yes"), "Yes", "")</f>
        <v/>
      </c>
    </row>
    <row r="100" spans="1:18" hidden="1" x14ac:dyDescent="0.25">
      <c r="A100" t="s">
        <v>1185</v>
      </c>
      <c r="B100" t="s">
        <v>3205</v>
      </c>
      <c r="C100" t="s">
        <v>3206</v>
      </c>
      <c r="D100" t="s">
        <v>4679</v>
      </c>
      <c r="E100" s="1">
        <v>0</v>
      </c>
      <c r="F100" s="1">
        <v>4.4130000000000003</v>
      </c>
      <c r="K100" s="39">
        <f>DefaultValues!$B$2</f>
        <v>1440</v>
      </c>
      <c r="L100" s="1">
        <f>DefaultValues!$C$2</f>
        <v>1999</v>
      </c>
      <c r="M100" s="1" t="str">
        <f>DefaultValues!$D$2</f>
        <v xml:space="preserve">- Detour not possible - </v>
      </c>
      <c r="N100" s="1">
        <v>0</v>
      </c>
      <c r="O100" s="1">
        <f>ABS(Table4[[#This Row],[EndMP]]-Table4[[#This Row],[StartMP]])</f>
        <v>4.4130000000000003</v>
      </c>
      <c r="P100" s="1" t="str">
        <f>IF( AND( Table4[[#This Row],[Route]]=ClosureLocation!$B$3, ClosureLocation!$B$6 &gt;= Table4[[#This Row],[StartMP]], ClosureLocation!$B$6 &lt;= Table4[[#This Row],[EndMP]]), "Yes", "")</f>
        <v/>
      </c>
      <c r="Q100" s="1" t="str">
        <f>IF( AND( Table4[[#This Row],[Route]]=ClosureLocation!$B$3, ClosureLocation!$B$6 &lt;= Table4[[#This Row],[StartMP]], ClosureLocation!$B$6 &gt;= Table4[[#This Row],[EndMP]]), "Yes", "")</f>
        <v/>
      </c>
      <c r="R100" s="1" t="str">
        <f>IF( OR( Table4[[#This Row],[PrimaryMatch]]="Yes", Table4[[#This Row],[SecondaryMatch]]="Yes"), "Yes", "")</f>
        <v/>
      </c>
    </row>
    <row r="101" spans="1:18" hidden="1" x14ac:dyDescent="0.25">
      <c r="A101" t="s">
        <v>1185</v>
      </c>
      <c r="B101" t="s">
        <v>3209</v>
      </c>
      <c r="C101" t="s">
        <v>3210</v>
      </c>
      <c r="D101" t="s">
        <v>4680</v>
      </c>
      <c r="E101" s="1">
        <v>4.4130000000000003</v>
      </c>
      <c r="F101" s="1">
        <v>0</v>
      </c>
      <c r="K101" s="39">
        <f>DefaultValues!$B$2</f>
        <v>1440</v>
      </c>
      <c r="L101" s="1">
        <f>DefaultValues!$C$2</f>
        <v>1999</v>
      </c>
      <c r="M101" s="1" t="str">
        <f>DefaultValues!$D$2</f>
        <v xml:space="preserve">- Detour not possible - </v>
      </c>
      <c r="N101" s="1">
        <f>1000 - 4.413</f>
        <v>995.58699999999999</v>
      </c>
      <c r="O101" s="1">
        <f>ABS(Table4[[#This Row],[EndMP]]-Table4[[#This Row],[StartMP]])</f>
        <v>4.4130000000000003</v>
      </c>
      <c r="P101" s="1" t="str">
        <f>IF( AND( Table4[[#This Row],[Route]]=ClosureLocation!$B$3, ClosureLocation!$B$6 &gt;= Table4[[#This Row],[StartMP]], ClosureLocation!$B$6 &lt;= Table4[[#This Row],[EndMP]]), "Yes", "")</f>
        <v/>
      </c>
      <c r="Q101" s="1" t="str">
        <f>IF( AND( Table4[[#This Row],[Route]]=ClosureLocation!$B$3, ClosureLocation!$B$6 &lt;= Table4[[#This Row],[StartMP]], ClosureLocation!$B$6 &gt;= Table4[[#This Row],[EndMP]]), "Yes", "")</f>
        <v/>
      </c>
      <c r="R101" s="1" t="str">
        <f>IF( OR( Table4[[#This Row],[PrimaryMatch]]="Yes", Table4[[#This Row],[SecondaryMatch]]="Yes"), "Yes", "")</f>
        <v/>
      </c>
    </row>
    <row r="102" spans="1:18" hidden="1" x14ac:dyDescent="0.25">
      <c r="A102" t="s">
        <v>1204</v>
      </c>
      <c r="B102" t="s">
        <v>3205</v>
      </c>
      <c r="C102" t="s">
        <v>3222</v>
      </c>
      <c r="D102" t="s">
        <v>4060</v>
      </c>
      <c r="E102" s="1">
        <v>7.9729999999999999</v>
      </c>
      <c r="F102" s="1">
        <v>8.6890000000000001</v>
      </c>
      <c r="K102" s="39">
        <f>DefaultValues!$B$2</f>
        <v>1440</v>
      </c>
      <c r="L102" s="1">
        <f>DefaultValues!$C$2</f>
        <v>1999</v>
      </c>
      <c r="M102" s="1" t="str">
        <f>DefaultValues!$D$2</f>
        <v xml:space="preserve">- Detour not possible - </v>
      </c>
      <c r="N102" s="1">
        <v>7.9729999999999999</v>
      </c>
      <c r="O102" s="1">
        <f>ABS(Table4[[#This Row],[EndMP]]-Table4[[#This Row],[StartMP]])</f>
        <v>0.71600000000000019</v>
      </c>
      <c r="P102" s="1" t="str">
        <f>IF( AND( Table4[[#This Row],[Route]]=ClosureLocation!$B$3, ClosureLocation!$B$6 &gt;= Table4[[#This Row],[StartMP]], ClosureLocation!$B$6 &lt;= Table4[[#This Row],[EndMP]]), "Yes", "")</f>
        <v/>
      </c>
      <c r="Q102" s="1" t="str">
        <f>IF( AND( Table4[[#This Row],[Route]]=ClosureLocation!$B$3, ClosureLocation!$B$6 &lt;= Table4[[#This Row],[StartMP]], ClosureLocation!$B$6 &gt;= Table4[[#This Row],[EndMP]]), "Yes", "")</f>
        <v/>
      </c>
      <c r="R102" s="1" t="str">
        <f>IF( OR( Table4[[#This Row],[PrimaryMatch]]="Yes", Table4[[#This Row],[SecondaryMatch]]="Yes"), "Yes", "")</f>
        <v/>
      </c>
    </row>
    <row r="103" spans="1:18" hidden="1" x14ac:dyDescent="0.25">
      <c r="A103" t="s">
        <v>1204</v>
      </c>
      <c r="B103" t="s">
        <v>3209</v>
      </c>
      <c r="C103" t="s">
        <v>3226</v>
      </c>
      <c r="D103" t="s">
        <v>4062</v>
      </c>
      <c r="E103" s="1">
        <v>8.6890000000000001</v>
      </c>
      <c r="F103" s="1">
        <v>7.9729999999999999</v>
      </c>
      <c r="K103" s="39">
        <f>DefaultValues!$B$2</f>
        <v>1440</v>
      </c>
      <c r="L103" s="1">
        <f>DefaultValues!$C$2</f>
        <v>1999</v>
      </c>
      <c r="M103" s="1" t="str">
        <f>DefaultValues!$D$2</f>
        <v xml:space="preserve">- Detour not possible - </v>
      </c>
      <c r="N103" s="1">
        <f>1000 - 8.689</f>
        <v>991.31100000000004</v>
      </c>
      <c r="O103" s="1">
        <f>ABS(Table4[[#This Row],[EndMP]]-Table4[[#This Row],[StartMP]])</f>
        <v>0.71600000000000019</v>
      </c>
      <c r="P103" s="1" t="str">
        <f>IF( AND( Table4[[#This Row],[Route]]=ClosureLocation!$B$3, ClosureLocation!$B$6 &gt;= Table4[[#This Row],[StartMP]], ClosureLocation!$B$6 &lt;= Table4[[#This Row],[EndMP]]), "Yes", "")</f>
        <v/>
      </c>
      <c r="Q103" s="1" t="str">
        <f>IF( AND( Table4[[#This Row],[Route]]=ClosureLocation!$B$3, ClosureLocation!$B$6 &lt;= Table4[[#This Row],[StartMP]], ClosureLocation!$B$6 &gt;= Table4[[#This Row],[EndMP]]), "Yes", "")</f>
        <v/>
      </c>
      <c r="R103" s="1" t="str">
        <f>IF( OR( Table4[[#This Row],[PrimaryMatch]]="Yes", Table4[[#This Row],[SecondaryMatch]]="Yes"), "Yes", "")</f>
        <v/>
      </c>
    </row>
    <row r="104" spans="1:18" hidden="1" x14ac:dyDescent="0.25">
      <c r="A104" t="s">
        <v>1230</v>
      </c>
      <c r="B104" t="s">
        <v>3205</v>
      </c>
      <c r="C104" t="s">
        <v>3206</v>
      </c>
      <c r="D104" t="s">
        <v>4855</v>
      </c>
      <c r="E104" s="1">
        <v>0</v>
      </c>
      <c r="F104" s="1">
        <v>27.484000000000002</v>
      </c>
      <c r="K104" s="39">
        <f>DefaultValues!$B$2</f>
        <v>1440</v>
      </c>
      <c r="L104" s="1">
        <f>DefaultValues!$C$2</f>
        <v>1999</v>
      </c>
      <c r="M104" s="1" t="str">
        <f>DefaultValues!$D$2</f>
        <v xml:space="preserve">- Detour not possible - </v>
      </c>
      <c r="N104" s="1">
        <v>0</v>
      </c>
      <c r="O104" s="1">
        <f>ABS(Table4[[#This Row],[EndMP]]-Table4[[#This Row],[StartMP]])</f>
        <v>27.484000000000002</v>
      </c>
      <c r="P104" s="1" t="str">
        <f>IF( AND( Table4[[#This Row],[Route]]=ClosureLocation!$B$3, ClosureLocation!$B$6 &gt;= Table4[[#This Row],[StartMP]], ClosureLocation!$B$6 &lt;= Table4[[#This Row],[EndMP]]), "Yes", "")</f>
        <v/>
      </c>
      <c r="Q104" s="1" t="str">
        <f>IF( AND( Table4[[#This Row],[Route]]=ClosureLocation!$B$3, ClosureLocation!$B$6 &lt;= Table4[[#This Row],[StartMP]], ClosureLocation!$B$6 &gt;= Table4[[#This Row],[EndMP]]), "Yes", "")</f>
        <v/>
      </c>
      <c r="R104" s="1" t="str">
        <f>IF( OR( Table4[[#This Row],[PrimaryMatch]]="Yes", Table4[[#This Row],[SecondaryMatch]]="Yes"), "Yes", "")</f>
        <v/>
      </c>
    </row>
    <row r="105" spans="1:18" hidden="1" x14ac:dyDescent="0.25">
      <c r="A105" t="s">
        <v>1230</v>
      </c>
      <c r="B105" t="s">
        <v>3209</v>
      </c>
      <c r="C105" t="s">
        <v>3210</v>
      </c>
      <c r="D105" t="s">
        <v>4856</v>
      </c>
      <c r="E105" s="1">
        <v>27.484000000000002</v>
      </c>
      <c r="F105" s="1">
        <v>0</v>
      </c>
      <c r="K105" s="39">
        <f>DefaultValues!$B$2</f>
        <v>1440</v>
      </c>
      <c r="L105" s="1">
        <f>DefaultValues!$C$2</f>
        <v>1999</v>
      </c>
      <c r="M105" s="1" t="str">
        <f>DefaultValues!$D$2</f>
        <v xml:space="preserve">- Detour not possible - </v>
      </c>
      <c r="N105" s="1">
        <f>1000 - 27.484</f>
        <v>972.51599999999996</v>
      </c>
      <c r="O105" s="1">
        <f>ABS(Table4[[#This Row],[EndMP]]-Table4[[#This Row],[StartMP]])</f>
        <v>27.484000000000002</v>
      </c>
      <c r="P105" s="1" t="str">
        <f>IF( AND( Table4[[#This Row],[Route]]=ClosureLocation!$B$3, ClosureLocation!$B$6 &gt;= Table4[[#This Row],[StartMP]], ClosureLocation!$B$6 &lt;= Table4[[#This Row],[EndMP]]), "Yes", "")</f>
        <v/>
      </c>
      <c r="Q105" s="1" t="str">
        <f>IF( AND( Table4[[#This Row],[Route]]=ClosureLocation!$B$3, ClosureLocation!$B$6 &lt;= Table4[[#This Row],[StartMP]], ClosureLocation!$B$6 &gt;= Table4[[#This Row],[EndMP]]), "Yes", "")</f>
        <v/>
      </c>
      <c r="R105" s="1" t="str">
        <f>IF( OR( Table4[[#This Row],[PrimaryMatch]]="Yes", Table4[[#This Row],[SecondaryMatch]]="Yes"), "Yes", "")</f>
        <v/>
      </c>
    </row>
    <row r="106" spans="1:18" hidden="1" x14ac:dyDescent="0.25">
      <c r="A106" t="s">
        <v>1234</v>
      </c>
      <c r="B106" t="s">
        <v>3205</v>
      </c>
      <c r="C106" t="s">
        <v>3222</v>
      </c>
      <c r="D106" t="s">
        <v>4857</v>
      </c>
      <c r="E106" s="1">
        <v>0</v>
      </c>
      <c r="F106" s="1">
        <v>4.4690000000000003</v>
      </c>
      <c r="K106" s="39">
        <f>DefaultValues!$B$2</f>
        <v>1440</v>
      </c>
      <c r="L106" s="1">
        <f>DefaultValues!$C$2</f>
        <v>1999</v>
      </c>
      <c r="M106" s="1" t="str">
        <f>DefaultValues!$D$2</f>
        <v xml:space="preserve">- Detour not possible - </v>
      </c>
      <c r="N106" s="1">
        <v>0</v>
      </c>
      <c r="O106" s="1">
        <f>ABS(Table4[[#This Row],[EndMP]]-Table4[[#This Row],[StartMP]])</f>
        <v>4.4690000000000003</v>
      </c>
      <c r="P106" s="1" t="str">
        <f>IF( AND( Table4[[#This Row],[Route]]=ClosureLocation!$B$3, ClosureLocation!$B$6 &gt;= Table4[[#This Row],[StartMP]], ClosureLocation!$B$6 &lt;= Table4[[#This Row],[EndMP]]), "Yes", "")</f>
        <v/>
      </c>
      <c r="Q106" s="1" t="str">
        <f>IF( AND( Table4[[#This Row],[Route]]=ClosureLocation!$B$3, ClosureLocation!$B$6 &lt;= Table4[[#This Row],[StartMP]], ClosureLocation!$B$6 &gt;= Table4[[#This Row],[EndMP]]), "Yes", "")</f>
        <v/>
      </c>
      <c r="R106" s="1" t="str">
        <f>IF( OR( Table4[[#This Row],[PrimaryMatch]]="Yes", Table4[[#This Row],[SecondaryMatch]]="Yes"), "Yes", "")</f>
        <v/>
      </c>
    </row>
    <row r="107" spans="1:18" hidden="1" x14ac:dyDescent="0.25">
      <c r="A107" t="s">
        <v>1234</v>
      </c>
      <c r="B107" t="s">
        <v>3209</v>
      </c>
      <c r="C107" t="s">
        <v>3226</v>
      </c>
      <c r="D107" t="s">
        <v>4858</v>
      </c>
      <c r="E107" s="1">
        <v>4.4690000000000003</v>
      </c>
      <c r="F107" s="1">
        <v>0</v>
      </c>
      <c r="K107" s="39">
        <f>DefaultValues!$B$2</f>
        <v>1440</v>
      </c>
      <c r="L107" s="1">
        <f>DefaultValues!$C$2</f>
        <v>1999</v>
      </c>
      <c r="M107" s="1" t="str">
        <f>DefaultValues!$D$2</f>
        <v xml:space="preserve">- Detour not possible - </v>
      </c>
      <c r="N107" s="1">
        <f>1000 - 4.469</f>
        <v>995.53099999999995</v>
      </c>
      <c r="O107" s="1">
        <f>ABS(Table4[[#This Row],[EndMP]]-Table4[[#This Row],[StartMP]])</f>
        <v>4.4690000000000003</v>
      </c>
      <c r="P107" s="1" t="str">
        <f>IF( AND( Table4[[#This Row],[Route]]=ClosureLocation!$B$3, ClosureLocation!$B$6 &gt;= Table4[[#This Row],[StartMP]], ClosureLocation!$B$6 &lt;= Table4[[#This Row],[EndMP]]), "Yes", "")</f>
        <v/>
      </c>
      <c r="Q107" s="1" t="str">
        <f>IF( AND( Table4[[#This Row],[Route]]=ClosureLocation!$B$3, ClosureLocation!$B$6 &lt;= Table4[[#This Row],[StartMP]], ClosureLocation!$B$6 &gt;= Table4[[#This Row],[EndMP]]), "Yes", "")</f>
        <v/>
      </c>
      <c r="R107" s="1" t="str">
        <f>IF( OR( Table4[[#This Row],[PrimaryMatch]]="Yes", Table4[[#This Row],[SecondaryMatch]]="Yes"), "Yes", "")</f>
        <v/>
      </c>
    </row>
    <row r="108" spans="1:18" hidden="1" x14ac:dyDescent="0.25">
      <c r="A108" t="s">
        <v>1298</v>
      </c>
      <c r="B108" t="s">
        <v>3205</v>
      </c>
      <c r="C108" t="s">
        <v>3206</v>
      </c>
      <c r="D108" t="s">
        <v>4859</v>
      </c>
      <c r="E108" s="1">
        <v>0</v>
      </c>
      <c r="F108" s="1">
        <v>16.114000000000001</v>
      </c>
      <c r="K108" s="39">
        <f>DefaultValues!$B$2</f>
        <v>1440</v>
      </c>
      <c r="L108" s="1">
        <f>DefaultValues!$C$2</f>
        <v>1999</v>
      </c>
      <c r="M108" s="1" t="str">
        <f>DefaultValues!$D$2</f>
        <v xml:space="preserve">- Detour not possible - </v>
      </c>
      <c r="N108" s="1">
        <v>0</v>
      </c>
      <c r="O108" s="1">
        <f>ABS(Table4[[#This Row],[EndMP]]-Table4[[#This Row],[StartMP]])</f>
        <v>16.114000000000001</v>
      </c>
      <c r="P108" s="1" t="str">
        <f>IF( AND( Table4[[#This Row],[Route]]=ClosureLocation!$B$3, ClosureLocation!$B$6 &gt;= Table4[[#This Row],[StartMP]], ClosureLocation!$B$6 &lt;= Table4[[#This Row],[EndMP]]), "Yes", "")</f>
        <v/>
      </c>
      <c r="Q108" s="1" t="str">
        <f>IF( AND( Table4[[#This Row],[Route]]=ClosureLocation!$B$3, ClosureLocation!$B$6 &lt;= Table4[[#This Row],[StartMP]], ClosureLocation!$B$6 &gt;= Table4[[#This Row],[EndMP]]), "Yes", "")</f>
        <v/>
      </c>
      <c r="R108" s="1" t="str">
        <f>IF( OR( Table4[[#This Row],[PrimaryMatch]]="Yes", Table4[[#This Row],[SecondaryMatch]]="Yes"), "Yes", "")</f>
        <v/>
      </c>
    </row>
    <row r="109" spans="1:18" hidden="1" x14ac:dyDescent="0.25">
      <c r="A109" t="s">
        <v>1298</v>
      </c>
      <c r="B109" t="s">
        <v>3209</v>
      </c>
      <c r="C109" t="s">
        <v>3210</v>
      </c>
      <c r="D109" t="s">
        <v>4860</v>
      </c>
      <c r="E109" s="1">
        <v>16.114000000000001</v>
      </c>
      <c r="F109" s="1">
        <v>0</v>
      </c>
      <c r="K109" s="39">
        <f>DefaultValues!$B$2</f>
        <v>1440</v>
      </c>
      <c r="L109" s="1">
        <f>DefaultValues!$C$2</f>
        <v>1999</v>
      </c>
      <c r="M109" s="1" t="str">
        <f>DefaultValues!$D$2</f>
        <v xml:space="preserve">- Detour not possible - </v>
      </c>
      <c r="N109" s="1">
        <f>1000 - 16.114</f>
        <v>983.88599999999997</v>
      </c>
      <c r="O109" s="1">
        <f>ABS(Table4[[#This Row],[EndMP]]-Table4[[#This Row],[StartMP]])</f>
        <v>16.114000000000001</v>
      </c>
      <c r="P109" s="1" t="str">
        <f>IF( AND( Table4[[#This Row],[Route]]=ClosureLocation!$B$3, ClosureLocation!$B$6 &gt;= Table4[[#This Row],[StartMP]], ClosureLocation!$B$6 &lt;= Table4[[#This Row],[EndMP]]), "Yes", "")</f>
        <v/>
      </c>
      <c r="Q109" s="1" t="str">
        <f>IF( AND( Table4[[#This Row],[Route]]=ClosureLocation!$B$3, ClosureLocation!$B$6 &lt;= Table4[[#This Row],[StartMP]], ClosureLocation!$B$6 &gt;= Table4[[#This Row],[EndMP]]), "Yes", "")</f>
        <v/>
      </c>
      <c r="R109" s="1" t="str">
        <f>IF( OR( Table4[[#This Row],[PrimaryMatch]]="Yes", Table4[[#This Row],[SecondaryMatch]]="Yes"), "Yes", "")</f>
        <v/>
      </c>
    </row>
    <row r="110" spans="1:18" hidden="1" x14ac:dyDescent="0.25">
      <c r="A110" t="s">
        <v>1380</v>
      </c>
      <c r="B110" t="s">
        <v>3205</v>
      </c>
      <c r="C110" t="s">
        <v>3210</v>
      </c>
      <c r="D110" t="s">
        <v>4166</v>
      </c>
      <c r="E110" s="1">
        <v>1.673</v>
      </c>
      <c r="F110" s="1">
        <v>4.8600000000000003</v>
      </c>
      <c r="K110" s="39">
        <f>DefaultValues!$B$2</f>
        <v>1440</v>
      </c>
      <c r="L110" s="1">
        <f>DefaultValues!$C$2</f>
        <v>1999</v>
      </c>
      <c r="M110" s="1" t="str">
        <f>DefaultValues!$D$2</f>
        <v xml:space="preserve">- Detour not possible - </v>
      </c>
      <c r="N110" s="1">
        <v>1.673</v>
      </c>
      <c r="O110" s="1">
        <f>ABS(Table4[[#This Row],[EndMP]]-Table4[[#This Row],[StartMP]])</f>
        <v>3.1870000000000003</v>
      </c>
      <c r="P110" s="1" t="str">
        <f>IF( AND( Table4[[#This Row],[Route]]=ClosureLocation!$B$3, ClosureLocation!$B$6 &gt;= Table4[[#This Row],[StartMP]], ClosureLocation!$B$6 &lt;= Table4[[#This Row],[EndMP]]), "Yes", "")</f>
        <v/>
      </c>
      <c r="Q110" s="1" t="str">
        <f>IF( AND( Table4[[#This Row],[Route]]=ClosureLocation!$B$3, ClosureLocation!$B$6 &lt;= Table4[[#This Row],[StartMP]], ClosureLocation!$B$6 &gt;= Table4[[#This Row],[EndMP]]), "Yes", "")</f>
        <v/>
      </c>
      <c r="R110" s="1" t="str">
        <f>IF( OR( Table4[[#This Row],[PrimaryMatch]]="Yes", Table4[[#This Row],[SecondaryMatch]]="Yes"), "Yes", "")</f>
        <v/>
      </c>
    </row>
    <row r="111" spans="1:18" hidden="1" x14ac:dyDescent="0.25">
      <c r="A111" t="s">
        <v>1380</v>
      </c>
      <c r="B111" t="s">
        <v>3209</v>
      </c>
      <c r="C111" t="s">
        <v>3206</v>
      </c>
      <c r="D111" t="s">
        <v>4165</v>
      </c>
      <c r="E111" s="1">
        <v>4.8600000000000003</v>
      </c>
      <c r="F111" s="1">
        <v>1.673</v>
      </c>
      <c r="K111" s="39">
        <f>DefaultValues!$B$2</f>
        <v>1440</v>
      </c>
      <c r="L111" s="1">
        <f>DefaultValues!$C$2</f>
        <v>1999</v>
      </c>
      <c r="M111" s="1" t="str">
        <f>DefaultValues!$D$2</f>
        <v xml:space="preserve">- Detour not possible - </v>
      </c>
      <c r="N111" s="1">
        <f>1000 - 4.86</f>
        <v>995.14</v>
      </c>
      <c r="O111" s="1">
        <f>ABS(Table4[[#This Row],[EndMP]]-Table4[[#This Row],[StartMP]])</f>
        <v>3.1870000000000003</v>
      </c>
      <c r="P111" s="1" t="str">
        <f>IF( AND( Table4[[#This Row],[Route]]=ClosureLocation!$B$3, ClosureLocation!$B$6 &gt;= Table4[[#This Row],[StartMP]], ClosureLocation!$B$6 &lt;= Table4[[#This Row],[EndMP]]), "Yes", "")</f>
        <v/>
      </c>
      <c r="Q111" s="1" t="str">
        <f>IF( AND( Table4[[#This Row],[Route]]=ClosureLocation!$B$3, ClosureLocation!$B$6 &lt;= Table4[[#This Row],[StartMP]], ClosureLocation!$B$6 &gt;= Table4[[#This Row],[EndMP]]), "Yes", "")</f>
        <v/>
      </c>
      <c r="R111" s="1" t="str">
        <f>IF( OR( Table4[[#This Row],[PrimaryMatch]]="Yes", Table4[[#This Row],[SecondaryMatch]]="Yes"), "Yes", "")</f>
        <v/>
      </c>
    </row>
    <row r="112" spans="1:18" hidden="1" x14ac:dyDescent="0.25">
      <c r="A112" t="s">
        <v>1383</v>
      </c>
      <c r="B112" t="s">
        <v>3205</v>
      </c>
      <c r="C112" t="s">
        <v>3222</v>
      </c>
      <c r="D112" t="s">
        <v>4167</v>
      </c>
      <c r="E112" s="1">
        <v>0</v>
      </c>
      <c r="F112" s="1">
        <v>2.7250000000000001</v>
      </c>
      <c r="K112" s="39">
        <f>DefaultValues!$B$2</f>
        <v>1440</v>
      </c>
      <c r="L112" s="1">
        <f>DefaultValues!$C$2</f>
        <v>1999</v>
      </c>
      <c r="M112" s="1" t="str">
        <f>DefaultValues!$D$2</f>
        <v xml:space="preserve">- Detour not possible - </v>
      </c>
      <c r="N112" s="1">
        <v>0</v>
      </c>
      <c r="O112" s="1">
        <f>ABS(Table4[[#This Row],[EndMP]]-Table4[[#This Row],[StartMP]])</f>
        <v>2.7250000000000001</v>
      </c>
      <c r="P112" s="1" t="str">
        <f>IF( AND( Table4[[#This Row],[Route]]=ClosureLocation!$B$3, ClosureLocation!$B$6 &gt;= Table4[[#This Row],[StartMP]], ClosureLocation!$B$6 &lt;= Table4[[#This Row],[EndMP]]), "Yes", "")</f>
        <v/>
      </c>
      <c r="Q112" s="1" t="str">
        <f>IF( AND( Table4[[#This Row],[Route]]=ClosureLocation!$B$3, ClosureLocation!$B$6 &lt;= Table4[[#This Row],[StartMP]], ClosureLocation!$B$6 &gt;= Table4[[#This Row],[EndMP]]), "Yes", "")</f>
        <v/>
      </c>
      <c r="R112" s="1" t="str">
        <f>IF( OR( Table4[[#This Row],[PrimaryMatch]]="Yes", Table4[[#This Row],[SecondaryMatch]]="Yes"), "Yes", "")</f>
        <v/>
      </c>
    </row>
    <row r="113" spans="1:18" hidden="1" x14ac:dyDescent="0.25">
      <c r="A113" t="s">
        <v>1383</v>
      </c>
      <c r="B113" t="s">
        <v>3209</v>
      </c>
      <c r="C113" t="s">
        <v>3226</v>
      </c>
      <c r="D113" t="s">
        <v>4168</v>
      </c>
      <c r="E113" s="1">
        <v>2.7250000000000001</v>
      </c>
      <c r="F113" s="1">
        <v>0</v>
      </c>
      <c r="K113" s="39">
        <f>DefaultValues!$B$2</f>
        <v>1440</v>
      </c>
      <c r="L113" s="1">
        <f>DefaultValues!$C$2</f>
        <v>1999</v>
      </c>
      <c r="M113" s="1" t="str">
        <f>DefaultValues!$D$2</f>
        <v xml:space="preserve">- Detour not possible - </v>
      </c>
      <c r="N113" s="1">
        <f>1000 - 2.725</f>
        <v>997.27499999999998</v>
      </c>
      <c r="O113" s="1">
        <f>ABS(Table4[[#This Row],[EndMP]]-Table4[[#This Row],[StartMP]])</f>
        <v>2.7250000000000001</v>
      </c>
      <c r="P113" s="1" t="str">
        <f>IF( AND( Table4[[#This Row],[Route]]=ClosureLocation!$B$3, ClosureLocation!$B$6 &gt;= Table4[[#This Row],[StartMP]], ClosureLocation!$B$6 &lt;= Table4[[#This Row],[EndMP]]), "Yes", "")</f>
        <v/>
      </c>
      <c r="Q113" s="1" t="str">
        <f>IF( AND( Table4[[#This Row],[Route]]=ClosureLocation!$B$3, ClosureLocation!$B$6 &lt;= Table4[[#This Row],[StartMP]], ClosureLocation!$B$6 &gt;= Table4[[#This Row],[EndMP]]), "Yes", "")</f>
        <v/>
      </c>
      <c r="R113" s="1" t="str">
        <f>IF( OR( Table4[[#This Row],[PrimaryMatch]]="Yes", Table4[[#This Row],[SecondaryMatch]]="Yes"), "Yes", "")</f>
        <v/>
      </c>
    </row>
    <row r="114" spans="1:18" hidden="1" x14ac:dyDescent="0.25">
      <c r="A114" t="s">
        <v>1394</v>
      </c>
      <c r="B114" t="s">
        <v>3205</v>
      </c>
      <c r="C114" t="s">
        <v>3210</v>
      </c>
      <c r="D114" t="s">
        <v>4861</v>
      </c>
      <c r="E114" s="1">
        <v>0</v>
      </c>
      <c r="F114" s="1">
        <v>1</v>
      </c>
      <c r="K114" s="39">
        <f>DefaultValues!$B$2</f>
        <v>1440</v>
      </c>
      <c r="L114" s="1">
        <f>DefaultValues!$C$2</f>
        <v>1999</v>
      </c>
      <c r="M114" s="1" t="str">
        <f>DefaultValues!$D$2</f>
        <v xml:space="preserve">- Detour not possible - </v>
      </c>
      <c r="N114" s="1">
        <v>0</v>
      </c>
      <c r="O114" s="1">
        <f>ABS(Table4[[#This Row],[EndMP]]-Table4[[#This Row],[StartMP]])</f>
        <v>1</v>
      </c>
      <c r="P114" s="1" t="str">
        <f>IF( AND( Table4[[#This Row],[Route]]=ClosureLocation!$B$3, ClosureLocation!$B$6 &gt;= Table4[[#This Row],[StartMP]], ClosureLocation!$B$6 &lt;= Table4[[#This Row],[EndMP]]), "Yes", "")</f>
        <v/>
      </c>
      <c r="Q114" s="1" t="str">
        <f>IF( AND( Table4[[#This Row],[Route]]=ClosureLocation!$B$3, ClosureLocation!$B$6 &lt;= Table4[[#This Row],[StartMP]], ClosureLocation!$B$6 &gt;= Table4[[#This Row],[EndMP]]), "Yes", "")</f>
        <v/>
      </c>
      <c r="R114" s="1" t="str">
        <f>IF( OR( Table4[[#This Row],[PrimaryMatch]]="Yes", Table4[[#This Row],[SecondaryMatch]]="Yes"), "Yes", "")</f>
        <v/>
      </c>
    </row>
    <row r="115" spans="1:18" hidden="1" x14ac:dyDescent="0.25">
      <c r="A115" t="s">
        <v>1394</v>
      </c>
      <c r="B115" t="s">
        <v>3209</v>
      </c>
      <c r="C115" t="s">
        <v>3206</v>
      </c>
      <c r="D115" t="s">
        <v>4862</v>
      </c>
      <c r="E115" s="1">
        <v>1</v>
      </c>
      <c r="F115" s="1">
        <v>0</v>
      </c>
      <c r="K115" s="39">
        <f>DefaultValues!$B$2</f>
        <v>1440</v>
      </c>
      <c r="L115" s="1">
        <f>DefaultValues!$C$2</f>
        <v>1999</v>
      </c>
      <c r="M115" s="1" t="str">
        <f>DefaultValues!$D$2</f>
        <v xml:space="preserve">- Detour not possible - </v>
      </c>
      <c r="N115" s="1">
        <v>999</v>
      </c>
      <c r="O115" s="1">
        <f>ABS(Table4[[#This Row],[EndMP]]-Table4[[#This Row],[StartMP]])</f>
        <v>1</v>
      </c>
      <c r="P115" s="1" t="str">
        <f>IF( AND( Table4[[#This Row],[Route]]=ClosureLocation!$B$3, ClosureLocation!$B$6 &gt;= Table4[[#This Row],[StartMP]], ClosureLocation!$B$6 &lt;= Table4[[#This Row],[EndMP]]), "Yes", "")</f>
        <v/>
      </c>
      <c r="Q115" s="1" t="str">
        <f>IF( AND( Table4[[#This Row],[Route]]=ClosureLocation!$B$3, ClosureLocation!$B$6 &lt;= Table4[[#This Row],[StartMP]], ClosureLocation!$B$6 &gt;= Table4[[#This Row],[EndMP]]), "Yes", "")</f>
        <v/>
      </c>
      <c r="R115" s="1" t="str">
        <f>IF( OR( Table4[[#This Row],[PrimaryMatch]]="Yes", Table4[[#This Row],[SecondaryMatch]]="Yes"), "Yes", "")</f>
        <v/>
      </c>
    </row>
    <row r="116" spans="1:18" hidden="1" x14ac:dyDescent="0.25">
      <c r="A116" t="s">
        <v>1414</v>
      </c>
      <c r="B116" t="s">
        <v>3205</v>
      </c>
      <c r="C116" t="s">
        <v>3226</v>
      </c>
      <c r="D116" t="s">
        <v>4190</v>
      </c>
      <c r="E116" s="1">
        <v>0.11</v>
      </c>
      <c r="F116" s="1">
        <v>3.2280000000000002</v>
      </c>
      <c r="K116" s="39">
        <f>DefaultValues!$B$2</f>
        <v>1440</v>
      </c>
      <c r="L116" s="1">
        <f>DefaultValues!$C$2</f>
        <v>1999</v>
      </c>
      <c r="M116" s="1" t="str">
        <f>DefaultValues!$D$2</f>
        <v xml:space="preserve">- Detour not possible - </v>
      </c>
      <c r="N116" s="1">
        <v>0.11</v>
      </c>
      <c r="O116" s="1">
        <f>ABS(Table4[[#This Row],[EndMP]]-Table4[[#This Row],[StartMP]])</f>
        <v>3.1180000000000003</v>
      </c>
      <c r="P116" s="1" t="str">
        <f>IF( AND( Table4[[#This Row],[Route]]=ClosureLocation!$B$3, ClosureLocation!$B$6 &gt;= Table4[[#This Row],[StartMP]], ClosureLocation!$B$6 &lt;= Table4[[#This Row],[EndMP]]), "Yes", "")</f>
        <v/>
      </c>
      <c r="Q116" s="1" t="str">
        <f>IF( AND( Table4[[#This Row],[Route]]=ClosureLocation!$B$3, ClosureLocation!$B$6 &lt;= Table4[[#This Row],[StartMP]], ClosureLocation!$B$6 &gt;= Table4[[#This Row],[EndMP]]), "Yes", "")</f>
        <v/>
      </c>
      <c r="R116" s="1" t="str">
        <f>IF( OR( Table4[[#This Row],[PrimaryMatch]]="Yes", Table4[[#This Row],[SecondaryMatch]]="Yes"), "Yes", "")</f>
        <v/>
      </c>
    </row>
    <row r="117" spans="1:18" hidden="1" x14ac:dyDescent="0.25">
      <c r="A117" t="s">
        <v>1414</v>
      </c>
      <c r="B117" t="s">
        <v>3209</v>
      </c>
      <c r="C117" t="s">
        <v>3222</v>
      </c>
      <c r="D117" t="s">
        <v>4188</v>
      </c>
      <c r="E117" s="1">
        <v>3.2280000000000002</v>
      </c>
      <c r="F117" s="1">
        <v>0.11</v>
      </c>
      <c r="K117" s="39">
        <f>DefaultValues!$B$2</f>
        <v>1440</v>
      </c>
      <c r="L117" s="1">
        <f>DefaultValues!$C$2</f>
        <v>1999</v>
      </c>
      <c r="M117" s="1" t="str">
        <f>DefaultValues!$D$2</f>
        <v xml:space="preserve">- Detour not possible - </v>
      </c>
      <c r="N117" s="1">
        <f>1000 - 3.228</f>
        <v>996.77200000000005</v>
      </c>
      <c r="O117" s="1">
        <f>ABS(Table4[[#This Row],[EndMP]]-Table4[[#This Row],[StartMP]])</f>
        <v>3.1180000000000003</v>
      </c>
      <c r="P117" s="1" t="str">
        <f>IF( AND( Table4[[#This Row],[Route]]=ClosureLocation!$B$3, ClosureLocation!$B$6 &gt;= Table4[[#This Row],[StartMP]], ClosureLocation!$B$6 &lt;= Table4[[#This Row],[EndMP]]), "Yes", "")</f>
        <v/>
      </c>
      <c r="Q117" s="1" t="str">
        <f>IF( AND( Table4[[#This Row],[Route]]=ClosureLocation!$B$3, ClosureLocation!$B$6 &lt;= Table4[[#This Row],[StartMP]], ClosureLocation!$B$6 &gt;= Table4[[#This Row],[EndMP]]), "Yes", "")</f>
        <v/>
      </c>
      <c r="R117" s="1" t="str">
        <f>IF( OR( Table4[[#This Row],[PrimaryMatch]]="Yes", Table4[[#This Row],[SecondaryMatch]]="Yes"), "Yes", "")</f>
        <v/>
      </c>
    </row>
    <row r="118" spans="1:18" hidden="1" x14ac:dyDescent="0.25">
      <c r="A118" t="s">
        <v>1435</v>
      </c>
      <c r="B118" t="s">
        <v>3205</v>
      </c>
      <c r="C118" t="s">
        <v>3206</v>
      </c>
      <c r="D118" t="s">
        <v>4683</v>
      </c>
      <c r="E118" s="1">
        <v>0</v>
      </c>
      <c r="F118" s="1">
        <v>0.05</v>
      </c>
      <c r="K118" s="39">
        <f>DefaultValues!$B$2</f>
        <v>1440</v>
      </c>
      <c r="L118" s="1">
        <f>DefaultValues!$C$2</f>
        <v>1999</v>
      </c>
      <c r="M118" s="1" t="str">
        <f>DefaultValues!$D$2</f>
        <v xml:space="preserve">- Detour not possible - </v>
      </c>
      <c r="N118" s="1">
        <v>0</v>
      </c>
      <c r="O118" s="1">
        <f>ABS(Table4[[#This Row],[EndMP]]-Table4[[#This Row],[StartMP]])</f>
        <v>0.05</v>
      </c>
      <c r="P118" s="1" t="str">
        <f>IF( AND( Table4[[#This Row],[Route]]=ClosureLocation!$B$3, ClosureLocation!$B$6 &gt;= Table4[[#This Row],[StartMP]], ClosureLocation!$B$6 &lt;= Table4[[#This Row],[EndMP]]), "Yes", "")</f>
        <v/>
      </c>
      <c r="Q118" s="1" t="str">
        <f>IF( AND( Table4[[#This Row],[Route]]=ClosureLocation!$B$3, ClosureLocation!$B$6 &lt;= Table4[[#This Row],[StartMP]], ClosureLocation!$B$6 &gt;= Table4[[#This Row],[EndMP]]), "Yes", "")</f>
        <v/>
      </c>
      <c r="R118" s="1" t="str">
        <f>IF( OR( Table4[[#This Row],[PrimaryMatch]]="Yes", Table4[[#This Row],[SecondaryMatch]]="Yes"), "Yes", "")</f>
        <v/>
      </c>
    </row>
    <row r="119" spans="1:18" hidden="1" x14ac:dyDescent="0.25">
      <c r="A119" t="s">
        <v>1435</v>
      </c>
      <c r="B119" t="s">
        <v>3205</v>
      </c>
      <c r="C119" t="s">
        <v>3206</v>
      </c>
      <c r="D119" t="s">
        <v>4683</v>
      </c>
      <c r="E119" s="1">
        <v>0.05</v>
      </c>
      <c r="F119" s="1">
        <v>0.33200000000000002</v>
      </c>
      <c r="K119" s="39">
        <f>DefaultValues!$B$2</f>
        <v>1440</v>
      </c>
      <c r="L119" s="1">
        <f>DefaultValues!$C$2</f>
        <v>1999</v>
      </c>
      <c r="M119" s="1" t="str">
        <f>DefaultValues!$D$2</f>
        <v xml:space="preserve">- Detour not possible - </v>
      </c>
      <c r="N119" s="1">
        <v>0.05</v>
      </c>
      <c r="O119" s="1">
        <f>ABS(Table4[[#This Row],[EndMP]]-Table4[[#This Row],[StartMP]])</f>
        <v>0.28200000000000003</v>
      </c>
      <c r="P119" s="1" t="str">
        <f>IF( AND( Table4[[#This Row],[Route]]=ClosureLocation!$B$3, ClosureLocation!$B$6 &gt;= Table4[[#This Row],[StartMP]], ClosureLocation!$B$6 &lt;= Table4[[#This Row],[EndMP]]), "Yes", "")</f>
        <v/>
      </c>
      <c r="Q119" s="1" t="str">
        <f>IF( AND( Table4[[#This Row],[Route]]=ClosureLocation!$B$3, ClosureLocation!$B$6 &lt;= Table4[[#This Row],[StartMP]], ClosureLocation!$B$6 &gt;= Table4[[#This Row],[EndMP]]), "Yes", "")</f>
        <v/>
      </c>
      <c r="R119" s="1" t="str">
        <f>IF( OR( Table4[[#This Row],[PrimaryMatch]]="Yes", Table4[[#This Row],[SecondaryMatch]]="Yes"), "Yes", "")</f>
        <v/>
      </c>
    </row>
    <row r="120" spans="1:18" hidden="1" x14ac:dyDescent="0.25">
      <c r="A120" t="s">
        <v>1435</v>
      </c>
      <c r="B120" t="s">
        <v>3209</v>
      </c>
      <c r="C120" t="s">
        <v>3210</v>
      </c>
      <c r="D120" t="s">
        <v>4684</v>
      </c>
      <c r="E120" s="1">
        <v>0.33200000000000002</v>
      </c>
      <c r="F120" s="1">
        <v>0.05</v>
      </c>
      <c r="K120" s="39">
        <f>DefaultValues!$B$2</f>
        <v>1440</v>
      </c>
      <c r="L120" s="1">
        <f>DefaultValues!$C$2</f>
        <v>1999</v>
      </c>
      <c r="M120" s="1" t="str">
        <f>DefaultValues!$D$2</f>
        <v xml:space="preserve">- Detour not possible - </v>
      </c>
      <c r="N120" s="1">
        <f>1000 - 0.332</f>
        <v>999.66800000000001</v>
      </c>
      <c r="O120" s="1">
        <f>ABS(Table4[[#This Row],[EndMP]]-Table4[[#This Row],[StartMP]])</f>
        <v>0.28200000000000003</v>
      </c>
      <c r="P120" s="1" t="str">
        <f>IF( AND( Table4[[#This Row],[Route]]=ClosureLocation!$B$3, ClosureLocation!$B$6 &gt;= Table4[[#This Row],[StartMP]], ClosureLocation!$B$6 &lt;= Table4[[#This Row],[EndMP]]), "Yes", "")</f>
        <v/>
      </c>
      <c r="Q120" s="1" t="str">
        <f>IF( AND( Table4[[#This Row],[Route]]=ClosureLocation!$B$3, ClosureLocation!$B$6 &lt;= Table4[[#This Row],[StartMP]], ClosureLocation!$B$6 &gt;= Table4[[#This Row],[EndMP]]), "Yes", "")</f>
        <v/>
      </c>
      <c r="R120" s="1" t="str">
        <f>IF( OR( Table4[[#This Row],[PrimaryMatch]]="Yes", Table4[[#This Row],[SecondaryMatch]]="Yes"), "Yes", "")</f>
        <v/>
      </c>
    </row>
    <row r="121" spans="1:18" hidden="1" x14ac:dyDescent="0.25">
      <c r="A121" t="s">
        <v>1435</v>
      </c>
      <c r="B121" t="s">
        <v>3209</v>
      </c>
      <c r="C121" t="s">
        <v>3210</v>
      </c>
      <c r="D121" t="s">
        <v>4684</v>
      </c>
      <c r="E121" s="1">
        <v>0.05</v>
      </c>
      <c r="F121" s="1">
        <v>0</v>
      </c>
      <c r="K121" s="39">
        <f>DefaultValues!$B$2</f>
        <v>1440</v>
      </c>
      <c r="L121" s="1">
        <f>DefaultValues!$C$2</f>
        <v>1999</v>
      </c>
      <c r="M121" s="1" t="str">
        <f>DefaultValues!$D$2</f>
        <v xml:space="preserve">- Detour not possible - </v>
      </c>
      <c r="N121" s="1">
        <f>1000 - 0.05</f>
        <v>999.95</v>
      </c>
      <c r="O121" s="1">
        <f>ABS(Table4[[#This Row],[EndMP]]-Table4[[#This Row],[StartMP]])</f>
        <v>0.05</v>
      </c>
      <c r="P121" s="1" t="str">
        <f>IF( AND( Table4[[#This Row],[Route]]=ClosureLocation!$B$3, ClosureLocation!$B$6 &gt;= Table4[[#This Row],[StartMP]], ClosureLocation!$B$6 &lt;= Table4[[#This Row],[EndMP]]), "Yes", "")</f>
        <v/>
      </c>
      <c r="Q121" s="1" t="str">
        <f>IF( AND( Table4[[#This Row],[Route]]=ClosureLocation!$B$3, ClosureLocation!$B$6 &lt;= Table4[[#This Row],[StartMP]], ClosureLocation!$B$6 &gt;= Table4[[#This Row],[EndMP]]), "Yes", "")</f>
        <v/>
      </c>
      <c r="R121" s="1" t="str">
        <f>IF( OR( Table4[[#This Row],[PrimaryMatch]]="Yes", Table4[[#This Row],[SecondaryMatch]]="Yes"), "Yes", "")</f>
        <v/>
      </c>
    </row>
    <row r="122" spans="1:18" hidden="1" x14ac:dyDescent="0.25">
      <c r="A122" t="s">
        <v>1442</v>
      </c>
      <c r="B122" t="s">
        <v>3205</v>
      </c>
      <c r="C122" t="s">
        <v>3206</v>
      </c>
      <c r="D122" t="s">
        <v>4863</v>
      </c>
      <c r="E122" s="1">
        <v>0</v>
      </c>
      <c r="F122" s="1">
        <v>3.3450000000000002</v>
      </c>
      <c r="K122" s="39">
        <f>DefaultValues!$B$2</f>
        <v>1440</v>
      </c>
      <c r="L122" s="1">
        <f>DefaultValues!$C$2</f>
        <v>1999</v>
      </c>
      <c r="M122" s="1" t="str">
        <f>DefaultValues!$D$2</f>
        <v xml:space="preserve">- Detour not possible - </v>
      </c>
      <c r="N122" s="1">
        <v>0</v>
      </c>
      <c r="O122" s="1">
        <f>ABS(Table4[[#This Row],[EndMP]]-Table4[[#This Row],[StartMP]])</f>
        <v>3.3450000000000002</v>
      </c>
      <c r="P122" s="1" t="str">
        <f>IF( AND( Table4[[#This Row],[Route]]=ClosureLocation!$B$3, ClosureLocation!$B$6 &gt;= Table4[[#This Row],[StartMP]], ClosureLocation!$B$6 &lt;= Table4[[#This Row],[EndMP]]), "Yes", "")</f>
        <v/>
      </c>
      <c r="Q122" s="1" t="str">
        <f>IF( AND( Table4[[#This Row],[Route]]=ClosureLocation!$B$3, ClosureLocation!$B$6 &lt;= Table4[[#This Row],[StartMP]], ClosureLocation!$B$6 &gt;= Table4[[#This Row],[EndMP]]), "Yes", "")</f>
        <v/>
      </c>
      <c r="R122" s="1" t="str">
        <f>IF( OR( Table4[[#This Row],[PrimaryMatch]]="Yes", Table4[[#This Row],[SecondaryMatch]]="Yes"), "Yes", "")</f>
        <v/>
      </c>
    </row>
    <row r="123" spans="1:18" hidden="1" x14ac:dyDescent="0.25">
      <c r="A123" t="s">
        <v>1442</v>
      </c>
      <c r="B123" t="s">
        <v>3209</v>
      </c>
      <c r="C123" t="s">
        <v>3210</v>
      </c>
      <c r="D123" t="s">
        <v>4864</v>
      </c>
      <c r="E123" s="1">
        <v>3.3450000000000002</v>
      </c>
      <c r="F123" s="1">
        <v>0</v>
      </c>
      <c r="K123" s="39">
        <f>DefaultValues!$B$2</f>
        <v>1440</v>
      </c>
      <c r="L123" s="1">
        <f>DefaultValues!$C$2</f>
        <v>1999</v>
      </c>
      <c r="M123" s="1" t="str">
        <f>DefaultValues!$D$2</f>
        <v xml:space="preserve">- Detour not possible - </v>
      </c>
      <c r="N123" s="1">
        <f>1000 - 3.345</f>
        <v>996.65499999999997</v>
      </c>
      <c r="O123" s="1">
        <f>ABS(Table4[[#This Row],[EndMP]]-Table4[[#This Row],[StartMP]])</f>
        <v>3.3450000000000002</v>
      </c>
      <c r="P123" s="1" t="str">
        <f>IF( AND( Table4[[#This Row],[Route]]=ClosureLocation!$B$3, ClosureLocation!$B$6 &gt;= Table4[[#This Row],[StartMP]], ClosureLocation!$B$6 &lt;= Table4[[#This Row],[EndMP]]), "Yes", "")</f>
        <v/>
      </c>
      <c r="Q123" s="1" t="str">
        <f>IF( AND( Table4[[#This Row],[Route]]=ClosureLocation!$B$3, ClosureLocation!$B$6 &lt;= Table4[[#This Row],[StartMP]], ClosureLocation!$B$6 &gt;= Table4[[#This Row],[EndMP]]), "Yes", "")</f>
        <v/>
      </c>
      <c r="R123" s="1" t="str">
        <f>IF( OR( Table4[[#This Row],[PrimaryMatch]]="Yes", Table4[[#This Row],[SecondaryMatch]]="Yes"), "Yes", "")</f>
        <v/>
      </c>
    </row>
    <row r="124" spans="1:18" hidden="1" x14ac:dyDescent="0.25">
      <c r="A124" t="s">
        <v>1454</v>
      </c>
      <c r="B124" t="s">
        <v>3205</v>
      </c>
      <c r="C124" t="s">
        <v>3222</v>
      </c>
      <c r="D124" t="s">
        <v>4685</v>
      </c>
      <c r="E124" s="1">
        <v>3.6999999999999998E-2</v>
      </c>
      <c r="F124" s="1">
        <v>1.1459999999999999</v>
      </c>
      <c r="K124" s="39">
        <f>DefaultValues!$B$2</f>
        <v>1440</v>
      </c>
      <c r="L124" s="1">
        <f>DefaultValues!$C$2</f>
        <v>1999</v>
      </c>
      <c r="M124" s="1" t="str">
        <f>DefaultValues!$D$2</f>
        <v xml:space="preserve">- Detour not possible - </v>
      </c>
      <c r="N124" s="1">
        <v>3.6999999999999998E-2</v>
      </c>
      <c r="O124" s="1">
        <f>ABS(Table4[[#This Row],[EndMP]]-Table4[[#This Row],[StartMP]])</f>
        <v>1.109</v>
      </c>
      <c r="P124" s="1" t="str">
        <f>IF( AND( Table4[[#This Row],[Route]]=ClosureLocation!$B$3, ClosureLocation!$B$6 &gt;= Table4[[#This Row],[StartMP]], ClosureLocation!$B$6 &lt;= Table4[[#This Row],[EndMP]]), "Yes", "")</f>
        <v/>
      </c>
      <c r="Q124" s="1" t="str">
        <f>IF( AND( Table4[[#This Row],[Route]]=ClosureLocation!$B$3, ClosureLocation!$B$6 &lt;= Table4[[#This Row],[StartMP]], ClosureLocation!$B$6 &gt;= Table4[[#This Row],[EndMP]]), "Yes", "")</f>
        <v/>
      </c>
      <c r="R124" s="1" t="str">
        <f>IF( OR( Table4[[#This Row],[PrimaryMatch]]="Yes", Table4[[#This Row],[SecondaryMatch]]="Yes"), "Yes", "")</f>
        <v/>
      </c>
    </row>
    <row r="125" spans="1:18" hidden="1" x14ac:dyDescent="0.25">
      <c r="A125" t="s">
        <v>1454</v>
      </c>
      <c r="B125" t="s">
        <v>3209</v>
      </c>
      <c r="C125" t="s">
        <v>3226</v>
      </c>
      <c r="D125" t="s">
        <v>4686</v>
      </c>
      <c r="E125" s="1">
        <v>1.1459999999999999</v>
      </c>
      <c r="F125" s="1">
        <v>3.6999999999999998E-2</v>
      </c>
      <c r="K125" s="39">
        <f>DefaultValues!$B$2</f>
        <v>1440</v>
      </c>
      <c r="L125" s="1">
        <f>DefaultValues!$C$2</f>
        <v>1999</v>
      </c>
      <c r="M125" s="1" t="str">
        <f>DefaultValues!$D$2</f>
        <v xml:space="preserve">- Detour not possible - </v>
      </c>
      <c r="N125" s="1">
        <f>1000 - 1.146</f>
        <v>998.85400000000004</v>
      </c>
      <c r="O125" s="1">
        <f>ABS(Table4[[#This Row],[EndMP]]-Table4[[#This Row],[StartMP]])</f>
        <v>1.109</v>
      </c>
      <c r="P125" s="1" t="str">
        <f>IF( AND( Table4[[#This Row],[Route]]=ClosureLocation!$B$3, ClosureLocation!$B$6 &gt;= Table4[[#This Row],[StartMP]], ClosureLocation!$B$6 &lt;= Table4[[#This Row],[EndMP]]), "Yes", "")</f>
        <v/>
      </c>
      <c r="Q125" s="1" t="str">
        <f>IF( AND( Table4[[#This Row],[Route]]=ClosureLocation!$B$3, ClosureLocation!$B$6 &lt;= Table4[[#This Row],[StartMP]], ClosureLocation!$B$6 &gt;= Table4[[#This Row],[EndMP]]), "Yes", "")</f>
        <v/>
      </c>
      <c r="R125" s="1" t="str">
        <f>IF( OR( Table4[[#This Row],[PrimaryMatch]]="Yes", Table4[[#This Row],[SecondaryMatch]]="Yes"), "Yes", "")</f>
        <v/>
      </c>
    </row>
    <row r="126" spans="1:18" hidden="1" x14ac:dyDescent="0.25">
      <c r="A126" t="s">
        <v>1457</v>
      </c>
      <c r="B126" t="s">
        <v>3205</v>
      </c>
      <c r="C126" t="s">
        <v>3206</v>
      </c>
      <c r="D126" t="s">
        <v>4865</v>
      </c>
      <c r="E126" s="1">
        <v>1.177</v>
      </c>
      <c r="F126" s="1">
        <v>3.621</v>
      </c>
      <c r="K126" s="39">
        <f>DefaultValues!$B$2</f>
        <v>1440</v>
      </c>
      <c r="L126" s="1">
        <f>DefaultValues!$C$2</f>
        <v>1999</v>
      </c>
      <c r="M126" s="1" t="str">
        <f>DefaultValues!$D$2</f>
        <v xml:space="preserve">- Detour not possible - </v>
      </c>
      <c r="N126" s="1">
        <v>1.177</v>
      </c>
      <c r="O126" s="1">
        <f>ABS(Table4[[#This Row],[EndMP]]-Table4[[#This Row],[StartMP]])</f>
        <v>2.444</v>
      </c>
      <c r="P126" s="1" t="str">
        <f>IF( AND( Table4[[#This Row],[Route]]=ClosureLocation!$B$3, ClosureLocation!$B$6 &gt;= Table4[[#This Row],[StartMP]], ClosureLocation!$B$6 &lt;= Table4[[#This Row],[EndMP]]), "Yes", "")</f>
        <v/>
      </c>
      <c r="Q126" s="1" t="str">
        <f>IF( AND( Table4[[#This Row],[Route]]=ClosureLocation!$B$3, ClosureLocation!$B$6 &lt;= Table4[[#This Row],[StartMP]], ClosureLocation!$B$6 &gt;= Table4[[#This Row],[EndMP]]), "Yes", "")</f>
        <v/>
      </c>
      <c r="R126" s="1" t="str">
        <f>IF( OR( Table4[[#This Row],[PrimaryMatch]]="Yes", Table4[[#This Row],[SecondaryMatch]]="Yes"), "Yes", "")</f>
        <v/>
      </c>
    </row>
    <row r="127" spans="1:18" hidden="1" x14ac:dyDescent="0.25">
      <c r="A127" t="s">
        <v>1457</v>
      </c>
      <c r="B127" t="s">
        <v>3209</v>
      </c>
      <c r="C127" t="s">
        <v>3210</v>
      </c>
      <c r="D127" t="s">
        <v>4866</v>
      </c>
      <c r="E127" s="1">
        <v>3.621</v>
      </c>
      <c r="F127" s="1">
        <v>1.177</v>
      </c>
      <c r="K127" s="39">
        <f>DefaultValues!$B$2</f>
        <v>1440</v>
      </c>
      <c r="L127" s="1">
        <f>DefaultValues!$C$2</f>
        <v>1999</v>
      </c>
      <c r="M127" s="1" t="str">
        <f>DefaultValues!$D$2</f>
        <v xml:space="preserve">- Detour not possible - </v>
      </c>
      <c r="N127" s="1">
        <f>1000 - 3.621</f>
        <v>996.37900000000002</v>
      </c>
      <c r="O127" s="1">
        <f>ABS(Table4[[#This Row],[EndMP]]-Table4[[#This Row],[StartMP]])</f>
        <v>2.444</v>
      </c>
      <c r="P127" s="1" t="str">
        <f>IF( AND( Table4[[#This Row],[Route]]=ClosureLocation!$B$3, ClosureLocation!$B$6 &gt;= Table4[[#This Row],[StartMP]], ClosureLocation!$B$6 &lt;= Table4[[#This Row],[EndMP]]), "Yes", "")</f>
        <v/>
      </c>
      <c r="Q127" s="1" t="str">
        <f>IF( AND( Table4[[#This Row],[Route]]=ClosureLocation!$B$3, ClosureLocation!$B$6 &lt;= Table4[[#This Row],[StartMP]], ClosureLocation!$B$6 &gt;= Table4[[#This Row],[EndMP]]), "Yes", "")</f>
        <v/>
      </c>
      <c r="R127" s="1" t="str">
        <f>IF( OR( Table4[[#This Row],[PrimaryMatch]]="Yes", Table4[[#This Row],[SecondaryMatch]]="Yes"), "Yes", "")</f>
        <v/>
      </c>
    </row>
    <row r="128" spans="1:18" hidden="1" x14ac:dyDescent="0.25">
      <c r="A128" t="s">
        <v>1459</v>
      </c>
      <c r="B128" t="s">
        <v>3205</v>
      </c>
      <c r="C128" t="s">
        <v>3206</v>
      </c>
      <c r="D128" t="s">
        <v>4687</v>
      </c>
      <c r="E128" s="1">
        <v>3.4000000000000002E-2</v>
      </c>
      <c r="F128" s="1">
        <v>0.14699999999999999</v>
      </c>
      <c r="K128" s="39">
        <f>DefaultValues!$B$2</f>
        <v>1440</v>
      </c>
      <c r="L128" s="1">
        <f>DefaultValues!$C$2</f>
        <v>1999</v>
      </c>
      <c r="M128" s="1" t="str">
        <f>DefaultValues!$D$2</f>
        <v xml:space="preserve">- Detour not possible - </v>
      </c>
      <c r="N128" s="1">
        <v>3.4000000000000002E-2</v>
      </c>
      <c r="O128" s="1">
        <f>ABS(Table4[[#This Row],[EndMP]]-Table4[[#This Row],[StartMP]])</f>
        <v>0.11299999999999999</v>
      </c>
      <c r="P128" s="1" t="str">
        <f>IF( AND( Table4[[#This Row],[Route]]=ClosureLocation!$B$3, ClosureLocation!$B$6 &gt;= Table4[[#This Row],[StartMP]], ClosureLocation!$B$6 &lt;= Table4[[#This Row],[EndMP]]), "Yes", "")</f>
        <v/>
      </c>
      <c r="Q128" s="1" t="str">
        <f>IF( AND( Table4[[#This Row],[Route]]=ClosureLocation!$B$3, ClosureLocation!$B$6 &lt;= Table4[[#This Row],[StartMP]], ClosureLocation!$B$6 &gt;= Table4[[#This Row],[EndMP]]), "Yes", "")</f>
        <v/>
      </c>
      <c r="R128" s="1" t="str">
        <f>IF( OR( Table4[[#This Row],[PrimaryMatch]]="Yes", Table4[[#This Row],[SecondaryMatch]]="Yes"), "Yes", "")</f>
        <v/>
      </c>
    </row>
    <row r="129" spans="1:18" hidden="1" x14ac:dyDescent="0.25">
      <c r="A129" t="s">
        <v>1459</v>
      </c>
      <c r="B129" t="s">
        <v>3209</v>
      </c>
      <c r="C129" t="s">
        <v>3210</v>
      </c>
      <c r="D129" t="s">
        <v>4688</v>
      </c>
      <c r="E129" s="1">
        <v>0.14699999999999999</v>
      </c>
      <c r="F129" s="1">
        <v>3.4000000000000002E-2</v>
      </c>
      <c r="K129" s="39">
        <f>DefaultValues!$B$2</f>
        <v>1440</v>
      </c>
      <c r="L129" s="1">
        <f>DefaultValues!$C$2</f>
        <v>1999</v>
      </c>
      <c r="M129" s="1" t="str">
        <f>DefaultValues!$D$2</f>
        <v xml:space="preserve">- Detour not possible - </v>
      </c>
      <c r="N129" s="1">
        <f>1000 - 0.147</f>
        <v>999.85299999999995</v>
      </c>
      <c r="O129" s="1">
        <f>ABS(Table4[[#This Row],[EndMP]]-Table4[[#This Row],[StartMP]])</f>
        <v>0.11299999999999999</v>
      </c>
      <c r="P129" s="1" t="str">
        <f>IF( AND( Table4[[#This Row],[Route]]=ClosureLocation!$B$3, ClosureLocation!$B$6 &gt;= Table4[[#This Row],[StartMP]], ClosureLocation!$B$6 &lt;= Table4[[#This Row],[EndMP]]), "Yes", "")</f>
        <v/>
      </c>
      <c r="Q129" s="1" t="str">
        <f>IF( AND( Table4[[#This Row],[Route]]=ClosureLocation!$B$3, ClosureLocation!$B$6 &lt;= Table4[[#This Row],[StartMP]], ClosureLocation!$B$6 &gt;= Table4[[#This Row],[EndMP]]), "Yes", "")</f>
        <v/>
      </c>
      <c r="R129" s="1" t="str">
        <f>IF( OR( Table4[[#This Row],[PrimaryMatch]]="Yes", Table4[[#This Row],[SecondaryMatch]]="Yes"), "Yes", "")</f>
        <v/>
      </c>
    </row>
    <row r="130" spans="1:18" hidden="1" x14ac:dyDescent="0.25">
      <c r="A130" t="s">
        <v>1551</v>
      </c>
      <c r="B130" t="s">
        <v>3205</v>
      </c>
      <c r="C130" t="s">
        <v>3226</v>
      </c>
      <c r="D130" t="s">
        <v>4867</v>
      </c>
      <c r="E130" s="1">
        <v>0</v>
      </c>
      <c r="F130" s="1">
        <v>3.3559999999999999</v>
      </c>
      <c r="K130" s="39">
        <f>DefaultValues!$B$2</f>
        <v>1440</v>
      </c>
      <c r="L130" s="1">
        <f>DefaultValues!$C$2</f>
        <v>1999</v>
      </c>
      <c r="M130" s="1" t="str">
        <f>DefaultValues!$D$2</f>
        <v xml:space="preserve">- Detour not possible - </v>
      </c>
      <c r="N130" s="1">
        <v>0</v>
      </c>
      <c r="O130" s="1">
        <f>ABS(Table4[[#This Row],[EndMP]]-Table4[[#This Row],[StartMP]])</f>
        <v>3.3559999999999999</v>
      </c>
      <c r="P130" s="1" t="str">
        <f>IF( AND( Table4[[#This Row],[Route]]=ClosureLocation!$B$3, ClosureLocation!$B$6 &gt;= Table4[[#This Row],[StartMP]], ClosureLocation!$B$6 &lt;= Table4[[#This Row],[EndMP]]), "Yes", "")</f>
        <v/>
      </c>
      <c r="Q130" s="1" t="str">
        <f>IF( AND( Table4[[#This Row],[Route]]=ClosureLocation!$B$3, ClosureLocation!$B$6 &lt;= Table4[[#This Row],[StartMP]], ClosureLocation!$B$6 &gt;= Table4[[#This Row],[EndMP]]), "Yes", "")</f>
        <v/>
      </c>
      <c r="R130" s="1" t="str">
        <f>IF( OR( Table4[[#This Row],[PrimaryMatch]]="Yes", Table4[[#This Row],[SecondaryMatch]]="Yes"), "Yes", "")</f>
        <v/>
      </c>
    </row>
    <row r="131" spans="1:18" hidden="1" x14ac:dyDescent="0.25">
      <c r="A131" t="s">
        <v>1551</v>
      </c>
      <c r="B131" t="s">
        <v>3209</v>
      </c>
      <c r="C131" t="s">
        <v>3222</v>
      </c>
      <c r="D131" t="s">
        <v>4868</v>
      </c>
      <c r="E131" s="1">
        <v>3.3559999999999999</v>
      </c>
      <c r="F131" s="1">
        <v>0</v>
      </c>
      <c r="K131" s="39">
        <f>DefaultValues!$B$2</f>
        <v>1440</v>
      </c>
      <c r="L131" s="1">
        <f>DefaultValues!$C$2</f>
        <v>1999</v>
      </c>
      <c r="M131" s="1" t="str">
        <f>DefaultValues!$D$2</f>
        <v xml:space="preserve">- Detour not possible - </v>
      </c>
      <c r="N131" s="1">
        <f>1000 - 3.356</f>
        <v>996.64400000000001</v>
      </c>
      <c r="O131" s="1">
        <f>ABS(Table4[[#This Row],[EndMP]]-Table4[[#This Row],[StartMP]])</f>
        <v>3.3559999999999999</v>
      </c>
      <c r="P131" s="1" t="str">
        <f>IF( AND( Table4[[#This Row],[Route]]=ClosureLocation!$B$3, ClosureLocation!$B$6 &gt;= Table4[[#This Row],[StartMP]], ClosureLocation!$B$6 &lt;= Table4[[#This Row],[EndMP]]), "Yes", "")</f>
        <v/>
      </c>
      <c r="Q131" s="1" t="str">
        <f>IF( AND( Table4[[#This Row],[Route]]=ClosureLocation!$B$3, ClosureLocation!$B$6 &lt;= Table4[[#This Row],[StartMP]], ClosureLocation!$B$6 &gt;= Table4[[#This Row],[EndMP]]), "Yes", "")</f>
        <v/>
      </c>
      <c r="R131" s="1" t="str">
        <f>IF( OR( Table4[[#This Row],[PrimaryMatch]]="Yes", Table4[[#This Row],[SecondaryMatch]]="Yes"), "Yes", "")</f>
        <v/>
      </c>
    </row>
    <row r="132" spans="1:18" hidden="1" x14ac:dyDescent="0.25">
      <c r="A132" t="s">
        <v>1555</v>
      </c>
      <c r="B132" t="s">
        <v>3205</v>
      </c>
      <c r="C132" t="s">
        <v>3222</v>
      </c>
      <c r="D132" t="s">
        <v>4869</v>
      </c>
      <c r="E132" s="1">
        <v>0</v>
      </c>
      <c r="F132" s="1">
        <v>12.237</v>
      </c>
      <c r="K132" s="39">
        <f>DefaultValues!$B$2</f>
        <v>1440</v>
      </c>
      <c r="L132" s="1">
        <f>DefaultValues!$C$2</f>
        <v>1999</v>
      </c>
      <c r="M132" s="1" t="str">
        <f>DefaultValues!$D$2</f>
        <v xml:space="preserve">- Detour not possible - </v>
      </c>
      <c r="N132" s="1">
        <v>0</v>
      </c>
      <c r="O132" s="1">
        <f>ABS(Table4[[#This Row],[EndMP]]-Table4[[#This Row],[StartMP]])</f>
        <v>12.237</v>
      </c>
      <c r="P132" s="1" t="str">
        <f>IF( AND( Table4[[#This Row],[Route]]=ClosureLocation!$B$3, ClosureLocation!$B$6 &gt;= Table4[[#This Row],[StartMP]], ClosureLocation!$B$6 &lt;= Table4[[#This Row],[EndMP]]), "Yes", "")</f>
        <v/>
      </c>
      <c r="Q132" s="1" t="str">
        <f>IF( AND( Table4[[#This Row],[Route]]=ClosureLocation!$B$3, ClosureLocation!$B$6 &lt;= Table4[[#This Row],[StartMP]], ClosureLocation!$B$6 &gt;= Table4[[#This Row],[EndMP]]), "Yes", "")</f>
        <v/>
      </c>
      <c r="R132" s="1" t="str">
        <f>IF( OR( Table4[[#This Row],[PrimaryMatch]]="Yes", Table4[[#This Row],[SecondaryMatch]]="Yes"), "Yes", "")</f>
        <v/>
      </c>
    </row>
    <row r="133" spans="1:18" hidden="1" x14ac:dyDescent="0.25">
      <c r="A133" t="s">
        <v>1555</v>
      </c>
      <c r="B133" t="s">
        <v>3209</v>
      </c>
      <c r="C133" t="s">
        <v>3226</v>
      </c>
      <c r="D133" t="s">
        <v>4870</v>
      </c>
      <c r="E133" s="1">
        <v>12.237</v>
      </c>
      <c r="F133" s="1">
        <v>0</v>
      </c>
      <c r="K133" s="39">
        <f>DefaultValues!$B$2</f>
        <v>1440</v>
      </c>
      <c r="L133" s="1">
        <f>DefaultValues!$C$2</f>
        <v>1999</v>
      </c>
      <c r="M133" s="1" t="str">
        <f>DefaultValues!$D$2</f>
        <v xml:space="preserve">- Detour not possible - </v>
      </c>
      <c r="N133" s="1">
        <f>1000 - 12.237</f>
        <v>987.76300000000003</v>
      </c>
      <c r="O133" s="1">
        <f>ABS(Table4[[#This Row],[EndMP]]-Table4[[#This Row],[StartMP]])</f>
        <v>12.237</v>
      </c>
      <c r="P133" s="1" t="str">
        <f>IF( AND( Table4[[#This Row],[Route]]=ClosureLocation!$B$3, ClosureLocation!$B$6 &gt;= Table4[[#This Row],[StartMP]], ClosureLocation!$B$6 &lt;= Table4[[#This Row],[EndMP]]), "Yes", "")</f>
        <v/>
      </c>
      <c r="Q133" s="1" t="str">
        <f>IF( AND( Table4[[#This Row],[Route]]=ClosureLocation!$B$3, ClosureLocation!$B$6 &lt;= Table4[[#This Row],[StartMP]], ClosureLocation!$B$6 &gt;= Table4[[#This Row],[EndMP]]), "Yes", "")</f>
        <v/>
      </c>
      <c r="R133" s="1" t="str">
        <f>IF( OR( Table4[[#This Row],[PrimaryMatch]]="Yes", Table4[[#This Row],[SecondaryMatch]]="Yes"), "Yes", "")</f>
        <v/>
      </c>
    </row>
    <row r="134" spans="1:18" hidden="1" x14ac:dyDescent="0.25">
      <c r="A134" t="s">
        <v>1558</v>
      </c>
      <c r="B134" t="s">
        <v>3205</v>
      </c>
      <c r="C134" t="s">
        <v>3222</v>
      </c>
      <c r="D134" t="s">
        <v>4871</v>
      </c>
      <c r="E134" s="1">
        <v>0</v>
      </c>
      <c r="F134" s="1">
        <v>60.697000000000003</v>
      </c>
      <c r="K134" s="39">
        <f>DefaultValues!$B$2</f>
        <v>1440</v>
      </c>
      <c r="L134" s="1">
        <f>DefaultValues!$C$2</f>
        <v>1999</v>
      </c>
      <c r="M134" s="1" t="str">
        <f>DefaultValues!$D$2</f>
        <v xml:space="preserve">- Detour not possible - </v>
      </c>
      <c r="N134" s="1">
        <v>0</v>
      </c>
      <c r="O134" s="1">
        <f>ABS(Table4[[#This Row],[EndMP]]-Table4[[#This Row],[StartMP]])</f>
        <v>60.697000000000003</v>
      </c>
      <c r="P134" s="1" t="str">
        <f>IF( AND( Table4[[#This Row],[Route]]=ClosureLocation!$B$3, ClosureLocation!$B$6 &gt;= Table4[[#This Row],[StartMP]], ClosureLocation!$B$6 &lt;= Table4[[#This Row],[EndMP]]), "Yes", "")</f>
        <v/>
      </c>
      <c r="Q134" s="1" t="str">
        <f>IF( AND( Table4[[#This Row],[Route]]=ClosureLocation!$B$3, ClosureLocation!$B$6 &lt;= Table4[[#This Row],[StartMP]], ClosureLocation!$B$6 &gt;= Table4[[#This Row],[EndMP]]), "Yes", "")</f>
        <v/>
      </c>
      <c r="R134" s="1" t="str">
        <f>IF( OR( Table4[[#This Row],[PrimaryMatch]]="Yes", Table4[[#This Row],[SecondaryMatch]]="Yes"), "Yes", "")</f>
        <v/>
      </c>
    </row>
    <row r="135" spans="1:18" hidden="1" x14ac:dyDescent="0.25">
      <c r="A135" t="s">
        <v>1558</v>
      </c>
      <c r="B135" t="s">
        <v>3209</v>
      </c>
      <c r="C135" t="s">
        <v>3226</v>
      </c>
      <c r="D135" t="s">
        <v>4872</v>
      </c>
      <c r="E135" s="1">
        <v>60.697000000000003</v>
      </c>
      <c r="F135" s="1">
        <v>0</v>
      </c>
      <c r="K135" s="39">
        <f>DefaultValues!$B$2</f>
        <v>1440</v>
      </c>
      <c r="L135" s="1">
        <f>DefaultValues!$C$2</f>
        <v>1999</v>
      </c>
      <c r="M135" s="1" t="str">
        <f>DefaultValues!$D$2</f>
        <v xml:space="preserve">- Detour not possible - </v>
      </c>
      <c r="N135" s="1">
        <f>1000 - 60.697</f>
        <v>939.303</v>
      </c>
      <c r="O135" s="1">
        <f>ABS(Table4[[#This Row],[EndMP]]-Table4[[#This Row],[StartMP]])</f>
        <v>60.697000000000003</v>
      </c>
      <c r="P135" s="1" t="str">
        <f>IF( AND( Table4[[#This Row],[Route]]=ClosureLocation!$B$3, ClosureLocation!$B$6 &gt;= Table4[[#This Row],[StartMP]], ClosureLocation!$B$6 &lt;= Table4[[#This Row],[EndMP]]), "Yes", "")</f>
        <v/>
      </c>
      <c r="Q135" s="1" t="str">
        <f>IF( AND( Table4[[#This Row],[Route]]=ClosureLocation!$B$3, ClosureLocation!$B$6 &lt;= Table4[[#This Row],[StartMP]], ClosureLocation!$B$6 &gt;= Table4[[#This Row],[EndMP]]), "Yes", "")</f>
        <v/>
      </c>
      <c r="R135" s="1" t="str">
        <f>IF( OR( Table4[[#This Row],[PrimaryMatch]]="Yes", Table4[[#This Row],[SecondaryMatch]]="Yes"), "Yes", "")</f>
        <v/>
      </c>
    </row>
    <row r="136" spans="1:18" hidden="1" x14ac:dyDescent="0.25">
      <c r="A136" t="s">
        <v>1561</v>
      </c>
      <c r="B136" t="s">
        <v>3205</v>
      </c>
      <c r="C136" t="s">
        <v>3206</v>
      </c>
      <c r="D136" t="s">
        <v>4873</v>
      </c>
      <c r="E136" s="1">
        <v>0</v>
      </c>
      <c r="F136" s="1">
        <v>11.395</v>
      </c>
      <c r="K136" s="39">
        <f>DefaultValues!$B$2</f>
        <v>1440</v>
      </c>
      <c r="L136" s="1">
        <f>DefaultValues!$C$2</f>
        <v>1999</v>
      </c>
      <c r="M136" s="1" t="str">
        <f>DefaultValues!$D$2</f>
        <v xml:space="preserve">- Detour not possible - </v>
      </c>
      <c r="N136" s="1">
        <v>0</v>
      </c>
      <c r="O136" s="1">
        <f>ABS(Table4[[#This Row],[EndMP]]-Table4[[#This Row],[StartMP]])</f>
        <v>11.395</v>
      </c>
      <c r="P136" s="1" t="str">
        <f>IF( AND( Table4[[#This Row],[Route]]=ClosureLocation!$B$3, ClosureLocation!$B$6 &gt;= Table4[[#This Row],[StartMP]], ClosureLocation!$B$6 &lt;= Table4[[#This Row],[EndMP]]), "Yes", "")</f>
        <v/>
      </c>
      <c r="Q136" s="1" t="str">
        <f>IF( AND( Table4[[#This Row],[Route]]=ClosureLocation!$B$3, ClosureLocation!$B$6 &lt;= Table4[[#This Row],[StartMP]], ClosureLocation!$B$6 &gt;= Table4[[#This Row],[EndMP]]), "Yes", "")</f>
        <v/>
      </c>
      <c r="R136" s="1" t="str">
        <f>IF( OR( Table4[[#This Row],[PrimaryMatch]]="Yes", Table4[[#This Row],[SecondaryMatch]]="Yes"), "Yes", "")</f>
        <v/>
      </c>
    </row>
    <row r="137" spans="1:18" hidden="1" x14ac:dyDescent="0.25">
      <c r="A137" t="s">
        <v>1561</v>
      </c>
      <c r="B137" t="s">
        <v>3209</v>
      </c>
      <c r="C137" t="s">
        <v>3210</v>
      </c>
      <c r="D137" t="s">
        <v>4874</v>
      </c>
      <c r="E137" s="1">
        <v>11.395</v>
      </c>
      <c r="F137" s="1">
        <v>0</v>
      </c>
      <c r="K137" s="39">
        <f>DefaultValues!$B$2</f>
        <v>1440</v>
      </c>
      <c r="L137" s="1">
        <f>DefaultValues!$C$2</f>
        <v>1999</v>
      </c>
      <c r="M137" s="1" t="str">
        <f>DefaultValues!$D$2</f>
        <v xml:space="preserve">- Detour not possible - </v>
      </c>
      <c r="N137" s="1">
        <f>1000 - 11.395</f>
        <v>988.60500000000002</v>
      </c>
      <c r="O137" s="1">
        <f>ABS(Table4[[#This Row],[EndMP]]-Table4[[#This Row],[StartMP]])</f>
        <v>11.395</v>
      </c>
      <c r="P137" s="1" t="str">
        <f>IF( AND( Table4[[#This Row],[Route]]=ClosureLocation!$B$3, ClosureLocation!$B$6 &gt;= Table4[[#This Row],[StartMP]], ClosureLocation!$B$6 &lt;= Table4[[#This Row],[EndMP]]), "Yes", "")</f>
        <v/>
      </c>
      <c r="Q137" s="1" t="str">
        <f>IF( AND( Table4[[#This Row],[Route]]=ClosureLocation!$B$3, ClosureLocation!$B$6 &lt;= Table4[[#This Row],[StartMP]], ClosureLocation!$B$6 &gt;= Table4[[#This Row],[EndMP]]), "Yes", "")</f>
        <v/>
      </c>
      <c r="R137" s="1" t="str">
        <f>IF( OR( Table4[[#This Row],[PrimaryMatch]]="Yes", Table4[[#This Row],[SecondaryMatch]]="Yes"), "Yes", "")</f>
        <v/>
      </c>
    </row>
    <row r="138" spans="1:18" hidden="1" x14ac:dyDescent="0.25">
      <c r="A138" t="s">
        <v>1566</v>
      </c>
      <c r="B138" t="s">
        <v>3205</v>
      </c>
      <c r="C138" t="s">
        <v>3222</v>
      </c>
      <c r="D138" t="s">
        <v>4875</v>
      </c>
      <c r="E138" s="1">
        <v>0</v>
      </c>
      <c r="F138" s="1">
        <v>11.395</v>
      </c>
      <c r="K138" s="39">
        <f>DefaultValues!$B$2</f>
        <v>1440</v>
      </c>
      <c r="L138" s="1">
        <f>DefaultValues!$C$2</f>
        <v>1999</v>
      </c>
      <c r="M138" s="1" t="str">
        <f>DefaultValues!$D$2</f>
        <v xml:space="preserve">- Detour not possible - </v>
      </c>
      <c r="N138" s="1">
        <v>0</v>
      </c>
      <c r="O138" s="1">
        <f>ABS(Table4[[#This Row],[EndMP]]-Table4[[#This Row],[StartMP]])</f>
        <v>11.395</v>
      </c>
      <c r="P138" s="1" t="str">
        <f>IF( AND( Table4[[#This Row],[Route]]=ClosureLocation!$B$3, ClosureLocation!$B$6 &gt;= Table4[[#This Row],[StartMP]], ClosureLocation!$B$6 &lt;= Table4[[#This Row],[EndMP]]), "Yes", "")</f>
        <v/>
      </c>
      <c r="Q138" s="1" t="str">
        <f>IF( AND( Table4[[#This Row],[Route]]=ClosureLocation!$B$3, ClosureLocation!$B$6 &lt;= Table4[[#This Row],[StartMP]], ClosureLocation!$B$6 &gt;= Table4[[#This Row],[EndMP]]), "Yes", "")</f>
        <v/>
      </c>
      <c r="R138" s="1" t="str">
        <f>IF( OR( Table4[[#This Row],[PrimaryMatch]]="Yes", Table4[[#This Row],[SecondaryMatch]]="Yes"), "Yes", "")</f>
        <v/>
      </c>
    </row>
    <row r="139" spans="1:18" hidden="1" x14ac:dyDescent="0.25">
      <c r="A139" t="s">
        <v>1566</v>
      </c>
      <c r="B139" t="s">
        <v>3209</v>
      </c>
      <c r="C139" t="s">
        <v>3226</v>
      </c>
      <c r="D139" t="s">
        <v>4876</v>
      </c>
      <c r="E139" s="1">
        <v>11.395</v>
      </c>
      <c r="F139" s="1">
        <v>0</v>
      </c>
      <c r="K139" s="39">
        <f>DefaultValues!$B$2</f>
        <v>1440</v>
      </c>
      <c r="L139" s="1">
        <f>DefaultValues!$C$2</f>
        <v>1999</v>
      </c>
      <c r="M139" s="1" t="str">
        <f>DefaultValues!$D$2</f>
        <v xml:space="preserve">- Detour not possible - </v>
      </c>
      <c r="N139" s="1">
        <f>1000 - 11.395</f>
        <v>988.60500000000002</v>
      </c>
      <c r="O139" s="1">
        <f>ABS(Table4[[#This Row],[EndMP]]-Table4[[#This Row],[StartMP]])</f>
        <v>11.395</v>
      </c>
      <c r="P139" s="1" t="str">
        <f>IF( AND( Table4[[#This Row],[Route]]=ClosureLocation!$B$3, ClosureLocation!$B$6 &gt;= Table4[[#This Row],[StartMP]], ClosureLocation!$B$6 &lt;= Table4[[#This Row],[EndMP]]), "Yes", "")</f>
        <v/>
      </c>
      <c r="Q139" s="1" t="str">
        <f>IF( AND( Table4[[#This Row],[Route]]=ClosureLocation!$B$3, ClosureLocation!$B$6 &lt;= Table4[[#This Row],[StartMP]], ClosureLocation!$B$6 &gt;= Table4[[#This Row],[EndMP]]), "Yes", "")</f>
        <v/>
      </c>
      <c r="R139" s="1" t="str">
        <f>IF( OR( Table4[[#This Row],[PrimaryMatch]]="Yes", Table4[[#This Row],[SecondaryMatch]]="Yes"), "Yes", "")</f>
        <v/>
      </c>
    </row>
    <row r="140" spans="1:18" hidden="1" x14ac:dyDescent="0.25">
      <c r="A140" t="s">
        <v>1573</v>
      </c>
      <c r="B140" t="s">
        <v>3205</v>
      </c>
      <c r="C140" t="s">
        <v>3206</v>
      </c>
      <c r="D140" t="s">
        <v>4877</v>
      </c>
      <c r="E140" s="1">
        <v>0</v>
      </c>
      <c r="F140" s="1">
        <v>5.2480000000000002</v>
      </c>
      <c r="K140" s="39">
        <f>DefaultValues!$B$2</f>
        <v>1440</v>
      </c>
      <c r="L140" s="1">
        <f>DefaultValues!$C$2</f>
        <v>1999</v>
      </c>
      <c r="M140" s="1" t="str">
        <f>DefaultValues!$D$2</f>
        <v xml:space="preserve">- Detour not possible - </v>
      </c>
      <c r="N140" s="1">
        <v>0</v>
      </c>
      <c r="O140" s="1">
        <f>ABS(Table4[[#This Row],[EndMP]]-Table4[[#This Row],[StartMP]])</f>
        <v>5.2480000000000002</v>
      </c>
      <c r="P140" s="1" t="str">
        <f>IF( AND( Table4[[#This Row],[Route]]=ClosureLocation!$B$3, ClosureLocation!$B$6 &gt;= Table4[[#This Row],[StartMP]], ClosureLocation!$B$6 &lt;= Table4[[#This Row],[EndMP]]), "Yes", "")</f>
        <v/>
      </c>
      <c r="Q140" s="1" t="str">
        <f>IF( AND( Table4[[#This Row],[Route]]=ClosureLocation!$B$3, ClosureLocation!$B$6 &lt;= Table4[[#This Row],[StartMP]], ClosureLocation!$B$6 &gt;= Table4[[#This Row],[EndMP]]), "Yes", "")</f>
        <v/>
      </c>
      <c r="R140" s="1" t="str">
        <f>IF( OR( Table4[[#This Row],[PrimaryMatch]]="Yes", Table4[[#This Row],[SecondaryMatch]]="Yes"), "Yes", "")</f>
        <v/>
      </c>
    </row>
    <row r="141" spans="1:18" hidden="1" x14ac:dyDescent="0.25">
      <c r="A141" t="s">
        <v>1573</v>
      </c>
      <c r="B141" t="s">
        <v>3209</v>
      </c>
      <c r="C141" t="s">
        <v>3210</v>
      </c>
      <c r="D141" t="s">
        <v>4878</v>
      </c>
      <c r="E141" s="1">
        <v>5.2480000000000002</v>
      </c>
      <c r="F141" s="1">
        <v>0</v>
      </c>
      <c r="K141" s="39">
        <f>DefaultValues!$B$2</f>
        <v>1440</v>
      </c>
      <c r="L141" s="1">
        <f>DefaultValues!$C$2</f>
        <v>1999</v>
      </c>
      <c r="M141" s="1" t="str">
        <f>DefaultValues!$D$2</f>
        <v xml:space="preserve">- Detour not possible - </v>
      </c>
      <c r="N141" s="1">
        <f>1000 - 5.248</f>
        <v>994.75199999999995</v>
      </c>
      <c r="O141" s="1">
        <f>ABS(Table4[[#This Row],[EndMP]]-Table4[[#This Row],[StartMP]])</f>
        <v>5.2480000000000002</v>
      </c>
      <c r="P141" s="1" t="str">
        <f>IF( AND( Table4[[#This Row],[Route]]=ClosureLocation!$B$3, ClosureLocation!$B$6 &gt;= Table4[[#This Row],[StartMP]], ClosureLocation!$B$6 &lt;= Table4[[#This Row],[EndMP]]), "Yes", "")</f>
        <v/>
      </c>
      <c r="Q141" s="1" t="str">
        <f>IF( AND( Table4[[#This Row],[Route]]=ClosureLocation!$B$3, ClosureLocation!$B$6 &lt;= Table4[[#This Row],[StartMP]], ClosureLocation!$B$6 &gt;= Table4[[#This Row],[EndMP]]), "Yes", "")</f>
        <v/>
      </c>
      <c r="R141" s="1" t="str">
        <f>IF( OR( Table4[[#This Row],[PrimaryMatch]]="Yes", Table4[[#This Row],[SecondaryMatch]]="Yes"), "Yes", "")</f>
        <v/>
      </c>
    </row>
    <row r="142" spans="1:18" hidden="1" x14ac:dyDescent="0.25">
      <c r="A142" t="s">
        <v>1639</v>
      </c>
      <c r="B142" t="s">
        <v>3205</v>
      </c>
      <c r="C142" t="s">
        <v>3222</v>
      </c>
      <c r="D142" t="s">
        <v>4879</v>
      </c>
      <c r="E142" s="1">
        <v>0.123</v>
      </c>
      <c r="F142" s="1">
        <v>9.3780000000000001</v>
      </c>
      <c r="K142" s="39">
        <f>DefaultValues!$B$2</f>
        <v>1440</v>
      </c>
      <c r="L142" s="1">
        <f>DefaultValues!$C$2</f>
        <v>1999</v>
      </c>
      <c r="M142" s="1" t="str">
        <f>DefaultValues!$D$2</f>
        <v xml:space="preserve">- Detour not possible - </v>
      </c>
      <c r="N142" s="1">
        <v>0.123</v>
      </c>
      <c r="O142" s="1">
        <f>ABS(Table4[[#This Row],[EndMP]]-Table4[[#This Row],[StartMP]])</f>
        <v>9.2550000000000008</v>
      </c>
      <c r="P142" s="1" t="str">
        <f>IF( AND( Table4[[#This Row],[Route]]=ClosureLocation!$B$3, ClosureLocation!$B$6 &gt;= Table4[[#This Row],[StartMP]], ClosureLocation!$B$6 &lt;= Table4[[#This Row],[EndMP]]), "Yes", "")</f>
        <v/>
      </c>
      <c r="Q142" s="1" t="str">
        <f>IF( AND( Table4[[#This Row],[Route]]=ClosureLocation!$B$3, ClosureLocation!$B$6 &lt;= Table4[[#This Row],[StartMP]], ClosureLocation!$B$6 &gt;= Table4[[#This Row],[EndMP]]), "Yes", "")</f>
        <v/>
      </c>
      <c r="R142" s="1" t="str">
        <f>IF( OR( Table4[[#This Row],[PrimaryMatch]]="Yes", Table4[[#This Row],[SecondaryMatch]]="Yes"), "Yes", "")</f>
        <v/>
      </c>
    </row>
    <row r="143" spans="1:18" hidden="1" x14ac:dyDescent="0.25">
      <c r="A143" t="s">
        <v>1639</v>
      </c>
      <c r="B143" t="s">
        <v>3209</v>
      </c>
      <c r="C143" t="s">
        <v>3226</v>
      </c>
      <c r="D143" t="s">
        <v>4880</v>
      </c>
      <c r="E143" s="1">
        <v>9.3780000000000001</v>
      </c>
      <c r="F143" s="1">
        <v>0.123</v>
      </c>
      <c r="K143" s="39">
        <f>DefaultValues!$B$2</f>
        <v>1440</v>
      </c>
      <c r="L143" s="1">
        <f>DefaultValues!$C$2</f>
        <v>1999</v>
      </c>
      <c r="M143" s="1" t="str">
        <f>DefaultValues!$D$2</f>
        <v xml:space="preserve">- Detour not possible - </v>
      </c>
      <c r="N143" s="1">
        <f>1000 - 9.378</f>
        <v>990.62199999999996</v>
      </c>
      <c r="O143" s="1">
        <f>ABS(Table4[[#This Row],[EndMP]]-Table4[[#This Row],[StartMP]])</f>
        <v>9.2550000000000008</v>
      </c>
      <c r="P143" s="1" t="str">
        <f>IF( AND( Table4[[#This Row],[Route]]=ClosureLocation!$B$3, ClosureLocation!$B$6 &gt;= Table4[[#This Row],[StartMP]], ClosureLocation!$B$6 &lt;= Table4[[#This Row],[EndMP]]), "Yes", "")</f>
        <v/>
      </c>
      <c r="Q143" s="1" t="str">
        <f>IF( AND( Table4[[#This Row],[Route]]=ClosureLocation!$B$3, ClosureLocation!$B$6 &lt;= Table4[[#This Row],[StartMP]], ClosureLocation!$B$6 &gt;= Table4[[#This Row],[EndMP]]), "Yes", "")</f>
        <v/>
      </c>
      <c r="R143" s="1" t="str">
        <f>IF( OR( Table4[[#This Row],[PrimaryMatch]]="Yes", Table4[[#This Row],[SecondaryMatch]]="Yes"), "Yes", "")</f>
        <v/>
      </c>
    </row>
    <row r="144" spans="1:18" hidden="1" x14ac:dyDescent="0.25">
      <c r="A144" t="s">
        <v>728</v>
      </c>
      <c r="B144" t="s">
        <v>3209</v>
      </c>
      <c r="C144" t="s">
        <v>3226</v>
      </c>
      <c r="D144" t="s">
        <v>3708</v>
      </c>
      <c r="E144" s="1">
        <v>23.414000000000001</v>
      </c>
      <c r="F144" s="1">
        <v>0</v>
      </c>
      <c r="G144">
        <v>1</v>
      </c>
      <c r="H144">
        <v>2</v>
      </c>
      <c r="I144" t="s">
        <v>2519</v>
      </c>
      <c r="J144" t="s">
        <v>1699</v>
      </c>
      <c r="K144" s="39">
        <v>232.00438700000001</v>
      </c>
      <c r="L144" s="1">
        <v>184.637844</v>
      </c>
      <c r="M144" s="1" t="s">
        <v>3709</v>
      </c>
      <c r="N144" s="1">
        <v>976.58600000000001</v>
      </c>
      <c r="O144" s="1">
        <f>ABS(Table4[[#This Row],[EndMP]]-Table4[[#This Row],[StartMP]])</f>
        <v>23.414000000000001</v>
      </c>
      <c r="P144" s="1" t="str">
        <f>IF( AND( Table4[[#This Row],[Route]]=ClosureLocation!$B$3, ClosureLocation!$B$6 &gt;= Table4[[#This Row],[StartMP]], ClosureLocation!$B$6 &lt;= Table4[[#This Row],[EndMP]]), "Yes", "")</f>
        <v/>
      </c>
      <c r="Q144" s="1" t="str">
        <f>IF( AND( Table4[[#This Row],[Route]]=ClosureLocation!$B$3, ClosureLocation!$B$6 &lt;= Table4[[#This Row],[StartMP]], ClosureLocation!$B$6 &gt;= Table4[[#This Row],[EndMP]]), "Yes", "")</f>
        <v/>
      </c>
      <c r="R144" s="1" t="str">
        <f>IF( OR( Table4[[#This Row],[PrimaryMatch]]="Yes", Table4[[#This Row],[SecondaryMatch]]="Yes"), "Yes", "")</f>
        <v/>
      </c>
    </row>
    <row r="145" spans="1:18" hidden="1" x14ac:dyDescent="0.25">
      <c r="A145" t="s">
        <v>728</v>
      </c>
      <c r="B145" t="s">
        <v>3205</v>
      </c>
      <c r="C145" t="s">
        <v>3222</v>
      </c>
      <c r="D145" t="s">
        <v>3706</v>
      </c>
      <c r="E145" s="1">
        <v>0</v>
      </c>
      <c r="F145" s="1">
        <v>23.414000000000001</v>
      </c>
      <c r="G145">
        <v>1</v>
      </c>
      <c r="H145">
        <v>1</v>
      </c>
      <c r="I145" t="s">
        <v>2518</v>
      </c>
      <c r="J145" t="s">
        <v>1699</v>
      </c>
      <c r="K145" s="39">
        <v>231.98477700000001</v>
      </c>
      <c r="L145" s="1">
        <v>184.637844</v>
      </c>
      <c r="M145" s="1" t="s">
        <v>3707</v>
      </c>
      <c r="N145" s="1">
        <v>0</v>
      </c>
      <c r="O145" s="1">
        <f>ABS(Table4[[#This Row],[EndMP]]-Table4[[#This Row],[StartMP]])</f>
        <v>23.414000000000001</v>
      </c>
      <c r="P145" s="1" t="str">
        <f>IF( AND( Table4[[#This Row],[Route]]=ClosureLocation!$B$3, ClosureLocation!$B$6 &gt;= Table4[[#This Row],[StartMP]], ClosureLocation!$B$6 &lt;= Table4[[#This Row],[EndMP]]), "Yes", "")</f>
        <v/>
      </c>
      <c r="Q145" s="1" t="str">
        <f>IF( AND( Table4[[#This Row],[Route]]=ClosureLocation!$B$3, ClosureLocation!$B$6 &lt;= Table4[[#This Row],[StartMP]], ClosureLocation!$B$6 &gt;= Table4[[#This Row],[EndMP]]), "Yes", "")</f>
        <v/>
      </c>
      <c r="R145" s="1" t="str">
        <f>IF( OR( Table4[[#This Row],[PrimaryMatch]]="Yes", Table4[[#This Row],[SecondaryMatch]]="Yes"), "Yes", "")</f>
        <v/>
      </c>
    </row>
    <row r="146" spans="1:18" hidden="1" x14ac:dyDescent="0.25">
      <c r="A146" t="s">
        <v>957</v>
      </c>
      <c r="B146" t="s">
        <v>3205</v>
      </c>
      <c r="C146" t="s">
        <v>3222</v>
      </c>
      <c r="D146" t="s">
        <v>3855</v>
      </c>
      <c r="E146" s="1">
        <v>0.04</v>
      </c>
      <c r="F146" s="1">
        <v>11.699</v>
      </c>
      <c r="G146">
        <v>1</v>
      </c>
      <c r="H146">
        <v>1</v>
      </c>
      <c r="I146" t="s">
        <v>2755</v>
      </c>
      <c r="J146" t="s">
        <v>1702</v>
      </c>
      <c r="K146" s="39">
        <v>216.812522</v>
      </c>
      <c r="L146" s="1">
        <v>195.16628800000001</v>
      </c>
      <c r="M146" s="1" t="s">
        <v>3856</v>
      </c>
      <c r="N146" s="1">
        <v>0.04</v>
      </c>
      <c r="O146" s="1">
        <f>ABS(Table4[[#This Row],[EndMP]]-Table4[[#This Row],[StartMP]])</f>
        <v>11.659000000000001</v>
      </c>
      <c r="P146" s="1" t="str">
        <f>IF( AND( Table4[[#This Row],[Route]]=ClosureLocation!$B$3, ClosureLocation!$B$6 &gt;= Table4[[#This Row],[StartMP]], ClosureLocation!$B$6 &lt;= Table4[[#This Row],[EndMP]]), "Yes", "")</f>
        <v/>
      </c>
      <c r="Q146" s="1" t="str">
        <f>IF( AND( Table4[[#This Row],[Route]]=ClosureLocation!$B$3, ClosureLocation!$B$6 &lt;= Table4[[#This Row],[StartMP]], ClosureLocation!$B$6 &gt;= Table4[[#This Row],[EndMP]]), "Yes", "")</f>
        <v/>
      </c>
      <c r="R146" s="1" t="str">
        <f>IF( OR( Table4[[#This Row],[PrimaryMatch]]="Yes", Table4[[#This Row],[SecondaryMatch]]="Yes"), "Yes", "")</f>
        <v/>
      </c>
    </row>
    <row r="147" spans="1:18" hidden="1" x14ac:dyDescent="0.25">
      <c r="A147" t="s">
        <v>957</v>
      </c>
      <c r="B147" t="s">
        <v>3209</v>
      </c>
      <c r="C147" t="s">
        <v>3226</v>
      </c>
      <c r="D147" t="s">
        <v>3858</v>
      </c>
      <c r="E147" s="1">
        <v>11.699</v>
      </c>
      <c r="F147" s="1">
        <v>0.04</v>
      </c>
      <c r="G147">
        <v>2</v>
      </c>
      <c r="H147">
        <v>2</v>
      </c>
      <c r="I147" t="s">
        <v>2758</v>
      </c>
      <c r="J147" t="s">
        <v>1702</v>
      </c>
      <c r="K147" s="39">
        <v>216.37079800000001</v>
      </c>
      <c r="L147" s="1">
        <v>194.864868</v>
      </c>
      <c r="M147" s="1" t="s">
        <v>3860</v>
      </c>
      <c r="N147" s="1">
        <v>988.30100000000004</v>
      </c>
      <c r="O147" s="1">
        <f>ABS(Table4[[#This Row],[EndMP]]-Table4[[#This Row],[StartMP]])</f>
        <v>11.659000000000001</v>
      </c>
      <c r="P147" s="1" t="str">
        <f>IF( AND( Table4[[#This Row],[Route]]=ClosureLocation!$B$3, ClosureLocation!$B$6 &gt;= Table4[[#This Row],[StartMP]], ClosureLocation!$B$6 &lt;= Table4[[#This Row],[EndMP]]), "Yes", "")</f>
        <v/>
      </c>
      <c r="Q147" s="1" t="str">
        <f>IF( AND( Table4[[#This Row],[Route]]=ClosureLocation!$B$3, ClosureLocation!$B$6 &lt;= Table4[[#This Row],[StartMP]], ClosureLocation!$B$6 &gt;= Table4[[#This Row],[EndMP]]), "Yes", "")</f>
        <v/>
      </c>
      <c r="R147" s="1" t="str">
        <f>IF( OR( Table4[[#This Row],[PrimaryMatch]]="Yes", Table4[[#This Row],[SecondaryMatch]]="Yes"), "Yes", "")</f>
        <v/>
      </c>
    </row>
    <row r="148" spans="1:18" hidden="1" x14ac:dyDescent="0.25">
      <c r="A148" t="s">
        <v>1680</v>
      </c>
      <c r="B148" t="s">
        <v>3205</v>
      </c>
      <c r="C148" t="s">
        <v>3206</v>
      </c>
      <c r="D148" t="s">
        <v>4423</v>
      </c>
      <c r="E148" s="1">
        <v>103.702</v>
      </c>
      <c r="F148" s="1">
        <v>130.21899999999999</v>
      </c>
      <c r="G148">
        <v>2</v>
      </c>
      <c r="H148">
        <v>2</v>
      </c>
      <c r="I148" t="s">
        <v>3202</v>
      </c>
      <c r="J148" t="s">
        <v>1693</v>
      </c>
      <c r="K148" s="39">
        <v>206.361323</v>
      </c>
      <c r="L148" s="1">
        <v>165.944861</v>
      </c>
      <c r="M148" s="1" t="s">
        <v>4425</v>
      </c>
      <c r="N148" s="1">
        <v>103.702</v>
      </c>
      <c r="O148" s="1">
        <f>ABS(Table4[[#This Row],[EndMP]]-Table4[[#This Row],[StartMP]])</f>
        <v>26.516999999999996</v>
      </c>
      <c r="P148" s="1" t="str">
        <f>IF( AND( Table4[[#This Row],[Route]]=ClosureLocation!$B$3, ClosureLocation!$B$6 &gt;= Table4[[#This Row],[StartMP]], ClosureLocation!$B$6 &lt;= Table4[[#This Row],[EndMP]]), "Yes", "")</f>
        <v/>
      </c>
      <c r="Q148" s="1" t="str">
        <f>IF( AND( Table4[[#This Row],[Route]]=ClosureLocation!$B$3, ClosureLocation!$B$6 &lt;= Table4[[#This Row],[StartMP]], ClosureLocation!$B$6 &gt;= Table4[[#This Row],[EndMP]]), "Yes", "")</f>
        <v/>
      </c>
      <c r="R148" s="1" t="str">
        <f>IF( OR( Table4[[#This Row],[PrimaryMatch]]="Yes", Table4[[#This Row],[SecondaryMatch]]="Yes"), "Yes", "")</f>
        <v/>
      </c>
    </row>
    <row r="149" spans="1:18" hidden="1" x14ac:dyDescent="0.25">
      <c r="A149" t="s">
        <v>1680</v>
      </c>
      <c r="B149" t="s">
        <v>3209</v>
      </c>
      <c r="C149" t="s">
        <v>3210</v>
      </c>
      <c r="D149" t="s">
        <v>4426</v>
      </c>
      <c r="E149" s="1">
        <v>130.21899999999999</v>
      </c>
      <c r="F149" s="1">
        <v>103.702</v>
      </c>
      <c r="G149">
        <v>1</v>
      </c>
      <c r="H149">
        <v>3</v>
      </c>
      <c r="I149" t="s">
        <v>3203</v>
      </c>
      <c r="J149" t="s">
        <v>1693</v>
      </c>
      <c r="K149" s="39">
        <v>206.25202200000001</v>
      </c>
      <c r="L149" s="1">
        <v>165.944861</v>
      </c>
      <c r="M149" s="1" t="s">
        <v>4427</v>
      </c>
      <c r="N149" s="1">
        <v>869.78099999999995</v>
      </c>
      <c r="O149" s="1">
        <f>ABS(Table4[[#This Row],[EndMP]]-Table4[[#This Row],[StartMP]])</f>
        <v>26.516999999999996</v>
      </c>
      <c r="P149" s="1" t="str">
        <f>IF( AND( Table4[[#This Row],[Route]]=ClosureLocation!$B$3, ClosureLocation!$B$6 &gt;= Table4[[#This Row],[StartMP]], ClosureLocation!$B$6 &lt;= Table4[[#This Row],[EndMP]]), "Yes", "")</f>
        <v/>
      </c>
      <c r="Q149" s="1" t="str">
        <f>IF( AND( Table4[[#This Row],[Route]]=ClosureLocation!$B$3, ClosureLocation!$B$6 &lt;= Table4[[#This Row],[StartMP]], ClosureLocation!$B$6 &gt;= Table4[[#This Row],[EndMP]]), "Yes", "")</f>
        <v/>
      </c>
      <c r="R149" s="1" t="str">
        <f>IF( OR( Table4[[#This Row],[PrimaryMatch]]="Yes", Table4[[#This Row],[SecondaryMatch]]="Yes"), "Yes", "")</f>
        <v/>
      </c>
    </row>
    <row r="150" spans="1:18" hidden="1" x14ac:dyDescent="0.25">
      <c r="A150" t="s">
        <v>1284</v>
      </c>
      <c r="B150" t="s">
        <v>3205</v>
      </c>
      <c r="C150" t="s">
        <v>3206</v>
      </c>
      <c r="D150" t="s">
        <v>4121</v>
      </c>
      <c r="E150" s="1">
        <v>84.289000000000001</v>
      </c>
      <c r="F150" s="1">
        <v>116.879</v>
      </c>
      <c r="G150">
        <v>4</v>
      </c>
      <c r="H150">
        <v>1</v>
      </c>
      <c r="I150" t="s">
        <v>2960</v>
      </c>
      <c r="J150" t="s">
        <v>1702</v>
      </c>
      <c r="K150" s="39">
        <v>205.67117099999999</v>
      </c>
      <c r="L150" s="1">
        <v>134.324456</v>
      </c>
      <c r="M150" s="1" t="s">
        <v>4125</v>
      </c>
      <c r="N150" s="1">
        <v>84.289000000000001</v>
      </c>
      <c r="O150" s="1">
        <f>ABS(Table4[[#This Row],[EndMP]]-Table4[[#This Row],[StartMP]])</f>
        <v>32.590000000000003</v>
      </c>
      <c r="P150" s="1" t="str">
        <f>IF( AND( Table4[[#This Row],[Route]]=ClosureLocation!$B$3, ClosureLocation!$B$6 &gt;= Table4[[#This Row],[StartMP]], ClosureLocation!$B$6 &lt;= Table4[[#This Row],[EndMP]]), "Yes", "")</f>
        <v/>
      </c>
      <c r="Q150" s="1" t="str">
        <f>IF( AND( Table4[[#This Row],[Route]]=ClosureLocation!$B$3, ClosureLocation!$B$6 &lt;= Table4[[#This Row],[StartMP]], ClosureLocation!$B$6 &gt;= Table4[[#This Row],[EndMP]]), "Yes", "")</f>
        <v/>
      </c>
      <c r="R150" s="1" t="str">
        <f>IF( OR( Table4[[#This Row],[PrimaryMatch]]="Yes", Table4[[#This Row],[SecondaryMatch]]="Yes"), "Yes", "")</f>
        <v/>
      </c>
    </row>
    <row r="151" spans="1:18" hidden="1" x14ac:dyDescent="0.25">
      <c r="A151" t="s">
        <v>1284</v>
      </c>
      <c r="B151" t="s">
        <v>3209</v>
      </c>
      <c r="C151" t="s">
        <v>3210</v>
      </c>
      <c r="D151" t="s">
        <v>4126</v>
      </c>
      <c r="E151" s="1">
        <v>116.879</v>
      </c>
      <c r="F151" s="1">
        <v>84.289000000000001</v>
      </c>
      <c r="G151">
        <v>1</v>
      </c>
      <c r="H151">
        <v>2</v>
      </c>
      <c r="I151" t="s">
        <v>2961</v>
      </c>
      <c r="J151" t="s">
        <v>1702</v>
      </c>
      <c r="K151" s="39">
        <v>205.640705</v>
      </c>
      <c r="L151" s="1">
        <v>134.324456</v>
      </c>
      <c r="M151" s="1" t="s">
        <v>4127</v>
      </c>
      <c r="N151" s="1">
        <v>883.12099999999998</v>
      </c>
      <c r="O151" s="1">
        <f>ABS(Table4[[#This Row],[EndMP]]-Table4[[#This Row],[StartMP]])</f>
        <v>32.590000000000003</v>
      </c>
      <c r="P151" s="1" t="str">
        <f>IF( AND( Table4[[#This Row],[Route]]=ClosureLocation!$B$3, ClosureLocation!$B$6 &gt;= Table4[[#This Row],[StartMP]], ClosureLocation!$B$6 &lt;= Table4[[#This Row],[EndMP]]), "Yes", "")</f>
        <v/>
      </c>
      <c r="Q151" s="1" t="str">
        <f>IF( AND( Table4[[#This Row],[Route]]=ClosureLocation!$B$3, ClosureLocation!$B$6 &lt;= Table4[[#This Row],[StartMP]], ClosureLocation!$B$6 &gt;= Table4[[#This Row],[EndMP]]), "Yes", "")</f>
        <v/>
      </c>
      <c r="R151" s="1" t="str">
        <f>IF( OR( Table4[[#This Row],[PrimaryMatch]]="Yes", Table4[[#This Row],[SecondaryMatch]]="Yes"), "Yes", "")</f>
        <v/>
      </c>
    </row>
    <row r="152" spans="1:18" hidden="1" x14ac:dyDescent="0.25">
      <c r="A152" t="s">
        <v>776</v>
      </c>
      <c r="B152" t="s">
        <v>3209</v>
      </c>
      <c r="C152" t="s">
        <v>3226</v>
      </c>
      <c r="D152" t="s">
        <v>3749</v>
      </c>
      <c r="E152" s="1">
        <v>10.819000000000001</v>
      </c>
      <c r="F152" s="1">
        <v>0</v>
      </c>
      <c r="G152">
        <v>54</v>
      </c>
      <c r="H152">
        <v>107</v>
      </c>
      <c r="I152" t="s">
        <v>2653</v>
      </c>
      <c r="J152" t="s">
        <v>1694</v>
      </c>
      <c r="K152" s="39">
        <v>203.348603</v>
      </c>
      <c r="L152" s="1">
        <v>123.394938</v>
      </c>
      <c r="M152" s="58" t="s">
        <v>4966</v>
      </c>
      <c r="N152" s="1">
        <v>989.18100000000004</v>
      </c>
      <c r="O152" s="1">
        <f>ABS(Table4[[#This Row],[EndMP]]-Table4[[#This Row],[StartMP]])</f>
        <v>10.819000000000001</v>
      </c>
      <c r="P152" s="1" t="str">
        <f>IF( AND( Table4[[#This Row],[Route]]=ClosureLocation!$B$3, ClosureLocation!$B$6 &gt;= Table4[[#This Row],[StartMP]], ClosureLocation!$B$6 &lt;= Table4[[#This Row],[EndMP]]), "Yes", "")</f>
        <v/>
      </c>
      <c r="Q152" s="1" t="str">
        <f>IF( AND( Table4[[#This Row],[Route]]=ClosureLocation!$B$3, ClosureLocation!$B$6 &lt;= Table4[[#This Row],[StartMP]], ClosureLocation!$B$6 &gt;= Table4[[#This Row],[EndMP]]), "Yes", "")</f>
        <v/>
      </c>
      <c r="R152" s="1" t="str">
        <f>IF( OR( Table4[[#This Row],[PrimaryMatch]]="Yes", Table4[[#This Row],[SecondaryMatch]]="Yes"), "Yes", "")</f>
        <v/>
      </c>
    </row>
    <row r="153" spans="1:18" hidden="1" x14ac:dyDescent="0.25">
      <c r="A153" t="s">
        <v>776</v>
      </c>
      <c r="B153" t="s">
        <v>3205</v>
      </c>
      <c r="C153" t="s">
        <v>3222</v>
      </c>
      <c r="D153" t="s">
        <v>3748</v>
      </c>
      <c r="E153" s="1">
        <v>0</v>
      </c>
      <c r="F153" s="1">
        <v>10.819000000000001</v>
      </c>
      <c r="G153">
        <v>1</v>
      </c>
      <c r="H153">
        <v>1</v>
      </c>
      <c r="I153" t="s">
        <v>2546</v>
      </c>
      <c r="J153" t="s">
        <v>1694</v>
      </c>
      <c r="K153" s="39">
        <v>203.16110699999999</v>
      </c>
      <c r="L153" s="1">
        <v>123.39890800000001</v>
      </c>
      <c r="M153" s="58" t="s">
        <v>4965</v>
      </c>
      <c r="N153" s="1">
        <v>0</v>
      </c>
      <c r="O153" s="1">
        <f>ABS(Table4[[#This Row],[EndMP]]-Table4[[#This Row],[StartMP]])</f>
        <v>10.819000000000001</v>
      </c>
      <c r="P153" s="1" t="str">
        <f>IF( AND( Table4[[#This Row],[Route]]=ClosureLocation!$B$3, ClosureLocation!$B$6 &gt;= Table4[[#This Row],[StartMP]], ClosureLocation!$B$6 &lt;= Table4[[#This Row],[EndMP]]), "Yes", "")</f>
        <v/>
      </c>
      <c r="Q153" s="1" t="str">
        <f>IF( AND( Table4[[#This Row],[Route]]=ClosureLocation!$B$3, ClosureLocation!$B$6 &lt;= Table4[[#This Row],[StartMP]], ClosureLocation!$B$6 &gt;= Table4[[#This Row],[EndMP]]), "Yes", "")</f>
        <v/>
      </c>
      <c r="R153" s="1" t="str">
        <f>IF( OR( Table4[[#This Row],[PrimaryMatch]]="Yes", Table4[[#This Row],[SecondaryMatch]]="Yes"), "Yes", "")</f>
        <v/>
      </c>
    </row>
    <row r="154" spans="1:18" hidden="1" x14ac:dyDescent="0.25">
      <c r="A154" t="s">
        <v>1501</v>
      </c>
      <c r="B154" t="s">
        <v>3205</v>
      </c>
      <c r="C154" t="s">
        <v>3206</v>
      </c>
      <c r="D154" t="s">
        <v>4275</v>
      </c>
      <c r="E154" s="1">
        <v>0</v>
      </c>
      <c r="F154" s="1">
        <v>28.777000000000001</v>
      </c>
      <c r="G154">
        <v>1</v>
      </c>
      <c r="H154">
        <v>1</v>
      </c>
      <c r="I154" t="s">
        <v>3087</v>
      </c>
      <c r="J154" t="s">
        <v>1695</v>
      </c>
      <c r="K154" s="39">
        <v>186.02967599999999</v>
      </c>
      <c r="L154" s="1">
        <v>157.244584</v>
      </c>
      <c r="M154" s="58" t="s">
        <v>5026</v>
      </c>
      <c r="N154" s="1">
        <v>0</v>
      </c>
      <c r="O154" s="1">
        <f>ABS(Table4[[#This Row],[EndMP]]-Table4[[#This Row],[StartMP]])</f>
        <v>28.777000000000001</v>
      </c>
      <c r="P154" s="1" t="str">
        <f>IF( AND( Table4[[#This Row],[Route]]=ClosureLocation!$B$3, ClosureLocation!$B$6 &gt;= Table4[[#This Row],[StartMP]], ClosureLocation!$B$6 &lt;= Table4[[#This Row],[EndMP]]), "Yes", "")</f>
        <v/>
      </c>
      <c r="Q154" s="1" t="str">
        <f>IF( AND( Table4[[#This Row],[Route]]=ClosureLocation!$B$3, ClosureLocation!$B$6 &lt;= Table4[[#This Row],[StartMP]], ClosureLocation!$B$6 &gt;= Table4[[#This Row],[EndMP]]), "Yes", "")</f>
        <v/>
      </c>
      <c r="R154" s="1" t="str">
        <f>IF( OR( Table4[[#This Row],[PrimaryMatch]]="Yes", Table4[[#This Row],[SecondaryMatch]]="Yes"), "Yes", "")</f>
        <v/>
      </c>
    </row>
    <row r="155" spans="1:18" hidden="1" x14ac:dyDescent="0.25">
      <c r="A155" t="s">
        <v>1501</v>
      </c>
      <c r="B155" t="s">
        <v>3209</v>
      </c>
      <c r="C155" t="s">
        <v>3210</v>
      </c>
      <c r="D155" t="s">
        <v>4276</v>
      </c>
      <c r="E155" s="1">
        <v>28.777000000000001</v>
      </c>
      <c r="F155" s="1">
        <v>0</v>
      </c>
      <c r="G155">
        <v>2</v>
      </c>
      <c r="H155">
        <v>4</v>
      </c>
      <c r="I155" t="s">
        <v>3090</v>
      </c>
      <c r="J155" t="s">
        <v>1695</v>
      </c>
      <c r="K155" s="39">
        <v>186.02962400000001</v>
      </c>
      <c r="L155" s="1">
        <v>157.244584</v>
      </c>
      <c r="M155" s="58" t="s">
        <v>5029</v>
      </c>
      <c r="N155" s="1">
        <v>971.22299999999996</v>
      </c>
      <c r="O155" s="1">
        <f>ABS(Table4[[#This Row],[EndMP]]-Table4[[#This Row],[StartMP]])</f>
        <v>28.777000000000001</v>
      </c>
      <c r="P155" s="1" t="str">
        <f>IF( AND( Table4[[#This Row],[Route]]=ClosureLocation!$B$3, ClosureLocation!$B$6 &gt;= Table4[[#This Row],[StartMP]], ClosureLocation!$B$6 &lt;= Table4[[#This Row],[EndMP]]), "Yes", "")</f>
        <v/>
      </c>
      <c r="Q155" s="1" t="str">
        <f>IF( AND( Table4[[#This Row],[Route]]=ClosureLocation!$B$3, ClosureLocation!$B$6 &lt;= Table4[[#This Row],[StartMP]], ClosureLocation!$B$6 &gt;= Table4[[#This Row],[EndMP]]), "Yes", "")</f>
        <v/>
      </c>
      <c r="R155" s="1" t="str">
        <f>IF( OR( Table4[[#This Row],[PrimaryMatch]]="Yes", Table4[[#This Row],[SecondaryMatch]]="Yes"), "Yes", "")</f>
        <v/>
      </c>
    </row>
    <row r="156" spans="1:18" hidden="1" x14ac:dyDescent="0.25">
      <c r="A156" t="s">
        <v>973</v>
      </c>
      <c r="B156" t="s">
        <v>3209</v>
      </c>
      <c r="C156" t="s">
        <v>3210</v>
      </c>
      <c r="D156" t="s">
        <v>3872</v>
      </c>
      <c r="E156" s="1">
        <v>27.873000000000001</v>
      </c>
      <c r="F156" s="1">
        <v>0</v>
      </c>
      <c r="G156">
        <v>1</v>
      </c>
      <c r="H156">
        <v>2</v>
      </c>
      <c r="I156" t="s">
        <v>2768</v>
      </c>
      <c r="J156" t="s">
        <v>1695</v>
      </c>
      <c r="K156" s="39">
        <v>162.808672</v>
      </c>
      <c r="L156" s="1">
        <v>110.50056600000001</v>
      </c>
      <c r="M156" s="1" t="s">
        <v>4992</v>
      </c>
      <c r="N156" s="1">
        <v>972.12699999999995</v>
      </c>
      <c r="O156" s="1">
        <f>ABS(Table4[[#This Row],[EndMP]]-Table4[[#This Row],[StartMP]])</f>
        <v>27.873000000000001</v>
      </c>
      <c r="P156" s="1" t="str">
        <f>IF( AND( Table4[[#This Row],[Route]]=ClosureLocation!$B$3, ClosureLocation!$B$6 &gt;= Table4[[#This Row],[StartMP]], ClosureLocation!$B$6 &lt;= Table4[[#This Row],[EndMP]]), "Yes", "")</f>
        <v/>
      </c>
      <c r="Q156" s="1" t="str">
        <f>IF( AND( Table4[[#This Row],[Route]]=ClosureLocation!$B$3, ClosureLocation!$B$6 &lt;= Table4[[#This Row],[StartMP]], ClosureLocation!$B$6 &gt;= Table4[[#This Row],[EndMP]]), "Yes", "")</f>
        <v/>
      </c>
      <c r="R156" s="1" t="str">
        <f>IF( OR( Table4[[#This Row],[PrimaryMatch]]="Yes", Table4[[#This Row],[SecondaryMatch]]="Yes"), "Yes", "")</f>
        <v/>
      </c>
    </row>
    <row r="157" spans="1:18" hidden="1" x14ac:dyDescent="0.25">
      <c r="A157" t="s">
        <v>973</v>
      </c>
      <c r="B157" t="s">
        <v>3205</v>
      </c>
      <c r="C157" t="s">
        <v>3206</v>
      </c>
      <c r="D157" t="s">
        <v>3871</v>
      </c>
      <c r="E157" s="1">
        <v>0</v>
      </c>
      <c r="F157" s="1">
        <v>27.873000000000001</v>
      </c>
      <c r="G157">
        <v>1</v>
      </c>
      <c r="H157">
        <v>1</v>
      </c>
      <c r="I157" t="s">
        <v>2767</v>
      </c>
      <c r="J157" t="s">
        <v>1695</v>
      </c>
      <c r="K157" s="39">
        <v>162.794297</v>
      </c>
      <c r="L157" s="1">
        <v>110.50056600000001</v>
      </c>
      <c r="M157" s="1" t="s">
        <v>4991</v>
      </c>
      <c r="N157" s="1">
        <v>0</v>
      </c>
      <c r="O157" s="1">
        <f>ABS(Table4[[#This Row],[EndMP]]-Table4[[#This Row],[StartMP]])</f>
        <v>27.873000000000001</v>
      </c>
      <c r="P157" s="1" t="str">
        <f>IF( AND( Table4[[#This Row],[Route]]=ClosureLocation!$B$3, ClosureLocation!$B$6 &gt;= Table4[[#This Row],[StartMP]], ClosureLocation!$B$6 &lt;= Table4[[#This Row],[EndMP]]), "Yes", "")</f>
        <v/>
      </c>
      <c r="Q157" s="1" t="str">
        <f>IF( AND( Table4[[#This Row],[Route]]=ClosureLocation!$B$3, ClosureLocation!$B$6 &lt;= Table4[[#This Row],[StartMP]], ClosureLocation!$B$6 &gt;= Table4[[#This Row],[EndMP]]), "Yes", "")</f>
        <v/>
      </c>
      <c r="R157" s="1" t="str">
        <f>IF( OR( Table4[[#This Row],[PrimaryMatch]]="Yes", Table4[[#This Row],[SecondaryMatch]]="Yes"), "Yes", "")</f>
        <v/>
      </c>
    </row>
    <row r="158" spans="1:18" hidden="1" x14ac:dyDescent="0.25">
      <c r="A158" t="s">
        <v>602</v>
      </c>
      <c r="B158" t="s">
        <v>3209</v>
      </c>
      <c r="C158" t="s">
        <v>3226</v>
      </c>
      <c r="D158" t="s">
        <v>3626</v>
      </c>
      <c r="E158" s="1">
        <v>165.601</v>
      </c>
      <c r="F158" s="1">
        <v>131.12899999999999</v>
      </c>
      <c r="G158">
        <v>10</v>
      </c>
      <c r="H158">
        <v>7</v>
      </c>
      <c r="I158" t="s">
        <v>2435</v>
      </c>
      <c r="J158" t="s">
        <v>1700</v>
      </c>
      <c r="K158" s="39">
        <v>158.25038599999999</v>
      </c>
      <c r="L158" s="1">
        <v>161.17833400000001</v>
      </c>
      <c r="M158" s="1" t="s">
        <v>3634</v>
      </c>
      <c r="N158" s="1">
        <v>834.399</v>
      </c>
      <c r="O158" s="1">
        <f>ABS(Table4[[#This Row],[EndMP]]-Table4[[#This Row],[StartMP]])</f>
        <v>34.472000000000008</v>
      </c>
      <c r="P158" s="1" t="str">
        <f>IF( AND( Table4[[#This Row],[Route]]=ClosureLocation!$B$3, ClosureLocation!$B$6 &gt;= Table4[[#This Row],[StartMP]], ClosureLocation!$B$6 &lt;= Table4[[#This Row],[EndMP]]), "Yes", "")</f>
        <v/>
      </c>
      <c r="Q158" s="1" t="str">
        <f>IF( AND( Table4[[#This Row],[Route]]=ClosureLocation!$B$3, ClosureLocation!$B$6 &lt;= Table4[[#This Row],[StartMP]], ClosureLocation!$B$6 &gt;= Table4[[#This Row],[EndMP]]), "Yes", "")</f>
        <v/>
      </c>
      <c r="R158" s="1" t="str">
        <f>IF( OR( Table4[[#This Row],[PrimaryMatch]]="Yes", Table4[[#This Row],[SecondaryMatch]]="Yes"), "Yes", "")</f>
        <v/>
      </c>
    </row>
    <row r="159" spans="1:18" hidden="1" x14ac:dyDescent="0.25">
      <c r="A159" t="s">
        <v>602</v>
      </c>
      <c r="B159" t="s">
        <v>3205</v>
      </c>
      <c r="C159" t="s">
        <v>3222</v>
      </c>
      <c r="D159" t="s">
        <v>3612</v>
      </c>
      <c r="E159" s="1">
        <v>131.12899999999999</v>
      </c>
      <c r="F159" s="1">
        <v>165.601</v>
      </c>
      <c r="G159">
        <v>9</v>
      </c>
      <c r="H159">
        <v>2</v>
      </c>
      <c r="I159" t="s">
        <v>2416</v>
      </c>
      <c r="J159" t="s">
        <v>1700</v>
      </c>
      <c r="K159" s="39">
        <v>157.277051</v>
      </c>
      <c r="L159" s="1">
        <v>160.936598</v>
      </c>
      <c r="M159" s="1" t="s">
        <v>3618</v>
      </c>
      <c r="N159" s="1">
        <v>131.12899999999999</v>
      </c>
      <c r="O159" s="1">
        <f>ABS(Table4[[#This Row],[EndMP]]-Table4[[#This Row],[StartMP]])</f>
        <v>34.472000000000008</v>
      </c>
      <c r="P159" s="1" t="str">
        <f>IF( AND( Table4[[#This Row],[Route]]=ClosureLocation!$B$3, ClosureLocation!$B$6 &gt;= Table4[[#This Row],[StartMP]], ClosureLocation!$B$6 &lt;= Table4[[#This Row],[EndMP]]), "Yes", "")</f>
        <v/>
      </c>
      <c r="Q159" s="1" t="str">
        <f>IF( AND( Table4[[#This Row],[Route]]=ClosureLocation!$B$3, ClosureLocation!$B$6 &lt;= Table4[[#This Row],[StartMP]], ClosureLocation!$B$6 &gt;= Table4[[#This Row],[EndMP]]), "Yes", "")</f>
        <v/>
      </c>
      <c r="R159" s="1" t="str">
        <f>IF( OR( Table4[[#This Row],[PrimaryMatch]]="Yes", Table4[[#This Row],[SecondaryMatch]]="Yes"), "Yes", "")</f>
        <v/>
      </c>
    </row>
    <row r="160" spans="1:18" hidden="1" x14ac:dyDescent="0.25">
      <c r="A160" t="s">
        <v>513</v>
      </c>
      <c r="B160" t="s">
        <v>3205</v>
      </c>
      <c r="C160" t="s">
        <v>3222</v>
      </c>
      <c r="D160" t="s">
        <v>3561</v>
      </c>
      <c r="E160" s="1">
        <v>0</v>
      </c>
      <c r="F160" s="1">
        <v>2.9129999999999998</v>
      </c>
      <c r="G160">
        <v>1</v>
      </c>
      <c r="H160">
        <v>4</v>
      </c>
      <c r="I160" t="s">
        <v>2357</v>
      </c>
      <c r="J160" t="s">
        <v>1700</v>
      </c>
      <c r="K160" s="39">
        <v>156.89386400000001</v>
      </c>
      <c r="L160" s="1">
        <v>165.55054100000001</v>
      </c>
      <c r="M160" s="58" t="s">
        <v>4916</v>
      </c>
      <c r="N160" s="1">
        <v>0</v>
      </c>
      <c r="O160" s="1">
        <f>ABS(Table4[[#This Row],[EndMP]]-Table4[[#This Row],[StartMP]])</f>
        <v>2.9129999999999998</v>
      </c>
      <c r="P160" s="1" t="str">
        <f>IF( AND( Table4[[#This Row],[Route]]=ClosureLocation!$B$3, ClosureLocation!$B$6 &gt;= Table4[[#This Row],[StartMP]], ClosureLocation!$B$6 &lt;= Table4[[#This Row],[EndMP]]), "Yes", "")</f>
        <v/>
      </c>
      <c r="Q160" s="1" t="str">
        <f>IF( AND( Table4[[#This Row],[Route]]=ClosureLocation!$B$3, ClosureLocation!$B$6 &lt;= Table4[[#This Row],[StartMP]], ClosureLocation!$B$6 &gt;= Table4[[#This Row],[EndMP]]), "Yes", "")</f>
        <v/>
      </c>
      <c r="R160" s="1" t="str">
        <f>IF( OR( Table4[[#This Row],[PrimaryMatch]]="Yes", Table4[[#This Row],[SecondaryMatch]]="Yes"), "Yes", "")</f>
        <v/>
      </c>
    </row>
    <row r="161" spans="1:18" hidden="1" x14ac:dyDescent="0.25">
      <c r="A161" t="s">
        <v>513</v>
      </c>
      <c r="B161" t="s">
        <v>3209</v>
      </c>
      <c r="C161" t="s">
        <v>3226</v>
      </c>
      <c r="D161" t="s">
        <v>3565</v>
      </c>
      <c r="E161" s="1">
        <v>2.9129999999999998</v>
      </c>
      <c r="F161" s="1">
        <v>0</v>
      </c>
      <c r="G161">
        <v>7</v>
      </c>
      <c r="H161">
        <v>3</v>
      </c>
      <c r="I161" t="s">
        <v>2370</v>
      </c>
      <c r="J161" t="s">
        <v>1700</v>
      </c>
      <c r="K161" s="39">
        <v>156.84119899999999</v>
      </c>
      <c r="L161" s="1">
        <v>165.52604500000001</v>
      </c>
      <c r="M161" s="58" t="s">
        <v>4921</v>
      </c>
      <c r="N161" s="1">
        <v>997.08699999999999</v>
      </c>
      <c r="O161" s="1">
        <f>ABS(Table4[[#This Row],[EndMP]]-Table4[[#This Row],[StartMP]])</f>
        <v>2.9129999999999998</v>
      </c>
      <c r="P161" s="1" t="str">
        <f>IF( AND( Table4[[#This Row],[Route]]=ClosureLocation!$B$3, ClosureLocation!$B$6 &gt;= Table4[[#This Row],[StartMP]], ClosureLocation!$B$6 &lt;= Table4[[#This Row],[EndMP]]), "Yes", "")</f>
        <v/>
      </c>
      <c r="Q161" s="1" t="str">
        <f>IF( AND( Table4[[#This Row],[Route]]=ClosureLocation!$B$3, ClosureLocation!$B$6 &lt;= Table4[[#This Row],[StartMP]], ClosureLocation!$B$6 &gt;= Table4[[#This Row],[EndMP]]), "Yes", "")</f>
        <v/>
      </c>
      <c r="R161" s="1" t="str">
        <f>IF( OR( Table4[[#This Row],[PrimaryMatch]]="Yes", Table4[[#This Row],[SecondaryMatch]]="Yes"), "Yes", "")</f>
        <v/>
      </c>
    </row>
    <row r="162" spans="1:18" hidden="1" x14ac:dyDescent="0.25">
      <c r="A162" t="s">
        <v>191</v>
      </c>
      <c r="B162" t="s">
        <v>3205</v>
      </c>
      <c r="C162" t="s">
        <v>3206</v>
      </c>
      <c r="D162" t="s">
        <v>3331</v>
      </c>
      <c r="E162" s="1">
        <v>89.706000000000003</v>
      </c>
      <c r="F162" s="1">
        <v>128.07</v>
      </c>
      <c r="G162">
        <v>2</v>
      </c>
      <c r="H162">
        <v>2</v>
      </c>
      <c r="I162" t="s">
        <v>2138</v>
      </c>
      <c r="J162" t="s">
        <v>1695</v>
      </c>
      <c r="K162" s="39">
        <v>155.41642999999999</v>
      </c>
      <c r="L162" s="1">
        <v>144.408559</v>
      </c>
      <c r="M162" s="58" t="s">
        <v>3332</v>
      </c>
      <c r="N162" s="1">
        <v>89.706000000000003</v>
      </c>
      <c r="O162" s="1">
        <f>ABS(Table4[[#This Row],[EndMP]]-Table4[[#This Row],[StartMP]])</f>
        <v>38.36399999999999</v>
      </c>
      <c r="P162" s="1" t="str">
        <f>IF( AND( Table4[[#This Row],[Route]]=ClosureLocation!$B$3, ClosureLocation!$B$6 &gt;= Table4[[#This Row],[StartMP]], ClosureLocation!$B$6 &lt;= Table4[[#This Row],[EndMP]]), "Yes", "")</f>
        <v/>
      </c>
      <c r="Q162" s="1" t="str">
        <f>IF( AND( Table4[[#This Row],[Route]]=ClosureLocation!$B$3, ClosureLocation!$B$6 &lt;= Table4[[#This Row],[StartMP]], ClosureLocation!$B$6 &gt;= Table4[[#This Row],[EndMP]]), "Yes", "")</f>
        <v/>
      </c>
      <c r="R162" s="1" t="str">
        <f>IF( OR( Table4[[#This Row],[PrimaryMatch]]="Yes", Table4[[#This Row],[SecondaryMatch]]="Yes"), "Yes", "")</f>
        <v/>
      </c>
    </row>
    <row r="163" spans="1:18" hidden="1" x14ac:dyDescent="0.25">
      <c r="A163" t="s">
        <v>191</v>
      </c>
      <c r="B163" t="s">
        <v>3209</v>
      </c>
      <c r="C163" t="s">
        <v>3210</v>
      </c>
      <c r="D163" t="s">
        <v>3333</v>
      </c>
      <c r="E163" s="1">
        <v>128.07</v>
      </c>
      <c r="F163" s="1">
        <v>89.706000000000003</v>
      </c>
      <c r="G163">
        <v>1</v>
      </c>
      <c r="H163">
        <v>3</v>
      </c>
      <c r="I163" t="s">
        <v>2139</v>
      </c>
      <c r="J163" t="s">
        <v>1695</v>
      </c>
      <c r="K163" s="39">
        <v>155.29893899999999</v>
      </c>
      <c r="L163" s="1">
        <v>144.426087</v>
      </c>
      <c r="M163" s="58" t="s">
        <v>3334</v>
      </c>
      <c r="N163" s="1">
        <v>871.93</v>
      </c>
      <c r="O163" s="1">
        <f>ABS(Table4[[#This Row],[EndMP]]-Table4[[#This Row],[StartMP]])</f>
        <v>38.36399999999999</v>
      </c>
      <c r="P163" s="1" t="str">
        <f>IF( AND( Table4[[#This Row],[Route]]=ClosureLocation!$B$3, ClosureLocation!$B$6 &gt;= Table4[[#This Row],[StartMP]], ClosureLocation!$B$6 &lt;= Table4[[#This Row],[EndMP]]), "Yes", "")</f>
        <v/>
      </c>
      <c r="Q163" s="1" t="str">
        <f>IF( AND( Table4[[#This Row],[Route]]=ClosureLocation!$B$3, ClosureLocation!$B$6 &lt;= Table4[[#This Row],[StartMP]], ClosureLocation!$B$6 &gt;= Table4[[#This Row],[EndMP]]), "Yes", "")</f>
        <v/>
      </c>
      <c r="R163" s="1" t="str">
        <f>IF( OR( Table4[[#This Row],[PrimaryMatch]]="Yes", Table4[[#This Row],[SecondaryMatch]]="Yes"), "Yes", "")</f>
        <v/>
      </c>
    </row>
    <row r="164" spans="1:18" hidden="1" x14ac:dyDescent="0.25">
      <c r="A164" t="s">
        <v>776</v>
      </c>
      <c r="B164" t="s">
        <v>3209</v>
      </c>
      <c r="C164" t="s">
        <v>3226</v>
      </c>
      <c r="D164" t="s">
        <v>3749</v>
      </c>
      <c r="E164" s="1">
        <v>146.26499999999999</v>
      </c>
      <c r="F164" s="1">
        <v>116.54</v>
      </c>
      <c r="G164">
        <v>40</v>
      </c>
      <c r="H164">
        <v>93</v>
      </c>
      <c r="I164" t="s">
        <v>2639</v>
      </c>
      <c r="J164" t="s">
        <v>4452</v>
      </c>
      <c r="K164" s="39">
        <v>144.47385299999999</v>
      </c>
      <c r="L164" s="1">
        <v>35.706924999999998</v>
      </c>
      <c r="M164" s="1" t="s">
        <v>4451</v>
      </c>
      <c r="N164" s="1">
        <v>853.73500000000001</v>
      </c>
      <c r="O164" s="1">
        <f>ABS(Table4[[#This Row],[EndMP]]-Table4[[#This Row],[StartMP]])</f>
        <v>29.72499999999998</v>
      </c>
      <c r="P164" s="1" t="str">
        <f>IF( AND( Table4[[#This Row],[Route]]=ClosureLocation!$B$3, ClosureLocation!$B$6 &gt;= Table4[[#This Row],[StartMP]], ClosureLocation!$B$6 &lt;= Table4[[#This Row],[EndMP]]), "Yes", "")</f>
        <v/>
      </c>
      <c r="Q164" s="1" t="str">
        <f>IF( AND( Table4[[#This Row],[Route]]=ClosureLocation!$B$3, ClosureLocation!$B$6 &lt;= Table4[[#This Row],[StartMP]], ClosureLocation!$B$6 &gt;= Table4[[#This Row],[EndMP]]), "Yes", "")</f>
        <v/>
      </c>
      <c r="R164" s="1" t="str">
        <f>IF( OR( Table4[[#This Row],[PrimaryMatch]]="Yes", Table4[[#This Row],[SecondaryMatch]]="Yes"), "Yes", "")</f>
        <v/>
      </c>
    </row>
    <row r="165" spans="1:18" hidden="1" x14ac:dyDescent="0.25">
      <c r="A165" t="s">
        <v>776</v>
      </c>
      <c r="B165" t="s">
        <v>3205</v>
      </c>
      <c r="C165" t="s">
        <v>3222</v>
      </c>
      <c r="D165" t="s">
        <v>3748</v>
      </c>
      <c r="E165" s="1">
        <v>116.54</v>
      </c>
      <c r="F165" s="1">
        <v>146.387</v>
      </c>
      <c r="G165">
        <v>15</v>
      </c>
      <c r="H165">
        <v>15</v>
      </c>
      <c r="I165" t="s">
        <v>2560</v>
      </c>
      <c r="J165" t="s">
        <v>4452</v>
      </c>
      <c r="K165" s="39">
        <v>144.43431899999999</v>
      </c>
      <c r="L165" s="1">
        <v>35.275174</v>
      </c>
      <c r="M165" s="1" t="s">
        <v>4450</v>
      </c>
      <c r="N165" s="1">
        <v>116.54</v>
      </c>
      <c r="O165" s="1">
        <f>ABS(Table4[[#This Row],[EndMP]]-Table4[[#This Row],[StartMP]])</f>
        <v>29.846999999999994</v>
      </c>
      <c r="P165" s="1" t="str">
        <f>IF( AND( Table4[[#This Row],[Route]]=ClosureLocation!$B$3, ClosureLocation!$B$6 &gt;= Table4[[#This Row],[StartMP]], ClosureLocation!$B$6 &lt;= Table4[[#This Row],[EndMP]]), "Yes", "")</f>
        <v/>
      </c>
      <c r="Q165" s="1" t="str">
        <f>IF( AND( Table4[[#This Row],[Route]]=ClosureLocation!$B$3, ClosureLocation!$B$6 &lt;= Table4[[#This Row],[StartMP]], ClosureLocation!$B$6 &gt;= Table4[[#This Row],[EndMP]]), "Yes", "")</f>
        <v/>
      </c>
      <c r="R165" s="1" t="str">
        <f>IF( OR( Table4[[#This Row],[PrimaryMatch]]="Yes", Table4[[#This Row],[SecondaryMatch]]="Yes"), "Yes", "")</f>
        <v/>
      </c>
    </row>
    <row r="166" spans="1:18" hidden="1" x14ac:dyDescent="0.25">
      <c r="A166" t="s">
        <v>602</v>
      </c>
      <c r="B166" t="s">
        <v>3209</v>
      </c>
      <c r="C166" t="s">
        <v>3226</v>
      </c>
      <c r="D166" t="s">
        <v>3626</v>
      </c>
      <c r="E166" s="1">
        <v>91.878</v>
      </c>
      <c r="F166" s="1">
        <v>70.918999999999997</v>
      </c>
      <c r="G166">
        <v>12</v>
      </c>
      <c r="H166">
        <v>8</v>
      </c>
      <c r="I166" t="s">
        <v>2437</v>
      </c>
      <c r="J166" t="s">
        <v>1700</v>
      </c>
      <c r="K166" s="39">
        <v>142.76457500000001</v>
      </c>
      <c r="L166" s="1">
        <v>91.030176999999995</v>
      </c>
      <c r="M166" s="1" t="s">
        <v>1049</v>
      </c>
      <c r="N166" s="1">
        <v>908.12199999999996</v>
      </c>
      <c r="O166" s="1">
        <f>ABS(Table4[[#This Row],[EndMP]]-Table4[[#This Row],[StartMP]])</f>
        <v>20.959000000000003</v>
      </c>
      <c r="P166" s="1" t="str">
        <f>IF( AND( Table4[[#This Row],[Route]]=ClosureLocation!$B$3, ClosureLocation!$B$6 &gt;= Table4[[#This Row],[StartMP]], ClosureLocation!$B$6 &lt;= Table4[[#This Row],[EndMP]]), "Yes", "")</f>
        <v/>
      </c>
      <c r="Q166" s="1" t="str">
        <f>IF( AND( Table4[[#This Row],[Route]]=ClosureLocation!$B$3, ClosureLocation!$B$6 &lt;= Table4[[#This Row],[StartMP]], ClosureLocation!$B$6 &gt;= Table4[[#This Row],[EndMP]]), "Yes", "")</f>
        <v/>
      </c>
      <c r="R166" s="1" t="str">
        <f>IF( OR( Table4[[#This Row],[PrimaryMatch]]="Yes", Table4[[#This Row],[SecondaryMatch]]="Yes"), "Yes", "")</f>
        <v/>
      </c>
    </row>
    <row r="167" spans="1:18" hidden="1" x14ac:dyDescent="0.25">
      <c r="A167" t="s">
        <v>602</v>
      </c>
      <c r="B167" t="s">
        <v>3205</v>
      </c>
      <c r="C167" t="s">
        <v>3222</v>
      </c>
      <c r="D167" t="s">
        <v>3612</v>
      </c>
      <c r="E167" s="1">
        <v>70.918999999999997</v>
      </c>
      <c r="F167" s="1">
        <v>91.878</v>
      </c>
      <c r="G167">
        <v>4</v>
      </c>
      <c r="H167">
        <v>4</v>
      </c>
      <c r="I167" t="s">
        <v>2411</v>
      </c>
      <c r="J167" t="s">
        <v>1700</v>
      </c>
      <c r="K167" s="39">
        <v>142.735637</v>
      </c>
      <c r="L167" s="1">
        <v>91.030176999999995</v>
      </c>
      <c r="M167" s="1" t="s">
        <v>1049</v>
      </c>
      <c r="N167" s="1">
        <v>70.918999999999997</v>
      </c>
      <c r="O167" s="1">
        <f>ABS(Table4[[#This Row],[EndMP]]-Table4[[#This Row],[StartMP]])</f>
        <v>20.959000000000003</v>
      </c>
      <c r="P167" s="1" t="str">
        <f>IF( AND( Table4[[#This Row],[Route]]=ClosureLocation!$B$3, ClosureLocation!$B$6 &gt;= Table4[[#This Row],[StartMP]], ClosureLocation!$B$6 &lt;= Table4[[#This Row],[EndMP]]), "Yes", "")</f>
        <v/>
      </c>
      <c r="Q167" s="1" t="str">
        <f>IF( AND( Table4[[#This Row],[Route]]=ClosureLocation!$B$3, ClosureLocation!$B$6 &lt;= Table4[[#This Row],[StartMP]], ClosureLocation!$B$6 &gt;= Table4[[#This Row],[EndMP]]), "Yes", "")</f>
        <v/>
      </c>
      <c r="R167" s="1" t="str">
        <f>IF( OR( Table4[[#This Row],[PrimaryMatch]]="Yes", Table4[[#This Row],[SecondaryMatch]]="Yes"), "Yes", "")</f>
        <v/>
      </c>
    </row>
    <row r="168" spans="1:18" hidden="1" x14ac:dyDescent="0.25">
      <c r="A168" t="s">
        <v>1049</v>
      </c>
      <c r="B168" t="s">
        <v>3205</v>
      </c>
      <c r="C168" t="s">
        <v>3222</v>
      </c>
      <c r="D168" t="s">
        <v>3944</v>
      </c>
      <c r="E168" s="1">
        <v>3.8140000000000001</v>
      </c>
      <c r="F168" s="1">
        <v>20.722999999999999</v>
      </c>
      <c r="G168">
        <v>2</v>
      </c>
      <c r="H168">
        <v>2</v>
      </c>
      <c r="I168" t="s">
        <v>2824</v>
      </c>
      <c r="J168" t="s">
        <v>1707</v>
      </c>
      <c r="K168" s="39">
        <v>140.745541</v>
      </c>
      <c r="L168" s="1">
        <v>91.396550000000005</v>
      </c>
      <c r="M168" s="1" t="s">
        <v>602</v>
      </c>
      <c r="N168" s="1">
        <v>3.8140000000000001</v>
      </c>
      <c r="O168" s="1">
        <f>ABS(Table4[[#This Row],[EndMP]]-Table4[[#This Row],[StartMP]])</f>
        <v>16.908999999999999</v>
      </c>
      <c r="P168" s="1" t="str">
        <f>IF( AND( Table4[[#This Row],[Route]]=ClosureLocation!$B$3, ClosureLocation!$B$6 &gt;= Table4[[#This Row],[StartMP]], ClosureLocation!$B$6 &lt;= Table4[[#This Row],[EndMP]]), "Yes", "")</f>
        <v/>
      </c>
      <c r="Q168" s="1" t="str">
        <f>IF( AND( Table4[[#This Row],[Route]]=ClosureLocation!$B$3, ClosureLocation!$B$6 &lt;= Table4[[#This Row],[StartMP]], ClosureLocation!$B$6 &gt;= Table4[[#This Row],[EndMP]]), "Yes", "")</f>
        <v/>
      </c>
      <c r="R168" s="1" t="str">
        <f>IF( OR( Table4[[#This Row],[PrimaryMatch]]="Yes", Table4[[#This Row],[SecondaryMatch]]="Yes"), "Yes", "")</f>
        <v/>
      </c>
    </row>
    <row r="169" spans="1:18" hidden="1" x14ac:dyDescent="0.25">
      <c r="A169" t="s">
        <v>1049</v>
      </c>
      <c r="B169" t="s">
        <v>3209</v>
      </c>
      <c r="C169" t="s">
        <v>3226</v>
      </c>
      <c r="D169" t="s">
        <v>3946</v>
      </c>
      <c r="E169" s="1">
        <v>20.722999999999999</v>
      </c>
      <c r="F169" s="1">
        <v>3.8140000000000001</v>
      </c>
      <c r="G169">
        <v>2</v>
      </c>
      <c r="H169">
        <v>3</v>
      </c>
      <c r="I169" t="s">
        <v>2827</v>
      </c>
      <c r="J169" t="s">
        <v>1707</v>
      </c>
      <c r="K169" s="39">
        <v>140.71660299999999</v>
      </c>
      <c r="L169" s="1">
        <v>91.396550000000005</v>
      </c>
      <c r="M169" s="1" t="s">
        <v>602</v>
      </c>
      <c r="N169" s="1">
        <v>979.27700000000004</v>
      </c>
      <c r="O169" s="1">
        <f>ABS(Table4[[#This Row],[EndMP]]-Table4[[#This Row],[StartMP]])</f>
        <v>16.908999999999999</v>
      </c>
      <c r="P169" s="1" t="str">
        <f>IF( AND( Table4[[#This Row],[Route]]=ClosureLocation!$B$3, ClosureLocation!$B$6 &gt;= Table4[[#This Row],[StartMP]], ClosureLocation!$B$6 &lt;= Table4[[#This Row],[EndMP]]), "Yes", "")</f>
        <v/>
      </c>
      <c r="Q169" s="1" t="str">
        <f>IF( AND( Table4[[#This Row],[Route]]=ClosureLocation!$B$3, ClosureLocation!$B$6 &lt;= Table4[[#This Row],[StartMP]], ClosureLocation!$B$6 &gt;= Table4[[#This Row],[EndMP]]), "Yes", "")</f>
        <v/>
      </c>
      <c r="R169" s="1" t="str">
        <f>IF( OR( Table4[[#This Row],[PrimaryMatch]]="Yes", Table4[[#This Row],[SecondaryMatch]]="Yes"), "Yes", "")</f>
        <v/>
      </c>
    </row>
    <row r="170" spans="1:18" hidden="1" x14ac:dyDescent="0.25">
      <c r="A170" t="s">
        <v>513</v>
      </c>
      <c r="B170" t="s">
        <v>3209</v>
      </c>
      <c r="C170" t="s">
        <v>3226</v>
      </c>
      <c r="D170" t="s">
        <v>3565</v>
      </c>
      <c r="E170" s="1">
        <v>136.51499999999999</v>
      </c>
      <c r="F170" s="1">
        <v>89.322000000000003</v>
      </c>
      <c r="G170">
        <v>5</v>
      </c>
      <c r="H170">
        <v>1</v>
      </c>
      <c r="I170" t="s">
        <v>2368</v>
      </c>
      <c r="J170" t="s">
        <v>1700</v>
      </c>
      <c r="K170" s="39">
        <v>137.80108899999999</v>
      </c>
      <c r="L170" s="1">
        <v>116.727161</v>
      </c>
      <c r="M170" s="1" t="s">
        <v>4919</v>
      </c>
      <c r="N170" s="1">
        <v>863.48500000000001</v>
      </c>
      <c r="O170" s="1">
        <f>ABS(Table4[[#This Row],[EndMP]]-Table4[[#This Row],[StartMP]])</f>
        <v>47.192999999999984</v>
      </c>
      <c r="P170" s="1" t="str">
        <f>IF( AND( Table4[[#This Row],[Route]]=ClosureLocation!$B$3, ClosureLocation!$B$6 &gt;= Table4[[#This Row],[StartMP]], ClosureLocation!$B$6 &lt;= Table4[[#This Row],[EndMP]]), "Yes", "")</f>
        <v/>
      </c>
      <c r="Q170" s="1" t="str">
        <f>IF( AND( Table4[[#This Row],[Route]]=ClosureLocation!$B$3, ClosureLocation!$B$6 &lt;= Table4[[#This Row],[StartMP]], ClosureLocation!$B$6 &gt;= Table4[[#This Row],[EndMP]]), "Yes", "")</f>
        <v/>
      </c>
      <c r="R170" s="1" t="str">
        <f>IF( OR( Table4[[#This Row],[PrimaryMatch]]="Yes", Table4[[#This Row],[SecondaryMatch]]="Yes"), "Yes", "")</f>
        <v/>
      </c>
    </row>
    <row r="171" spans="1:18" hidden="1" x14ac:dyDescent="0.25">
      <c r="A171" t="s">
        <v>513</v>
      </c>
      <c r="B171" t="s">
        <v>3205</v>
      </c>
      <c r="C171" t="s">
        <v>3222</v>
      </c>
      <c r="D171" t="s">
        <v>3561</v>
      </c>
      <c r="E171" s="1">
        <v>89.322000000000003</v>
      </c>
      <c r="F171" s="1">
        <v>136.51499999999999</v>
      </c>
      <c r="G171">
        <v>3</v>
      </c>
      <c r="H171">
        <v>6</v>
      </c>
      <c r="I171" t="s">
        <v>2359</v>
      </c>
      <c r="J171" t="s">
        <v>1700</v>
      </c>
      <c r="K171" s="39">
        <v>137.43497300000001</v>
      </c>
      <c r="L171" s="1">
        <v>116.686581</v>
      </c>
      <c r="M171" s="1" t="s">
        <v>4918</v>
      </c>
      <c r="N171" s="1">
        <v>89.322000000000003</v>
      </c>
      <c r="O171" s="1">
        <f>ABS(Table4[[#This Row],[EndMP]]-Table4[[#This Row],[StartMP]])</f>
        <v>47.192999999999984</v>
      </c>
      <c r="P171" s="1" t="str">
        <f>IF( AND( Table4[[#This Row],[Route]]=ClosureLocation!$B$3, ClosureLocation!$B$6 &gt;= Table4[[#This Row],[StartMP]], ClosureLocation!$B$6 &lt;= Table4[[#This Row],[EndMP]]), "Yes", "")</f>
        <v/>
      </c>
      <c r="Q171" s="1" t="str">
        <f>IF( AND( Table4[[#This Row],[Route]]=ClosureLocation!$B$3, ClosureLocation!$B$6 &lt;= Table4[[#This Row],[StartMP]], ClosureLocation!$B$6 &gt;= Table4[[#This Row],[EndMP]]), "Yes", "")</f>
        <v/>
      </c>
      <c r="R171" s="1" t="str">
        <f>IF( OR( Table4[[#This Row],[PrimaryMatch]]="Yes", Table4[[#This Row],[SecondaryMatch]]="Yes"), "Yes", "")</f>
        <v/>
      </c>
    </row>
    <row r="172" spans="1:18" hidden="1" x14ac:dyDescent="0.25">
      <c r="A172" t="s">
        <v>1049</v>
      </c>
      <c r="B172" t="s">
        <v>3209</v>
      </c>
      <c r="C172" t="s">
        <v>3226</v>
      </c>
      <c r="D172" t="s">
        <v>3946</v>
      </c>
      <c r="E172" s="1">
        <v>3.8140000000000001</v>
      </c>
      <c r="F172" s="1">
        <v>0</v>
      </c>
      <c r="G172">
        <v>3</v>
      </c>
      <c r="H172">
        <v>4</v>
      </c>
      <c r="I172" t="s">
        <v>2828</v>
      </c>
      <c r="J172" t="s">
        <v>1707</v>
      </c>
      <c r="K172" s="39">
        <v>136.512283</v>
      </c>
      <c r="L172" s="1">
        <v>108.862171</v>
      </c>
      <c r="M172" s="1" t="s">
        <v>3947</v>
      </c>
      <c r="N172" s="1">
        <v>996.18600000000004</v>
      </c>
      <c r="O172" s="1">
        <f>ABS(Table4[[#This Row],[EndMP]]-Table4[[#This Row],[StartMP]])</f>
        <v>3.8140000000000001</v>
      </c>
      <c r="P172" s="1" t="str">
        <f>IF( AND( Table4[[#This Row],[Route]]=ClosureLocation!$B$3, ClosureLocation!$B$6 &gt;= Table4[[#This Row],[StartMP]], ClosureLocation!$B$6 &lt;= Table4[[#This Row],[EndMP]]), "Yes", "")</f>
        <v/>
      </c>
      <c r="Q172" s="1" t="str">
        <f>IF( AND( Table4[[#This Row],[Route]]=ClosureLocation!$B$3, ClosureLocation!$B$6 &lt;= Table4[[#This Row],[StartMP]], ClosureLocation!$B$6 &gt;= Table4[[#This Row],[EndMP]]), "Yes", "")</f>
        <v/>
      </c>
      <c r="R172" s="1" t="str">
        <f>IF( OR( Table4[[#This Row],[PrimaryMatch]]="Yes", Table4[[#This Row],[SecondaryMatch]]="Yes"), "Yes", "")</f>
        <v/>
      </c>
    </row>
    <row r="173" spans="1:18" hidden="1" x14ac:dyDescent="0.25">
      <c r="A173" t="s">
        <v>1049</v>
      </c>
      <c r="B173" t="s">
        <v>3205</v>
      </c>
      <c r="C173" t="s">
        <v>3222</v>
      </c>
      <c r="D173" t="s">
        <v>3944</v>
      </c>
      <c r="E173" s="1">
        <v>0</v>
      </c>
      <c r="F173" s="1">
        <v>3.8140000000000001</v>
      </c>
      <c r="G173">
        <v>1</v>
      </c>
      <c r="H173">
        <v>1</v>
      </c>
      <c r="I173" t="s">
        <v>2823</v>
      </c>
      <c r="J173" t="s">
        <v>1707</v>
      </c>
      <c r="K173" s="39">
        <v>136.10231899999999</v>
      </c>
      <c r="L173" s="1">
        <v>108.710008</v>
      </c>
      <c r="M173" s="1" t="s">
        <v>3945</v>
      </c>
      <c r="N173" s="1">
        <v>0</v>
      </c>
      <c r="O173" s="1">
        <f>ABS(Table4[[#This Row],[EndMP]]-Table4[[#This Row],[StartMP]])</f>
        <v>3.8140000000000001</v>
      </c>
      <c r="P173" s="1" t="str">
        <f>IF( AND( Table4[[#This Row],[Route]]=ClosureLocation!$B$3, ClosureLocation!$B$6 &gt;= Table4[[#This Row],[StartMP]], ClosureLocation!$B$6 &lt;= Table4[[#This Row],[EndMP]]), "Yes", "")</f>
        <v/>
      </c>
      <c r="Q173" s="1" t="str">
        <f>IF( AND( Table4[[#This Row],[Route]]=ClosureLocation!$B$3, ClosureLocation!$B$6 &lt;= Table4[[#This Row],[StartMP]], ClosureLocation!$B$6 &gt;= Table4[[#This Row],[EndMP]]), "Yes", "")</f>
        <v/>
      </c>
      <c r="R173" s="1" t="str">
        <f>IF( OR( Table4[[#This Row],[PrimaryMatch]]="Yes", Table4[[#This Row],[SecondaryMatch]]="Yes"), "Yes", "")</f>
        <v/>
      </c>
    </row>
    <row r="174" spans="1:18" hidden="1" x14ac:dyDescent="0.25">
      <c r="A174" t="s">
        <v>1489</v>
      </c>
      <c r="B174" t="s">
        <v>3205</v>
      </c>
      <c r="C174" t="s">
        <v>3206</v>
      </c>
      <c r="D174" t="s">
        <v>4246</v>
      </c>
      <c r="E174" s="1">
        <v>133.88300000000001</v>
      </c>
      <c r="F174" s="1">
        <v>148</v>
      </c>
      <c r="G174">
        <v>2</v>
      </c>
      <c r="H174">
        <v>2</v>
      </c>
      <c r="I174" t="s">
        <v>3067</v>
      </c>
      <c r="J174" t="s">
        <v>1693</v>
      </c>
      <c r="K174" s="39">
        <v>129.848142</v>
      </c>
      <c r="L174" s="1">
        <v>104.502996</v>
      </c>
      <c r="M174" s="1" t="s">
        <v>4248</v>
      </c>
      <c r="N174" s="1">
        <v>133.88300000000001</v>
      </c>
      <c r="O174" s="1">
        <f>ABS(Table4[[#This Row],[EndMP]]-Table4[[#This Row],[StartMP]])</f>
        <v>14.11699999999999</v>
      </c>
      <c r="P174" s="1" t="str">
        <f>IF( AND( Table4[[#This Row],[Route]]=ClosureLocation!$B$3, ClosureLocation!$B$6 &gt;= Table4[[#This Row],[StartMP]], ClosureLocation!$B$6 &lt;= Table4[[#This Row],[EndMP]]), "Yes", "")</f>
        <v/>
      </c>
      <c r="Q174" s="1" t="str">
        <f>IF( AND( Table4[[#This Row],[Route]]=ClosureLocation!$B$3, ClosureLocation!$B$6 &lt;= Table4[[#This Row],[StartMP]], ClosureLocation!$B$6 &gt;= Table4[[#This Row],[EndMP]]), "Yes", "")</f>
        <v/>
      </c>
      <c r="R174" s="1" t="str">
        <f>IF( OR( Table4[[#This Row],[PrimaryMatch]]="Yes", Table4[[#This Row],[SecondaryMatch]]="Yes"), "Yes", "")</f>
        <v/>
      </c>
    </row>
    <row r="175" spans="1:18" hidden="1" x14ac:dyDescent="0.25">
      <c r="A175" t="s">
        <v>1489</v>
      </c>
      <c r="B175" t="s">
        <v>3209</v>
      </c>
      <c r="C175" t="s">
        <v>3210</v>
      </c>
      <c r="D175" t="s">
        <v>4249</v>
      </c>
      <c r="E175" s="1">
        <v>148</v>
      </c>
      <c r="F175" s="1">
        <v>133.88300000000001</v>
      </c>
      <c r="G175">
        <v>1</v>
      </c>
      <c r="H175">
        <v>3</v>
      </c>
      <c r="I175" t="s">
        <v>3068</v>
      </c>
      <c r="J175" t="s">
        <v>1693</v>
      </c>
      <c r="K175" s="39">
        <v>129.26237699999999</v>
      </c>
      <c r="L175" s="1">
        <v>104.10633199999999</v>
      </c>
      <c r="M175" s="1" t="s">
        <v>4250</v>
      </c>
      <c r="N175" s="1">
        <v>852</v>
      </c>
      <c r="O175" s="1">
        <f>ABS(Table4[[#This Row],[EndMP]]-Table4[[#This Row],[StartMP]])</f>
        <v>14.11699999999999</v>
      </c>
      <c r="P175" s="1" t="str">
        <f>IF( AND( Table4[[#This Row],[Route]]=ClosureLocation!$B$3, ClosureLocation!$B$6 &gt;= Table4[[#This Row],[StartMP]], ClosureLocation!$B$6 &lt;= Table4[[#This Row],[EndMP]]), "Yes", "")</f>
        <v/>
      </c>
      <c r="Q175" s="1" t="str">
        <f>IF( AND( Table4[[#This Row],[Route]]=ClosureLocation!$B$3, ClosureLocation!$B$6 &lt;= Table4[[#This Row],[StartMP]], ClosureLocation!$B$6 &gt;= Table4[[#This Row],[EndMP]]), "Yes", "")</f>
        <v/>
      </c>
      <c r="R175" s="1" t="str">
        <f>IF( OR( Table4[[#This Row],[PrimaryMatch]]="Yes", Table4[[#This Row],[SecondaryMatch]]="Yes"), "Yes", "")</f>
        <v/>
      </c>
    </row>
    <row r="176" spans="1:18" hidden="1" x14ac:dyDescent="0.25">
      <c r="A176" t="s">
        <v>1483</v>
      </c>
      <c r="B176" t="s">
        <v>3205</v>
      </c>
      <c r="C176" t="s">
        <v>3206</v>
      </c>
      <c r="D176" t="s">
        <v>4238</v>
      </c>
      <c r="E176" s="1">
        <v>100.518</v>
      </c>
      <c r="F176" s="1">
        <v>126.324</v>
      </c>
      <c r="G176">
        <v>3</v>
      </c>
      <c r="H176">
        <v>3</v>
      </c>
      <c r="I176" t="s">
        <v>3062</v>
      </c>
      <c r="J176" t="s">
        <v>1691</v>
      </c>
      <c r="K176" s="39">
        <v>125.697745</v>
      </c>
      <c r="L176" s="1">
        <v>73.335610000000003</v>
      </c>
      <c r="M176" s="1" t="s">
        <v>4241</v>
      </c>
      <c r="N176" s="1">
        <v>100.518</v>
      </c>
      <c r="O176" s="1">
        <f>ABS(Table4[[#This Row],[EndMP]]-Table4[[#This Row],[StartMP]])</f>
        <v>25.805999999999997</v>
      </c>
      <c r="P176" s="1" t="str">
        <f>IF( AND( Table4[[#This Row],[Route]]=ClosureLocation!$B$3, ClosureLocation!$B$6 &gt;= Table4[[#This Row],[StartMP]], ClosureLocation!$B$6 &lt;= Table4[[#This Row],[EndMP]]), "Yes", "")</f>
        <v/>
      </c>
      <c r="Q176" s="1" t="str">
        <f>IF( AND( Table4[[#This Row],[Route]]=ClosureLocation!$B$3, ClosureLocation!$B$6 &lt;= Table4[[#This Row],[StartMP]], ClosureLocation!$B$6 &gt;= Table4[[#This Row],[EndMP]]), "Yes", "")</f>
        <v/>
      </c>
      <c r="R176" s="1" t="str">
        <f>IF( OR( Table4[[#This Row],[PrimaryMatch]]="Yes", Table4[[#This Row],[SecondaryMatch]]="Yes"), "Yes", "")</f>
        <v/>
      </c>
    </row>
    <row r="177" spans="1:18" hidden="1" x14ac:dyDescent="0.25">
      <c r="A177" t="s">
        <v>1483</v>
      </c>
      <c r="B177" t="s">
        <v>3209</v>
      </c>
      <c r="C177" t="s">
        <v>3210</v>
      </c>
      <c r="D177" t="s">
        <v>4242</v>
      </c>
      <c r="E177" s="1">
        <v>126.324</v>
      </c>
      <c r="F177" s="1">
        <v>100.518</v>
      </c>
      <c r="G177">
        <v>1</v>
      </c>
      <c r="H177">
        <v>4</v>
      </c>
      <c r="I177" t="s">
        <v>3063</v>
      </c>
      <c r="J177" t="s">
        <v>1691</v>
      </c>
      <c r="K177" s="39">
        <v>125.695847</v>
      </c>
      <c r="L177" s="1">
        <v>73.335610000000003</v>
      </c>
      <c r="M177" s="1" t="s">
        <v>4243</v>
      </c>
      <c r="N177" s="1">
        <v>873.67600000000004</v>
      </c>
      <c r="O177" s="1">
        <f>ABS(Table4[[#This Row],[EndMP]]-Table4[[#This Row],[StartMP]])</f>
        <v>25.805999999999997</v>
      </c>
      <c r="P177" s="1" t="str">
        <f>IF( AND( Table4[[#This Row],[Route]]=ClosureLocation!$B$3, ClosureLocation!$B$6 &gt;= Table4[[#This Row],[StartMP]], ClosureLocation!$B$6 &lt;= Table4[[#This Row],[EndMP]]), "Yes", "")</f>
        <v/>
      </c>
      <c r="Q177" s="1" t="str">
        <f>IF( AND( Table4[[#This Row],[Route]]=ClosureLocation!$B$3, ClosureLocation!$B$6 &lt;= Table4[[#This Row],[StartMP]], ClosureLocation!$B$6 &gt;= Table4[[#This Row],[EndMP]]), "Yes", "")</f>
        <v/>
      </c>
      <c r="R177" s="1" t="str">
        <f>IF( OR( Table4[[#This Row],[PrimaryMatch]]="Yes", Table4[[#This Row],[SecondaryMatch]]="Yes"), "Yes", "")</f>
        <v/>
      </c>
    </row>
    <row r="178" spans="1:18" hidden="1" x14ac:dyDescent="0.25">
      <c r="A178" t="s">
        <v>1192</v>
      </c>
      <c r="B178" t="s">
        <v>3209</v>
      </c>
      <c r="C178" t="s">
        <v>3210</v>
      </c>
      <c r="D178" t="s">
        <v>4053</v>
      </c>
      <c r="E178" s="1">
        <v>66.558000000000007</v>
      </c>
      <c r="F178" s="1">
        <v>52.02</v>
      </c>
      <c r="G178">
        <v>2</v>
      </c>
      <c r="H178">
        <v>5</v>
      </c>
      <c r="I178" t="s">
        <v>2910</v>
      </c>
      <c r="J178" t="s">
        <v>1695</v>
      </c>
      <c r="K178" s="39">
        <v>120.020079</v>
      </c>
      <c r="L178" s="1">
        <v>117.32274099999999</v>
      </c>
      <c r="M178" s="58" t="s">
        <v>4055</v>
      </c>
      <c r="N178" s="1">
        <v>933.44200000000001</v>
      </c>
      <c r="O178" s="1">
        <f>ABS(Table4[[#This Row],[EndMP]]-Table4[[#This Row],[StartMP]])</f>
        <v>14.538000000000004</v>
      </c>
      <c r="P178" s="1" t="str">
        <f>IF( AND( Table4[[#This Row],[Route]]=ClosureLocation!$B$3, ClosureLocation!$B$6 &gt;= Table4[[#This Row],[StartMP]], ClosureLocation!$B$6 &lt;= Table4[[#This Row],[EndMP]]), "Yes", "")</f>
        <v/>
      </c>
      <c r="Q178" s="1" t="str">
        <f>IF( AND( Table4[[#This Row],[Route]]=ClosureLocation!$B$3, ClosureLocation!$B$6 &lt;= Table4[[#This Row],[StartMP]], ClosureLocation!$B$6 &gt;= Table4[[#This Row],[EndMP]]), "Yes", "")</f>
        <v/>
      </c>
      <c r="R178" s="1" t="str">
        <f>IF( OR( Table4[[#This Row],[PrimaryMatch]]="Yes", Table4[[#This Row],[SecondaryMatch]]="Yes"), "Yes", "")</f>
        <v/>
      </c>
    </row>
    <row r="179" spans="1:18" hidden="1" x14ac:dyDescent="0.25">
      <c r="A179" t="s">
        <v>1192</v>
      </c>
      <c r="B179" t="s">
        <v>3205</v>
      </c>
      <c r="C179" t="s">
        <v>3206</v>
      </c>
      <c r="D179" t="s">
        <v>4050</v>
      </c>
      <c r="E179" s="1">
        <v>52.02</v>
      </c>
      <c r="F179" s="1">
        <v>66.558000000000007</v>
      </c>
      <c r="G179">
        <v>2</v>
      </c>
      <c r="H179">
        <v>2</v>
      </c>
      <c r="I179" t="s">
        <v>2907</v>
      </c>
      <c r="J179" t="s">
        <v>1695</v>
      </c>
      <c r="K179" s="39">
        <v>119.434465</v>
      </c>
      <c r="L179" s="1">
        <v>117.09059600000001</v>
      </c>
      <c r="M179" s="58" t="s">
        <v>4051</v>
      </c>
      <c r="N179" s="1">
        <v>52.02</v>
      </c>
      <c r="O179" s="1">
        <f>ABS(Table4[[#This Row],[EndMP]]-Table4[[#This Row],[StartMP]])</f>
        <v>14.538000000000004</v>
      </c>
      <c r="P179" s="1" t="str">
        <f>IF( AND( Table4[[#This Row],[Route]]=ClosureLocation!$B$3, ClosureLocation!$B$6 &gt;= Table4[[#This Row],[StartMP]], ClosureLocation!$B$6 &lt;= Table4[[#This Row],[EndMP]]), "Yes", "")</f>
        <v/>
      </c>
      <c r="Q179" s="1" t="str">
        <f>IF( AND( Table4[[#This Row],[Route]]=ClosureLocation!$B$3, ClosureLocation!$B$6 &lt;= Table4[[#This Row],[StartMP]], ClosureLocation!$B$6 &gt;= Table4[[#This Row],[EndMP]]), "Yes", "")</f>
        <v/>
      </c>
      <c r="R179" s="1" t="str">
        <f>IF( OR( Table4[[#This Row],[PrimaryMatch]]="Yes", Table4[[#This Row],[SecondaryMatch]]="Yes"), "Yes", "")</f>
        <v/>
      </c>
    </row>
    <row r="180" spans="1:18" hidden="1" x14ac:dyDescent="0.25">
      <c r="A180" t="s">
        <v>740</v>
      </c>
      <c r="B180" t="s">
        <v>3209</v>
      </c>
      <c r="C180" t="s">
        <v>3210</v>
      </c>
      <c r="D180" t="s">
        <v>3724</v>
      </c>
      <c r="E180" s="1">
        <v>60.47</v>
      </c>
      <c r="F180" s="1">
        <v>51.168999999999997</v>
      </c>
      <c r="G180">
        <v>1</v>
      </c>
      <c r="H180">
        <v>2</v>
      </c>
      <c r="I180" t="s">
        <v>2530</v>
      </c>
      <c r="J180" t="s">
        <v>1724</v>
      </c>
      <c r="K180" s="39">
        <v>116.623705</v>
      </c>
      <c r="L180" s="1">
        <v>96.446230999999997</v>
      </c>
      <c r="M180" s="1" t="s">
        <v>3725</v>
      </c>
      <c r="N180" s="1">
        <v>939.53</v>
      </c>
      <c r="O180" s="1">
        <f>ABS(Table4[[#This Row],[EndMP]]-Table4[[#This Row],[StartMP]])</f>
        <v>9.3010000000000019</v>
      </c>
      <c r="P180" s="1" t="str">
        <f>IF( AND( Table4[[#This Row],[Route]]=ClosureLocation!$B$3, ClosureLocation!$B$6 &gt;= Table4[[#This Row],[StartMP]], ClosureLocation!$B$6 &lt;= Table4[[#This Row],[EndMP]]), "Yes", "")</f>
        <v/>
      </c>
      <c r="Q180" s="1" t="str">
        <f>IF( AND( Table4[[#This Row],[Route]]=ClosureLocation!$B$3, ClosureLocation!$B$6 &lt;= Table4[[#This Row],[StartMP]], ClosureLocation!$B$6 &gt;= Table4[[#This Row],[EndMP]]), "Yes", "")</f>
        <v/>
      </c>
      <c r="R180" s="1" t="str">
        <f>IF( OR( Table4[[#This Row],[PrimaryMatch]]="Yes", Table4[[#This Row],[SecondaryMatch]]="Yes"), "Yes", "")</f>
        <v/>
      </c>
    </row>
    <row r="181" spans="1:18" hidden="1" x14ac:dyDescent="0.25">
      <c r="A181" t="s">
        <v>740</v>
      </c>
      <c r="B181" t="s">
        <v>3205</v>
      </c>
      <c r="C181" t="s">
        <v>3206</v>
      </c>
      <c r="D181" t="s">
        <v>3722</v>
      </c>
      <c r="E181" s="1">
        <v>51.168999999999997</v>
      </c>
      <c r="F181" s="1">
        <v>60.47</v>
      </c>
      <c r="G181">
        <v>2</v>
      </c>
      <c r="H181">
        <v>1</v>
      </c>
      <c r="I181" t="s">
        <v>2529</v>
      </c>
      <c r="J181" t="s">
        <v>1724</v>
      </c>
      <c r="K181" s="39">
        <v>116.121933</v>
      </c>
      <c r="L181" s="1">
        <v>96.171666000000002</v>
      </c>
      <c r="M181" s="1" t="s">
        <v>3723</v>
      </c>
      <c r="N181" s="1">
        <v>51.168999999999997</v>
      </c>
      <c r="O181" s="1">
        <f>ABS(Table4[[#This Row],[EndMP]]-Table4[[#This Row],[StartMP]])</f>
        <v>9.3010000000000019</v>
      </c>
      <c r="P181" s="1" t="str">
        <f>IF( AND( Table4[[#This Row],[Route]]=ClosureLocation!$B$3, ClosureLocation!$B$6 &gt;= Table4[[#This Row],[StartMP]], ClosureLocation!$B$6 &lt;= Table4[[#This Row],[EndMP]]), "Yes", "")</f>
        <v/>
      </c>
      <c r="Q181" s="1" t="str">
        <f>IF( AND( Table4[[#This Row],[Route]]=ClosureLocation!$B$3, ClosureLocation!$B$6 &lt;= Table4[[#This Row],[StartMP]], ClosureLocation!$B$6 &gt;= Table4[[#This Row],[EndMP]]), "Yes", "")</f>
        <v/>
      </c>
      <c r="R181" s="1" t="str">
        <f>IF( OR( Table4[[#This Row],[PrimaryMatch]]="Yes", Table4[[#This Row],[SecondaryMatch]]="Yes"), "Yes", "")</f>
        <v/>
      </c>
    </row>
    <row r="182" spans="1:18" hidden="1" x14ac:dyDescent="0.25">
      <c r="A182" t="s">
        <v>310</v>
      </c>
      <c r="B182" t="s">
        <v>3205</v>
      </c>
      <c r="C182" t="s">
        <v>3206</v>
      </c>
      <c r="D182" t="s">
        <v>3427</v>
      </c>
      <c r="E182" s="1">
        <v>15.285</v>
      </c>
      <c r="F182" s="1">
        <v>48.789000000000001</v>
      </c>
      <c r="G182">
        <v>2</v>
      </c>
      <c r="H182">
        <v>2</v>
      </c>
      <c r="I182" t="s">
        <v>2208</v>
      </c>
      <c r="J182" t="s">
        <v>1700</v>
      </c>
      <c r="K182" s="39">
        <v>113.697688</v>
      </c>
      <c r="L182" s="1">
        <v>46.295869000000003</v>
      </c>
      <c r="M182" s="1" t="s">
        <v>4881</v>
      </c>
      <c r="N182" s="1">
        <v>15.285</v>
      </c>
      <c r="O182" s="1">
        <f>ABS(Table4[[#This Row],[EndMP]]-Table4[[#This Row],[StartMP]])</f>
        <v>33.504000000000005</v>
      </c>
      <c r="P182" s="1" t="str">
        <f>IF( AND( Table4[[#This Row],[Route]]=ClosureLocation!$B$3, ClosureLocation!$B$6 &gt;= Table4[[#This Row],[StartMP]], ClosureLocation!$B$6 &lt;= Table4[[#This Row],[EndMP]]), "Yes", "")</f>
        <v/>
      </c>
      <c r="Q182" s="1" t="str">
        <f>IF( AND( Table4[[#This Row],[Route]]=ClosureLocation!$B$3, ClosureLocation!$B$6 &lt;= Table4[[#This Row],[StartMP]], ClosureLocation!$B$6 &gt;= Table4[[#This Row],[EndMP]]), "Yes", "")</f>
        <v/>
      </c>
      <c r="R182" s="1" t="str">
        <f>IF( OR( Table4[[#This Row],[PrimaryMatch]]="Yes", Table4[[#This Row],[SecondaryMatch]]="Yes"), "Yes", "")</f>
        <v/>
      </c>
    </row>
    <row r="183" spans="1:18" hidden="1" x14ac:dyDescent="0.25">
      <c r="A183" t="s">
        <v>310</v>
      </c>
      <c r="B183" t="s">
        <v>3209</v>
      </c>
      <c r="C183" t="s">
        <v>3210</v>
      </c>
      <c r="D183" t="s">
        <v>3444</v>
      </c>
      <c r="E183" s="1">
        <v>48.826999999999998</v>
      </c>
      <c r="F183" s="1">
        <v>14.957000000000001</v>
      </c>
      <c r="G183">
        <v>34</v>
      </c>
      <c r="H183">
        <v>7</v>
      </c>
      <c r="I183" t="s">
        <v>2273</v>
      </c>
      <c r="J183" t="s">
        <v>1700</v>
      </c>
      <c r="K183" s="39">
        <v>113.60882100000001</v>
      </c>
      <c r="L183" s="1">
        <v>46.176333</v>
      </c>
      <c r="M183" s="1" t="s">
        <v>4909</v>
      </c>
      <c r="N183" s="1">
        <v>951.173</v>
      </c>
      <c r="O183" s="1">
        <f>ABS(Table4[[#This Row],[EndMP]]-Table4[[#This Row],[StartMP]])</f>
        <v>33.869999999999997</v>
      </c>
      <c r="P183" s="1" t="str">
        <f>IF( AND( Table4[[#This Row],[Route]]=ClosureLocation!$B$3, ClosureLocation!$B$6 &gt;= Table4[[#This Row],[StartMP]], ClosureLocation!$B$6 &lt;= Table4[[#This Row],[EndMP]]), "Yes", "")</f>
        <v/>
      </c>
      <c r="Q183" s="1" t="str">
        <f>IF( AND( Table4[[#This Row],[Route]]=ClosureLocation!$B$3, ClosureLocation!$B$6 &lt;= Table4[[#This Row],[StartMP]], ClosureLocation!$B$6 &gt;= Table4[[#This Row],[EndMP]]), "Yes", "")</f>
        <v/>
      </c>
      <c r="R183" s="1" t="str">
        <f>IF( OR( Table4[[#This Row],[PrimaryMatch]]="Yes", Table4[[#This Row],[SecondaryMatch]]="Yes"), "Yes", "")</f>
        <v/>
      </c>
    </row>
    <row r="184" spans="1:18" hidden="1" x14ac:dyDescent="0.25">
      <c r="A184" t="s">
        <v>776</v>
      </c>
      <c r="B184" t="s">
        <v>3209</v>
      </c>
      <c r="C184" t="s">
        <v>3226</v>
      </c>
      <c r="D184" t="s">
        <v>3749</v>
      </c>
      <c r="E184" s="1">
        <v>116.185</v>
      </c>
      <c r="F184" s="1">
        <v>44.02</v>
      </c>
      <c r="G184">
        <v>41</v>
      </c>
      <c r="H184">
        <v>94</v>
      </c>
      <c r="I184" t="s">
        <v>2640</v>
      </c>
      <c r="J184" t="s">
        <v>1694</v>
      </c>
      <c r="K184" s="39">
        <v>112.96467199999999</v>
      </c>
      <c r="L184" s="1">
        <v>53.204273000000001</v>
      </c>
      <c r="M184" s="1" t="s">
        <v>4531</v>
      </c>
      <c r="N184" s="1">
        <v>883.81500000000005</v>
      </c>
      <c r="O184" s="1">
        <f>ABS(Table4[[#This Row],[EndMP]]-Table4[[#This Row],[StartMP]])</f>
        <v>72.164999999999992</v>
      </c>
      <c r="P184" s="1" t="str">
        <f>IF( AND( Table4[[#This Row],[Route]]=ClosureLocation!$B$3, ClosureLocation!$B$6 &gt;= Table4[[#This Row],[StartMP]], ClosureLocation!$B$6 &lt;= Table4[[#This Row],[EndMP]]), "Yes", "")</f>
        <v/>
      </c>
      <c r="Q184" s="1" t="str">
        <f>IF( AND( Table4[[#This Row],[Route]]=ClosureLocation!$B$3, ClosureLocation!$B$6 &lt;= Table4[[#This Row],[StartMP]], ClosureLocation!$B$6 &gt;= Table4[[#This Row],[EndMP]]), "Yes", "")</f>
        <v>Yes</v>
      </c>
      <c r="R184" s="1" t="str">
        <f>IF( OR( Table4[[#This Row],[PrimaryMatch]]="Yes", Table4[[#This Row],[SecondaryMatch]]="Yes"), "Yes", "")</f>
        <v>Yes</v>
      </c>
    </row>
    <row r="185" spans="1:18" x14ac:dyDescent="0.25">
      <c r="A185" t="s">
        <v>776</v>
      </c>
      <c r="B185" t="s">
        <v>3205</v>
      </c>
      <c r="C185" t="s">
        <v>3222</v>
      </c>
      <c r="D185" t="s">
        <v>3748</v>
      </c>
      <c r="E185" s="1">
        <v>44</v>
      </c>
      <c r="F185" s="1">
        <v>116.185</v>
      </c>
      <c r="G185">
        <v>7</v>
      </c>
      <c r="H185">
        <v>7</v>
      </c>
      <c r="I185" t="s">
        <v>2552</v>
      </c>
      <c r="J185" t="s">
        <v>1694</v>
      </c>
      <c r="K185" s="39">
        <v>112.89869299999999</v>
      </c>
      <c r="L185" s="1">
        <v>53.249921000000001</v>
      </c>
      <c r="M185" s="1" t="s">
        <v>4457</v>
      </c>
      <c r="N185" s="1">
        <v>44</v>
      </c>
      <c r="O185" s="1">
        <f>ABS(Table4[[#This Row],[EndMP]]-Table4[[#This Row],[StartMP]])</f>
        <v>72.185000000000002</v>
      </c>
      <c r="P185" s="1" t="str">
        <f>IF( AND( Table4[[#This Row],[Route]]=ClosureLocation!$B$3, ClosureLocation!$B$6 &gt;= Table4[[#This Row],[StartMP]], ClosureLocation!$B$6 &lt;= Table4[[#This Row],[EndMP]]), "Yes", "")</f>
        <v>Yes</v>
      </c>
      <c r="Q185" s="1" t="str">
        <f>IF( AND( Table4[[#This Row],[Route]]=ClosureLocation!$B$3, ClosureLocation!$B$6 &lt;= Table4[[#This Row],[StartMP]], ClosureLocation!$B$6 &gt;= Table4[[#This Row],[EndMP]]), "Yes", "")</f>
        <v/>
      </c>
      <c r="R185" s="1" t="str">
        <f>IF( OR( Table4[[#This Row],[PrimaryMatch]]="Yes", Table4[[#This Row],[SecondaryMatch]]="Yes"), "Yes", "")</f>
        <v>Yes</v>
      </c>
    </row>
    <row r="186" spans="1:18" hidden="1" x14ac:dyDescent="0.25">
      <c r="A186" t="s">
        <v>776</v>
      </c>
      <c r="B186" t="s">
        <v>3209</v>
      </c>
      <c r="C186" t="s">
        <v>3226</v>
      </c>
      <c r="D186" t="s">
        <v>3749</v>
      </c>
      <c r="E186" s="1">
        <v>202.113</v>
      </c>
      <c r="F186" s="1">
        <v>195.642</v>
      </c>
      <c r="G186">
        <v>33</v>
      </c>
      <c r="H186">
        <v>86</v>
      </c>
      <c r="I186" t="s">
        <v>2632</v>
      </c>
      <c r="J186" t="s">
        <v>1694</v>
      </c>
      <c r="K186" s="39">
        <v>105.779923</v>
      </c>
      <c r="L186" s="1">
        <v>54.924610999999999</v>
      </c>
      <c r="M186" s="1" t="s">
        <v>4525</v>
      </c>
      <c r="N186" s="1">
        <v>797.88699999999994</v>
      </c>
      <c r="O186" s="1">
        <f>ABS(Table4[[#This Row],[EndMP]]-Table4[[#This Row],[StartMP]])</f>
        <v>6.4710000000000036</v>
      </c>
      <c r="P186" s="1" t="str">
        <f>IF( AND( Table4[[#This Row],[Route]]=ClosureLocation!$B$3, ClosureLocation!$B$6 &gt;= Table4[[#This Row],[StartMP]], ClosureLocation!$B$6 &lt;= Table4[[#This Row],[EndMP]]), "Yes", "")</f>
        <v/>
      </c>
      <c r="Q186" s="1" t="str">
        <f>IF( AND( Table4[[#This Row],[Route]]=ClosureLocation!$B$3, ClosureLocation!$B$6 &lt;= Table4[[#This Row],[StartMP]], ClosureLocation!$B$6 &gt;= Table4[[#This Row],[EndMP]]), "Yes", "")</f>
        <v/>
      </c>
      <c r="R186" s="1" t="str">
        <f>IF( OR( Table4[[#This Row],[PrimaryMatch]]="Yes", Table4[[#This Row],[SecondaryMatch]]="Yes"), "Yes", "")</f>
        <v/>
      </c>
    </row>
    <row r="187" spans="1:18" hidden="1" x14ac:dyDescent="0.25">
      <c r="A187" t="s">
        <v>776</v>
      </c>
      <c r="B187" t="s">
        <v>3205</v>
      </c>
      <c r="C187" t="s">
        <v>3222</v>
      </c>
      <c r="D187" t="s">
        <v>3748</v>
      </c>
      <c r="E187" s="1">
        <v>195.471</v>
      </c>
      <c r="F187" s="1">
        <v>202.166</v>
      </c>
      <c r="G187">
        <v>22</v>
      </c>
      <c r="H187">
        <v>22</v>
      </c>
      <c r="I187" t="s">
        <v>2567</v>
      </c>
      <c r="J187" t="s">
        <v>1694</v>
      </c>
      <c r="K187" s="39">
        <v>105.364271</v>
      </c>
      <c r="L187" s="1">
        <v>54.990223</v>
      </c>
      <c r="M187" s="1" t="s">
        <v>4470</v>
      </c>
      <c r="N187" s="1">
        <v>195.471</v>
      </c>
      <c r="O187" s="1">
        <f>ABS(Table4[[#This Row],[EndMP]]-Table4[[#This Row],[StartMP]])</f>
        <v>6.6949999999999932</v>
      </c>
      <c r="P187" s="1" t="str">
        <f>IF( AND( Table4[[#This Row],[Route]]=ClosureLocation!$B$3, ClosureLocation!$B$6 &gt;= Table4[[#This Row],[StartMP]], ClosureLocation!$B$6 &lt;= Table4[[#This Row],[EndMP]]), "Yes", "")</f>
        <v/>
      </c>
      <c r="Q187" s="1" t="str">
        <f>IF( AND( Table4[[#This Row],[Route]]=ClosureLocation!$B$3, ClosureLocation!$B$6 &lt;= Table4[[#This Row],[StartMP]], ClosureLocation!$B$6 &gt;= Table4[[#This Row],[EndMP]]), "Yes", "")</f>
        <v/>
      </c>
      <c r="R187" s="1" t="str">
        <f>IF( OR( Table4[[#This Row],[PrimaryMatch]]="Yes", Table4[[#This Row],[SecondaryMatch]]="Yes"), "Yes", "")</f>
        <v/>
      </c>
    </row>
    <row r="188" spans="1:18" hidden="1" x14ac:dyDescent="0.25">
      <c r="A188" t="s">
        <v>310</v>
      </c>
      <c r="B188" t="s">
        <v>3209</v>
      </c>
      <c r="C188" t="s">
        <v>3210</v>
      </c>
      <c r="D188" t="s">
        <v>3444</v>
      </c>
      <c r="E188" s="1">
        <v>14.654999999999999</v>
      </c>
      <c r="F188" s="1">
        <v>0</v>
      </c>
      <c r="G188">
        <v>35</v>
      </c>
      <c r="H188">
        <v>8</v>
      </c>
      <c r="I188" t="s">
        <v>2274</v>
      </c>
      <c r="J188" t="s">
        <v>1700</v>
      </c>
      <c r="K188" s="39">
        <v>103.48705699999999</v>
      </c>
      <c r="L188" s="1">
        <v>78.217747000000003</v>
      </c>
      <c r="M188" s="58" t="s">
        <v>3461</v>
      </c>
      <c r="N188" s="1">
        <v>985.34500000000003</v>
      </c>
      <c r="O188" s="1">
        <f>ABS(Table4[[#This Row],[EndMP]]-Table4[[#This Row],[StartMP]])</f>
        <v>14.654999999999999</v>
      </c>
      <c r="P188" s="1" t="str">
        <f>IF( AND( Table4[[#This Row],[Route]]=ClosureLocation!$B$3, ClosureLocation!$B$6 &gt;= Table4[[#This Row],[StartMP]], ClosureLocation!$B$6 &lt;= Table4[[#This Row],[EndMP]]), "Yes", "")</f>
        <v/>
      </c>
      <c r="Q188" s="1" t="str">
        <f>IF( AND( Table4[[#This Row],[Route]]=ClosureLocation!$B$3, ClosureLocation!$B$6 &lt;= Table4[[#This Row],[StartMP]], ClosureLocation!$B$6 &gt;= Table4[[#This Row],[EndMP]]), "Yes", "")</f>
        <v/>
      </c>
      <c r="R188" s="1" t="str">
        <f>IF( OR( Table4[[#This Row],[PrimaryMatch]]="Yes", Table4[[#This Row],[SecondaryMatch]]="Yes"), "Yes", "")</f>
        <v/>
      </c>
    </row>
    <row r="189" spans="1:18" hidden="1" x14ac:dyDescent="0.25">
      <c r="A189" t="s">
        <v>310</v>
      </c>
      <c r="B189" t="s">
        <v>3205</v>
      </c>
      <c r="C189" t="s">
        <v>3206</v>
      </c>
      <c r="D189" t="s">
        <v>3427</v>
      </c>
      <c r="E189" s="1">
        <v>0</v>
      </c>
      <c r="F189" s="1">
        <v>14.776</v>
      </c>
      <c r="G189">
        <v>1</v>
      </c>
      <c r="H189">
        <v>1</v>
      </c>
      <c r="I189" t="s">
        <v>2207</v>
      </c>
      <c r="J189" t="s">
        <v>1700</v>
      </c>
      <c r="K189" s="39">
        <v>103.465407</v>
      </c>
      <c r="L189" s="1">
        <v>78.165529000000006</v>
      </c>
      <c r="M189" s="58" t="s">
        <v>3428</v>
      </c>
      <c r="N189" s="1">
        <v>0</v>
      </c>
      <c r="O189" s="1">
        <f>ABS(Table4[[#This Row],[EndMP]]-Table4[[#This Row],[StartMP]])</f>
        <v>14.776</v>
      </c>
      <c r="P189" s="1" t="str">
        <f>IF( AND( Table4[[#This Row],[Route]]=ClosureLocation!$B$3, ClosureLocation!$B$6 &gt;= Table4[[#This Row],[StartMP]], ClosureLocation!$B$6 &lt;= Table4[[#This Row],[EndMP]]), "Yes", "")</f>
        <v/>
      </c>
      <c r="Q189" s="1" t="str">
        <f>IF( AND( Table4[[#This Row],[Route]]=ClosureLocation!$B$3, ClosureLocation!$B$6 &lt;= Table4[[#This Row],[StartMP]], ClosureLocation!$B$6 &gt;= Table4[[#This Row],[EndMP]]), "Yes", "")</f>
        <v/>
      </c>
      <c r="R189" s="1" t="str">
        <f>IF( OR( Table4[[#This Row],[PrimaryMatch]]="Yes", Table4[[#This Row],[SecondaryMatch]]="Yes"), "Yes", "")</f>
        <v/>
      </c>
    </row>
    <row r="190" spans="1:18" hidden="1" x14ac:dyDescent="0.25">
      <c r="A190" t="s">
        <v>394</v>
      </c>
      <c r="B190" t="s">
        <v>3205</v>
      </c>
      <c r="C190" t="s">
        <v>3222</v>
      </c>
      <c r="D190" t="s">
        <v>3477</v>
      </c>
      <c r="E190" s="1">
        <v>0</v>
      </c>
      <c r="F190" s="1">
        <v>53.758000000000003</v>
      </c>
      <c r="G190">
        <v>1</v>
      </c>
      <c r="H190">
        <v>1</v>
      </c>
      <c r="I190" t="s">
        <v>2287</v>
      </c>
      <c r="J190" t="s">
        <v>1702</v>
      </c>
      <c r="K190" s="39">
        <v>103.37445700000001</v>
      </c>
      <c r="L190" s="1">
        <v>88.423563999999999</v>
      </c>
      <c r="M190" s="1" t="s">
        <v>3478</v>
      </c>
      <c r="N190" s="1">
        <v>0</v>
      </c>
      <c r="O190" s="1">
        <f>ABS(Table4[[#This Row],[EndMP]]-Table4[[#This Row],[StartMP]])</f>
        <v>53.758000000000003</v>
      </c>
      <c r="P190" s="1" t="str">
        <f>IF( AND( Table4[[#This Row],[Route]]=ClosureLocation!$B$3, ClosureLocation!$B$6 &gt;= Table4[[#This Row],[StartMP]], ClosureLocation!$B$6 &lt;= Table4[[#This Row],[EndMP]]), "Yes", "")</f>
        <v/>
      </c>
      <c r="Q190" s="1" t="str">
        <f>IF( AND( Table4[[#This Row],[Route]]=ClosureLocation!$B$3, ClosureLocation!$B$6 &lt;= Table4[[#This Row],[StartMP]], ClosureLocation!$B$6 &gt;= Table4[[#This Row],[EndMP]]), "Yes", "")</f>
        <v/>
      </c>
      <c r="R190" s="1" t="str">
        <f>IF( OR( Table4[[#This Row],[PrimaryMatch]]="Yes", Table4[[#This Row],[SecondaryMatch]]="Yes"), "Yes", "")</f>
        <v/>
      </c>
    </row>
    <row r="191" spans="1:18" hidden="1" x14ac:dyDescent="0.25">
      <c r="A191" t="s">
        <v>394</v>
      </c>
      <c r="B191" t="s">
        <v>3209</v>
      </c>
      <c r="C191" t="s">
        <v>3226</v>
      </c>
      <c r="D191" t="s">
        <v>3487</v>
      </c>
      <c r="E191" s="1">
        <v>53.758000000000003</v>
      </c>
      <c r="F191" s="1">
        <v>0</v>
      </c>
      <c r="G191">
        <v>11</v>
      </c>
      <c r="H191">
        <v>2</v>
      </c>
      <c r="I191" t="s">
        <v>2307</v>
      </c>
      <c r="J191" t="s">
        <v>1702</v>
      </c>
      <c r="K191" s="39">
        <v>103.246849</v>
      </c>
      <c r="L191" s="1">
        <v>87.724081999999996</v>
      </c>
      <c r="M191" s="1" t="s">
        <v>3496</v>
      </c>
      <c r="N191" s="1">
        <v>946.24199999999996</v>
      </c>
      <c r="O191" s="1">
        <f>ABS(Table4[[#This Row],[EndMP]]-Table4[[#This Row],[StartMP]])</f>
        <v>53.758000000000003</v>
      </c>
      <c r="P191" s="1" t="str">
        <f>IF( AND( Table4[[#This Row],[Route]]=ClosureLocation!$B$3, ClosureLocation!$B$6 &gt;= Table4[[#This Row],[StartMP]], ClosureLocation!$B$6 &lt;= Table4[[#This Row],[EndMP]]), "Yes", "")</f>
        <v/>
      </c>
      <c r="Q191" s="1" t="str">
        <f>IF( AND( Table4[[#This Row],[Route]]=ClosureLocation!$B$3, ClosureLocation!$B$6 &lt;= Table4[[#This Row],[StartMP]], ClosureLocation!$B$6 &gt;= Table4[[#This Row],[EndMP]]), "Yes", "")</f>
        <v/>
      </c>
      <c r="R191" s="1" t="str">
        <f>IF( OR( Table4[[#This Row],[PrimaryMatch]]="Yes", Table4[[#This Row],[SecondaryMatch]]="Yes"), "Yes", "")</f>
        <v/>
      </c>
    </row>
    <row r="192" spans="1:18" hidden="1" x14ac:dyDescent="0.25">
      <c r="A192" t="s">
        <v>602</v>
      </c>
      <c r="B192" t="s">
        <v>3209</v>
      </c>
      <c r="C192" t="s">
        <v>3226</v>
      </c>
      <c r="D192" t="s">
        <v>3626</v>
      </c>
      <c r="E192" s="1">
        <v>131.12899999999999</v>
      </c>
      <c r="F192" s="1">
        <v>91.878</v>
      </c>
      <c r="G192">
        <v>11</v>
      </c>
      <c r="H192">
        <v>8</v>
      </c>
      <c r="I192" t="s">
        <v>2436</v>
      </c>
      <c r="J192" t="s">
        <v>1700</v>
      </c>
      <c r="K192" s="39">
        <v>102.56525999999999</v>
      </c>
      <c r="L192" s="1">
        <v>55.310659000000001</v>
      </c>
      <c r="M192" s="1" t="s">
        <v>1049</v>
      </c>
      <c r="N192" s="1">
        <v>868.87099999999998</v>
      </c>
      <c r="O192" s="1">
        <f>ABS(Table4[[#This Row],[EndMP]]-Table4[[#This Row],[StartMP]])</f>
        <v>39.250999999999991</v>
      </c>
      <c r="P192" s="1" t="str">
        <f>IF( AND( Table4[[#This Row],[Route]]=ClosureLocation!$B$3, ClosureLocation!$B$6 &gt;= Table4[[#This Row],[StartMP]], ClosureLocation!$B$6 &lt;= Table4[[#This Row],[EndMP]]), "Yes", "")</f>
        <v/>
      </c>
      <c r="Q192" s="1" t="str">
        <f>IF( AND( Table4[[#This Row],[Route]]=ClosureLocation!$B$3, ClosureLocation!$B$6 &lt;= Table4[[#This Row],[StartMP]], ClosureLocation!$B$6 &gt;= Table4[[#This Row],[EndMP]]), "Yes", "")</f>
        <v/>
      </c>
      <c r="R192" s="1" t="str">
        <f>IF( OR( Table4[[#This Row],[PrimaryMatch]]="Yes", Table4[[#This Row],[SecondaryMatch]]="Yes"), "Yes", "")</f>
        <v/>
      </c>
    </row>
    <row r="193" spans="1:18" hidden="1" x14ac:dyDescent="0.25">
      <c r="A193" t="s">
        <v>602</v>
      </c>
      <c r="B193" t="s">
        <v>3205</v>
      </c>
      <c r="C193" t="s">
        <v>3222</v>
      </c>
      <c r="D193" t="s">
        <v>3612</v>
      </c>
      <c r="E193" s="1">
        <v>91.878</v>
      </c>
      <c r="F193" s="1">
        <v>131.12899999999999</v>
      </c>
      <c r="G193">
        <v>8</v>
      </c>
      <c r="H193">
        <v>1</v>
      </c>
      <c r="I193" t="s">
        <v>2415</v>
      </c>
      <c r="J193" t="s">
        <v>1700</v>
      </c>
      <c r="K193" s="39">
        <v>102.536323</v>
      </c>
      <c r="L193" s="1">
        <v>55.310659000000001</v>
      </c>
      <c r="M193" s="1" t="s">
        <v>1049</v>
      </c>
      <c r="N193" s="1">
        <v>91.878</v>
      </c>
      <c r="O193" s="1">
        <f>ABS(Table4[[#This Row],[EndMP]]-Table4[[#This Row],[StartMP]])</f>
        <v>39.250999999999991</v>
      </c>
      <c r="P193" s="1" t="str">
        <f>IF( AND( Table4[[#This Row],[Route]]=ClosureLocation!$B$3, ClosureLocation!$B$6 &gt;= Table4[[#This Row],[StartMP]], ClosureLocation!$B$6 &lt;= Table4[[#This Row],[EndMP]]), "Yes", "")</f>
        <v/>
      </c>
      <c r="Q193" s="1" t="str">
        <f>IF( AND( Table4[[#This Row],[Route]]=ClosureLocation!$B$3, ClosureLocation!$B$6 &lt;= Table4[[#This Row],[StartMP]], ClosureLocation!$B$6 &gt;= Table4[[#This Row],[EndMP]]), "Yes", "")</f>
        <v/>
      </c>
      <c r="R193" s="1" t="str">
        <f>IF( OR( Table4[[#This Row],[PrimaryMatch]]="Yes", Table4[[#This Row],[SecondaryMatch]]="Yes"), "Yes", "")</f>
        <v/>
      </c>
    </row>
    <row r="194" spans="1:18" hidden="1" x14ac:dyDescent="0.25">
      <c r="A194" t="s">
        <v>182</v>
      </c>
      <c r="B194" t="s">
        <v>3209</v>
      </c>
      <c r="C194" t="s">
        <v>3210</v>
      </c>
      <c r="D194" t="s">
        <v>3329</v>
      </c>
      <c r="E194" s="1">
        <v>88.635000000000005</v>
      </c>
      <c r="F194" s="1">
        <v>1.0589999999999999</v>
      </c>
      <c r="G194">
        <v>1</v>
      </c>
      <c r="H194">
        <v>2</v>
      </c>
      <c r="I194" t="s">
        <v>2136</v>
      </c>
      <c r="J194" t="s">
        <v>1696</v>
      </c>
      <c r="K194" s="39">
        <v>99.480592000000001</v>
      </c>
      <c r="L194" s="1">
        <v>95.638976999999997</v>
      </c>
      <c r="M194" s="1" t="s">
        <v>3330</v>
      </c>
      <c r="N194" s="1">
        <v>911.36500000000001</v>
      </c>
      <c r="O194" s="1">
        <f>ABS(Table4[[#This Row],[EndMP]]-Table4[[#This Row],[StartMP]])</f>
        <v>87.576000000000008</v>
      </c>
      <c r="P194" s="1" t="str">
        <f>IF( AND( Table4[[#This Row],[Route]]=ClosureLocation!$B$3, ClosureLocation!$B$6 &gt;= Table4[[#This Row],[StartMP]], ClosureLocation!$B$6 &lt;= Table4[[#This Row],[EndMP]]), "Yes", "")</f>
        <v/>
      </c>
      <c r="Q194" s="1" t="str">
        <f>IF( AND( Table4[[#This Row],[Route]]=ClosureLocation!$B$3, ClosureLocation!$B$6 &lt;= Table4[[#This Row],[StartMP]], ClosureLocation!$B$6 &gt;= Table4[[#This Row],[EndMP]]), "Yes", "")</f>
        <v/>
      </c>
      <c r="R194" s="1" t="str">
        <f>IF( OR( Table4[[#This Row],[PrimaryMatch]]="Yes", Table4[[#This Row],[SecondaryMatch]]="Yes"), "Yes", "")</f>
        <v/>
      </c>
    </row>
    <row r="195" spans="1:18" hidden="1" x14ac:dyDescent="0.25">
      <c r="A195" t="s">
        <v>182</v>
      </c>
      <c r="B195" t="s">
        <v>3205</v>
      </c>
      <c r="C195" t="s">
        <v>3206</v>
      </c>
      <c r="D195" t="s">
        <v>3327</v>
      </c>
      <c r="E195" s="1">
        <v>1.0589999999999999</v>
      </c>
      <c r="F195" s="1">
        <v>88.635000000000005</v>
      </c>
      <c r="G195">
        <v>1</v>
      </c>
      <c r="H195">
        <v>1</v>
      </c>
      <c r="I195" t="s">
        <v>2135</v>
      </c>
      <c r="J195" t="s">
        <v>1696</v>
      </c>
      <c r="K195" s="39">
        <v>99.114503999999997</v>
      </c>
      <c r="L195" s="1">
        <v>95.598397000000006</v>
      </c>
      <c r="M195" s="1" t="s">
        <v>3328</v>
      </c>
      <c r="N195" s="1">
        <v>1.0589999999999999</v>
      </c>
      <c r="O195" s="1">
        <f>ABS(Table4[[#This Row],[EndMP]]-Table4[[#This Row],[StartMP]])</f>
        <v>87.576000000000008</v>
      </c>
      <c r="P195" s="1" t="str">
        <f>IF( AND( Table4[[#This Row],[Route]]=ClosureLocation!$B$3, ClosureLocation!$B$6 &gt;= Table4[[#This Row],[StartMP]], ClosureLocation!$B$6 &lt;= Table4[[#This Row],[EndMP]]), "Yes", "")</f>
        <v/>
      </c>
      <c r="Q195" s="1" t="str">
        <f>IF( AND( Table4[[#This Row],[Route]]=ClosureLocation!$B$3, ClosureLocation!$B$6 &lt;= Table4[[#This Row],[StartMP]], ClosureLocation!$B$6 &gt;= Table4[[#This Row],[EndMP]]), "Yes", "")</f>
        <v/>
      </c>
      <c r="R195" s="1" t="str">
        <f>IF( OR( Table4[[#This Row],[PrimaryMatch]]="Yes", Table4[[#This Row],[SecondaryMatch]]="Yes"), "Yes", "")</f>
        <v/>
      </c>
    </row>
    <row r="196" spans="1:18" hidden="1" x14ac:dyDescent="0.25">
      <c r="A196" t="s">
        <v>513</v>
      </c>
      <c r="B196" t="s">
        <v>3205</v>
      </c>
      <c r="C196" t="s">
        <v>3222</v>
      </c>
      <c r="D196" t="s">
        <v>3561</v>
      </c>
      <c r="E196" s="1">
        <v>209.16499999999999</v>
      </c>
      <c r="F196" s="1">
        <v>211.08099999999999</v>
      </c>
      <c r="G196">
        <v>6</v>
      </c>
      <c r="H196">
        <v>3</v>
      </c>
      <c r="I196" t="s">
        <v>2362</v>
      </c>
      <c r="J196" t="s">
        <v>1700</v>
      </c>
      <c r="K196" s="39">
        <v>99.032200000000003</v>
      </c>
      <c r="L196" s="1">
        <v>83.902775000000005</v>
      </c>
      <c r="M196" s="1" t="s">
        <v>3564</v>
      </c>
      <c r="N196" s="1">
        <v>209.16499999999999</v>
      </c>
      <c r="O196" s="1">
        <f>ABS(Table4[[#This Row],[EndMP]]-Table4[[#This Row],[StartMP]])</f>
        <v>1.9159999999999968</v>
      </c>
      <c r="P196" s="1" t="str">
        <f>IF( AND( Table4[[#This Row],[Route]]=ClosureLocation!$B$3, ClosureLocation!$B$6 &gt;= Table4[[#This Row],[StartMP]], ClosureLocation!$B$6 &lt;= Table4[[#This Row],[EndMP]]), "Yes", "")</f>
        <v/>
      </c>
      <c r="Q196" s="1" t="str">
        <f>IF( AND( Table4[[#This Row],[Route]]=ClosureLocation!$B$3, ClosureLocation!$B$6 &lt;= Table4[[#This Row],[StartMP]], ClosureLocation!$B$6 &gt;= Table4[[#This Row],[EndMP]]), "Yes", "")</f>
        <v/>
      </c>
      <c r="R196" s="1" t="str">
        <f>IF( OR( Table4[[#This Row],[PrimaryMatch]]="Yes", Table4[[#This Row],[SecondaryMatch]]="Yes"), "Yes", "")</f>
        <v/>
      </c>
    </row>
    <row r="197" spans="1:18" hidden="1" x14ac:dyDescent="0.25">
      <c r="A197" t="s">
        <v>304</v>
      </c>
      <c r="B197" t="s">
        <v>3205</v>
      </c>
      <c r="C197" t="s">
        <v>3222</v>
      </c>
      <c r="D197" t="s">
        <v>3419</v>
      </c>
      <c r="E197" s="1">
        <v>308.23</v>
      </c>
      <c r="F197" s="1">
        <v>310.42200000000003</v>
      </c>
      <c r="G197">
        <v>2</v>
      </c>
      <c r="H197">
        <v>2</v>
      </c>
      <c r="I197" t="s">
        <v>2204</v>
      </c>
      <c r="J197" t="s">
        <v>1690</v>
      </c>
      <c r="K197" s="39">
        <v>98.494129000000001</v>
      </c>
      <c r="L197" s="1">
        <v>92.525031999999996</v>
      </c>
      <c r="M197" s="1" t="s">
        <v>3421</v>
      </c>
      <c r="N197" s="1">
        <v>308.23</v>
      </c>
      <c r="O197" s="1">
        <f>ABS(Table4[[#This Row],[EndMP]]-Table4[[#This Row],[StartMP]])</f>
        <v>2.1920000000000073</v>
      </c>
      <c r="P197" s="1" t="str">
        <f>IF( AND( Table4[[#This Row],[Route]]=ClosureLocation!$B$3, ClosureLocation!$B$6 &gt;= Table4[[#This Row],[StartMP]], ClosureLocation!$B$6 &lt;= Table4[[#This Row],[EndMP]]), "Yes", "")</f>
        <v/>
      </c>
      <c r="Q197" s="1" t="str">
        <f>IF( AND( Table4[[#This Row],[Route]]=ClosureLocation!$B$3, ClosureLocation!$B$6 &lt;= Table4[[#This Row],[StartMP]], ClosureLocation!$B$6 &gt;= Table4[[#This Row],[EndMP]]), "Yes", "")</f>
        <v/>
      </c>
      <c r="R197" s="1" t="str">
        <f>IF( OR( Table4[[#This Row],[PrimaryMatch]]="Yes", Table4[[#This Row],[SecondaryMatch]]="Yes"), "Yes", "")</f>
        <v/>
      </c>
    </row>
    <row r="198" spans="1:18" hidden="1" x14ac:dyDescent="0.25">
      <c r="A198" t="s">
        <v>602</v>
      </c>
      <c r="B198" t="s">
        <v>3209</v>
      </c>
      <c r="C198" t="s">
        <v>3226</v>
      </c>
      <c r="D198" t="s">
        <v>3626</v>
      </c>
      <c r="E198" s="1">
        <v>216.77</v>
      </c>
      <c r="F198" s="1">
        <v>165.601</v>
      </c>
      <c r="G198">
        <v>9</v>
      </c>
      <c r="H198">
        <v>6</v>
      </c>
      <c r="I198" t="s">
        <v>2434</v>
      </c>
      <c r="J198" t="s">
        <v>1700</v>
      </c>
      <c r="K198" s="39">
        <v>98.371902000000006</v>
      </c>
      <c r="L198" s="1">
        <v>49.858015999999999</v>
      </c>
      <c r="M198" s="1" t="s">
        <v>3633</v>
      </c>
      <c r="N198" s="1">
        <v>783.23</v>
      </c>
      <c r="O198" s="1">
        <f>ABS(Table4[[#This Row],[EndMP]]-Table4[[#This Row],[StartMP]])</f>
        <v>51.169000000000011</v>
      </c>
      <c r="P198" s="1" t="str">
        <f>IF( AND( Table4[[#This Row],[Route]]=ClosureLocation!$B$3, ClosureLocation!$B$6 &gt;= Table4[[#This Row],[StartMP]], ClosureLocation!$B$6 &lt;= Table4[[#This Row],[EndMP]]), "Yes", "")</f>
        <v/>
      </c>
      <c r="Q198" s="1" t="str">
        <f>IF( AND( Table4[[#This Row],[Route]]=ClosureLocation!$B$3, ClosureLocation!$B$6 &lt;= Table4[[#This Row],[StartMP]], ClosureLocation!$B$6 &gt;= Table4[[#This Row],[EndMP]]), "Yes", "")</f>
        <v/>
      </c>
      <c r="R198" s="1" t="str">
        <f>IF( OR( Table4[[#This Row],[PrimaryMatch]]="Yes", Table4[[#This Row],[SecondaryMatch]]="Yes"), "Yes", "")</f>
        <v/>
      </c>
    </row>
    <row r="199" spans="1:18" hidden="1" x14ac:dyDescent="0.25">
      <c r="A199" t="s">
        <v>602</v>
      </c>
      <c r="B199" t="s">
        <v>3205</v>
      </c>
      <c r="C199" t="s">
        <v>3222</v>
      </c>
      <c r="D199" t="s">
        <v>3612</v>
      </c>
      <c r="E199" s="1">
        <v>165.601</v>
      </c>
      <c r="F199" s="1">
        <v>216.77</v>
      </c>
      <c r="G199">
        <v>10</v>
      </c>
      <c r="H199">
        <v>3</v>
      </c>
      <c r="I199" t="s">
        <v>2417</v>
      </c>
      <c r="J199" t="s">
        <v>1700</v>
      </c>
      <c r="K199" s="39">
        <v>98.370005000000006</v>
      </c>
      <c r="L199" s="1">
        <v>49.858015999999999</v>
      </c>
      <c r="M199" s="1" t="s">
        <v>3619</v>
      </c>
      <c r="N199" s="1">
        <v>165.601</v>
      </c>
      <c r="O199" s="1">
        <f>ABS(Table4[[#This Row],[EndMP]]-Table4[[#This Row],[StartMP]])</f>
        <v>51.169000000000011</v>
      </c>
      <c r="P199" s="1" t="str">
        <f>IF( AND( Table4[[#This Row],[Route]]=ClosureLocation!$B$3, ClosureLocation!$B$6 &gt;= Table4[[#This Row],[StartMP]], ClosureLocation!$B$6 &lt;= Table4[[#This Row],[EndMP]]), "Yes", "")</f>
        <v/>
      </c>
      <c r="Q199" s="1" t="str">
        <f>IF( AND( Table4[[#This Row],[Route]]=ClosureLocation!$B$3, ClosureLocation!$B$6 &lt;= Table4[[#This Row],[StartMP]], ClosureLocation!$B$6 &gt;= Table4[[#This Row],[EndMP]]), "Yes", "")</f>
        <v/>
      </c>
      <c r="R199" s="1" t="str">
        <f>IF( OR( Table4[[#This Row],[PrimaryMatch]]="Yes", Table4[[#This Row],[SecondaryMatch]]="Yes"), "Yes", "")</f>
        <v/>
      </c>
    </row>
    <row r="200" spans="1:18" hidden="1" x14ac:dyDescent="0.25">
      <c r="A200" t="s">
        <v>1471</v>
      </c>
      <c r="B200" t="s">
        <v>3209</v>
      </c>
      <c r="C200" t="s">
        <v>3210</v>
      </c>
      <c r="D200" t="s">
        <v>4237</v>
      </c>
      <c r="E200" s="1">
        <v>12.707000000000001</v>
      </c>
      <c r="F200" s="1">
        <v>0</v>
      </c>
      <c r="G200">
        <v>6</v>
      </c>
      <c r="H200">
        <v>12</v>
      </c>
      <c r="I200" t="s">
        <v>3059</v>
      </c>
      <c r="J200" t="s">
        <v>1695</v>
      </c>
      <c r="K200" s="39">
        <v>98.143912999999998</v>
      </c>
      <c r="L200" s="1">
        <v>68.534909999999996</v>
      </c>
      <c r="M200" s="58" t="s">
        <v>5025</v>
      </c>
      <c r="N200" s="1">
        <v>987.29300000000001</v>
      </c>
      <c r="O200" s="1">
        <f>ABS(Table4[[#This Row],[EndMP]]-Table4[[#This Row],[StartMP]])</f>
        <v>12.707000000000001</v>
      </c>
      <c r="P200" s="1" t="str">
        <f>IF( AND( Table4[[#This Row],[Route]]=ClosureLocation!$B$3, ClosureLocation!$B$6 &gt;= Table4[[#This Row],[StartMP]], ClosureLocation!$B$6 &lt;= Table4[[#This Row],[EndMP]]), "Yes", "")</f>
        <v/>
      </c>
      <c r="Q200" s="1" t="str">
        <f>IF( AND( Table4[[#This Row],[Route]]=ClosureLocation!$B$3, ClosureLocation!$B$6 &lt;= Table4[[#This Row],[StartMP]], ClosureLocation!$B$6 &gt;= Table4[[#This Row],[EndMP]]), "Yes", "")</f>
        <v/>
      </c>
      <c r="R200" s="1" t="str">
        <f>IF( OR( Table4[[#This Row],[PrimaryMatch]]="Yes", Table4[[#This Row],[SecondaryMatch]]="Yes"), "Yes", "")</f>
        <v/>
      </c>
    </row>
    <row r="201" spans="1:18" hidden="1" x14ac:dyDescent="0.25">
      <c r="A201" t="s">
        <v>1471</v>
      </c>
      <c r="B201" t="s">
        <v>3205</v>
      </c>
      <c r="C201" t="s">
        <v>3206</v>
      </c>
      <c r="D201" t="s">
        <v>4236</v>
      </c>
      <c r="E201" s="1">
        <v>0</v>
      </c>
      <c r="F201" s="1">
        <v>12.707000000000001</v>
      </c>
      <c r="G201">
        <v>1</v>
      </c>
      <c r="H201">
        <v>1</v>
      </c>
      <c r="I201" t="s">
        <v>3048</v>
      </c>
      <c r="J201" t="s">
        <v>1695</v>
      </c>
      <c r="K201" s="39">
        <v>97.881895999999998</v>
      </c>
      <c r="L201" s="1">
        <v>68.389425000000003</v>
      </c>
      <c r="M201" s="58" t="s">
        <v>5015</v>
      </c>
      <c r="N201" s="1">
        <v>0</v>
      </c>
      <c r="O201" s="1">
        <f>ABS(Table4[[#This Row],[EndMP]]-Table4[[#This Row],[StartMP]])</f>
        <v>12.707000000000001</v>
      </c>
      <c r="P201" s="1" t="str">
        <f>IF( AND( Table4[[#This Row],[Route]]=ClosureLocation!$B$3, ClosureLocation!$B$6 &gt;= Table4[[#This Row],[StartMP]], ClosureLocation!$B$6 &lt;= Table4[[#This Row],[EndMP]]), "Yes", "")</f>
        <v/>
      </c>
      <c r="Q201" s="1" t="str">
        <f>IF( AND( Table4[[#This Row],[Route]]=ClosureLocation!$B$3, ClosureLocation!$B$6 &lt;= Table4[[#This Row],[StartMP]], ClosureLocation!$B$6 &gt;= Table4[[#This Row],[EndMP]]), "Yes", "")</f>
        <v/>
      </c>
      <c r="R201" s="1" t="str">
        <f>IF( OR( Table4[[#This Row],[PrimaryMatch]]="Yes", Table4[[#This Row],[SecondaryMatch]]="Yes"), "Yes", "")</f>
        <v/>
      </c>
    </row>
    <row r="202" spans="1:18" hidden="1" x14ac:dyDescent="0.25">
      <c r="A202" t="s">
        <v>513</v>
      </c>
      <c r="B202" t="s">
        <v>3209</v>
      </c>
      <c r="C202" t="s">
        <v>3226</v>
      </c>
      <c r="D202" t="s">
        <v>3565</v>
      </c>
      <c r="E202" s="1">
        <v>211.08099999999999</v>
      </c>
      <c r="F202" s="1">
        <v>209.16499999999999</v>
      </c>
      <c r="G202">
        <v>2</v>
      </c>
      <c r="H202">
        <v>4</v>
      </c>
      <c r="I202" t="s">
        <v>2365</v>
      </c>
      <c r="J202" t="s">
        <v>1700</v>
      </c>
      <c r="K202" s="39">
        <v>97.680567999999994</v>
      </c>
      <c r="L202" s="1">
        <v>83.169404</v>
      </c>
      <c r="M202" s="1" t="s">
        <v>3566</v>
      </c>
      <c r="N202" s="1">
        <v>788.91899999999998</v>
      </c>
      <c r="O202" s="1">
        <f>ABS(Table4[[#This Row],[EndMP]]-Table4[[#This Row],[StartMP]])</f>
        <v>1.9159999999999968</v>
      </c>
      <c r="P202" s="1" t="str">
        <f>IF( AND( Table4[[#This Row],[Route]]=ClosureLocation!$B$3, ClosureLocation!$B$6 &gt;= Table4[[#This Row],[StartMP]], ClosureLocation!$B$6 &lt;= Table4[[#This Row],[EndMP]]), "Yes", "")</f>
        <v/>
      </c>
      <c r="Q202" s="1" t="str">
        <f>IF( AND( Table4[[#This Row],[Route]]=ClosureLocation!$B$3, ClosureLocation!$B$6 &lt;= Table4[[#This Row],[StartMP]], ClosureLocation!$B$6 &gt;= Table4[[#This Row],[EndMP]]), "Yes", "")</f>
        <v/>
      </c>
      <c r="R202" s="1" t="str">
        <f>IF( OR( Table4[[#This Row],[PrimaryMatch]]="Yes", Table4[[#This Row],[SecondaryMatch]]="Yes"), "Yes", "")</f>
        <v/>
      </c>
    </row>
    <row r="203" spans="1:18" hidden="1" x14ac:dyDescent="0.25">
      <c r="A203" t="s">
        <v>304</v>
      </c>
      <c r="B203" t="s">
        <v>3209</v>
      </c>
      <c r="C203" t="s">
        <v>3226</v>
      </c>
      <c r="D203" t="s">
        <v>3422</v>
      </c>
      <c r="E203" s="1">
        <v>310.42200000000003</v>
      </c>
      <c r="F203" s="1">
        <v>308.23</v>
      </c>
      <c r="G203">
        <v>1</v>
      </c>
      <c r="H203">
        <v>3</v>
      </c>
      <c r="I203" t="s">
        <v>2205</v>
      </c>
      <c r="J203" t="s">
        <v>1690</v>
      </c>
      <c r="K203" s="39">
        <v>97.659013999999999</v>
      </c>
      <c r="L203" s="1">
        <v>91.267386999999999</v>
      </c>
      <c r="M203" s="1" t="s">
        <v>3423</v>
      </c>
      <c r="N203" s="1">
        <v>689.57799999999997</v>
      </c>
      <c r="O203" s="1">
        <f>ABS(Table4[[#This Row],[EndMP]]-Table4[[#This Row],[StartMP]])</f>
        <v>2.1920000000000073</v>
      </c>
      <c r="P203" s="1" t="str">
        <f>IF( AND( Table4[[#This Row],[Route]]=ClosureLocation!$B$3, ClosureLocation!$B$6 &gt;= Table4[[#This Row],[StartMP]], ClosureLocation!$B$6 &lt;= Table4[[#This Row],[EndMP]]), "Yes", "")</f>
        <v/>
      </c>
      <c r="Q203" s="1" t="str">
        <f>IF( AND( Table4[[#This Row],[Route]]=ClosureLocation!$B$3, ClosureLocation!$B$6 &lt;= Table4[[#This Row],[StartMP]], ClosureLocation!$B$6 &gt;= Table4[[#This Row],[EndMP]]), "Yes", "")</f>
        <v/>
      </c>
      <c r="R203" s="1" t="str">
        <f>IF( OR( Table4[[#This Row],[PrimaryMatch]]="Yes", Table4[[#This Row],[SecondaryMatch]]="Yes"), "Yes", "")</f>
        <v/>
      </c>
    </row>
    <row r="204" spans="1:18" hidden="1" x14ac:dyDescent="0.25">
      <c r="A204" t="s">
        <v>1253</v>
      </c>
      <c r="B204" t="s">
        <v>3209</v>
      </c>
      <c r="C204" t="s">
        <v>3210</v>
      </c>
      <c r="D204" t="s">
        <v>4096</v>
      </c>
      <c r="E204" s="1">
        <v>72.064999999999998</v>
      </c>
      <c r="F204" s="1">
        <v>1.2529999999999999</v>
      </c>
      <c r="G204">
        <v>1</v>
      </c>
      <c r="H204">
        <v>3</v>
      </c>
      <c r="I204" t="s">
        <v>2943</v>
      </c>
      <c r="J204" t="s">
        <v>1692</v>
      </c>
      <c r="K204" s="39">
        <v>91.794740000000004</v>
      </c>
      <c r="L204" s="1">
        <v>98.459309000000005</v>
      </c>
      <c r="M204" s="1" t="s">
        <v>4097</v>
      </c>
      <c r="N204" s="1">
        <v>927.93499999999995</v>
      </c>
      <c r="O204" s="1">
        <f>ABS(Table4[[#This Row],[EndMP]]-Table4[[#This Row],[StartMP]])</f>
        <v>70.811999999999998</v>
      </c>
      <c r="P204" s="1" t="str">
        <f>IF( AND( Table4[[#This Row],[Route]]=ClosureLocation!$B$3, ClosureLocation!$B$6 &gt;= Table4[[#This Row],[StartMP]], ClosureLocation!$B$6 &lt;= Table4[[#This Row],[EndMP]]), "Yes", "")</f>
        <v/>
      </c>
      <c r="Q204" s="1" t="str">
        <f>IF( AND( Table4[[#This Row],[Route]]=ClosureLocation!$B$3, ClosureLocation!$B$6 &lt;= Table4[[#This Row],[StartMP]], ClosureLocation!$B$6 &gt;= Table4[[#This Row],[EndMP]]), "Yes", "")</f>
        <v/>
      </c>
      <c r="R204" s="1" t="str">
        <f>IF( OR( Table4[[#This Row],[PrimaryMatch]]="Yes", Table4[[#This Row],[SecondaryMatch]]="Yes"), "Yes", "")</f>
        <v/>
      </c>
    </row>
    <row r="205" spans="1:18" hidden="1" x14ac:dyDescent="0.25">
      <c r="A205" t="s">
        <v>1253</v>
      </c>
      <c r="B205" t="s">
        <v>3205</v>
      </c>
      <c r="C205" t="s">
        <v>3206</v>
      </c>
      <c r="D205" t="s">
        <v>4093</v>
      </c>
      <c r="E205" s="1">
        <v>1.2529999999999999</v>
      </c>
      <c r="F205" s="1">
        <v>72.064999999999998</v>
      </c>
      <c r="G205">
        <v>2</v>
      </c>
      <c r="H205">
        <v>2</v>
      </c>
      <c r="I205" t="s">
        <v>2942</v>
      </c>
      <c r="J205" t="s">
        <v>1692</v>
      </c>
      <c r="K205" s="39">
        <v>91.570685999999995</v>
      </c>
      <c r="L205" s="1">
        <v>98.297785000000005</v>
      </c>
      <c r="M205" s="1" t="s">
        <v>4095</v>
      </c>
      <c r="N205" s="1">
        <v>1.2529999999999999</v>
      </c>
      <c r="O205" s="1">
        <f>ABS(Table4[[#This Row],[EndMP]]-Table4[[#This Row],[StartMP]])</f>
        <v>70.811999999999998</v>
      </c>
      <c r="P205" s="1" t="str">
        <f>IF( AND( Table4[[#This Row],[Route]]=ClosureLocation!$B$3, ClosureLocation!$B$6 &gt;= Table4[[#This Row],[StartMP]], ClosureLocation!$B$6 &lt;= Table4[[#This Row],[EndMP]]), "Yes", "")</f>
        <v/>
      </c>
      <c r="Q205" s="1" t="str">
        <f>IF( AND( Table4[[#This Row],[Route]]=ClosureLocation!$B$3, ClosureLocation!$B$6 &lt;= Table4[[#This Row],[StartMP]], ClosureLocation!$B$6 &gt;= Table4[[#This Row],[EndMP]]), "Yes", "")</f>
        <v/>
      </c>
      <c r="R205" s="1" t="str">
        <f>IF( OR( Table4[[#This Row],[PrimaryMatch]]="Yes", Table4[[#This Row],[SecondaryMatch]]="Yes"), "Yes", "")</f>
        <v/>
      </c>
    </row>
    <row r="206" spans="1:18" hidden="1" x14ac:dyDescent="0.25">
      <c r="A206" t="s">
        <v>1155</v>
      </c>
      <c r="B206" t="s">
        <v>3205</v>
      </c>
      <c r="C206" t="s">
        <v>3222</v>
      </c>
      <c r="D206" t="s">
        <v>4014</v>
      </c>
      <c r="E206" s="1">
        <v>0</v>
      </c>
      <c r="F206" s="1">
        <v>27.02</v>
      </c>
      <c r="G206">
        <v>1</v>
      </c>
      <c r="H206">
        <v>1</v>
      </c>
      <c r="I206" t="s">
        <v>2876</v>
      </c>
      <c r="J206" t="s">
        <v>1689</v>
      </c>
      <c r="K206" s="39">
        <v>89.830140999999998</v>
      </c>
      <c r="L206" s="1">
        <v>72.249816999999993</v>
      </c>
      <c r="M206" s="1" t="s">
        <v>4015</v>
      </c>
      <c r="N206" s="1">
        <v>0</v>
      </c>
      <c r="O206" s="1">
        <f>ABS(Table4[[#This Row],[EndMP]]-Table4[[#This Row],[StartMP]])</f>
        <v>27.02</v>
      </c>
      <c r="P206" s="1" t="str">
        <f>IF( AND( Table4[[#This Row],[Route]]=ClosureLocation!$B$3, ClosureLocation!$B$6 &gt;= Table4[[#This Row],[StartMP]], ClosureLocation!$B$6 &lt;= Table4[[#This Row],[EndMP]]), "Yes", "")</f>
        <v/>
      </c>
      <c r="Q206" s="1" t="str">
        <f>IF( AND( Table4[[#This Row],[Route]]=ClosureLocation!$B$3, ClosureLocation!$B$6 &lt;= Table4[[#This Row],[StartMP]], ClosureLocation!$B$6 &gt;= Table4[[#This Row],[EndMP]]), "Yes", "")</f>
        <v/>
      </c>
      <c r="R206" s="1" t="str">
        <f>IF( OR( Table4[[#This Row],[PrimaryMatch]]="Yes", Table4[[#This Row],[SecondaryMatch]]="Yes"), "Yes", "")</f>
        <v/>
      </c>
    </row>
    <row r="207" spans="1:18" hidden="1" x14ac:dyDescent="0.25">
      <c r="A207" t="s">
        <v>1155</v>
      </c>
      <c r="B207" t="s">
        <v>3209</v>
      </c>
      <c r="C207" t="s">
        <v>3226</v>
      </c>
      <c r="D207" t="s">
        <v>4016</v>
      </c>
      <c r="E207" s="1">
        <v>27.02</v>
      </c>
      <c r="F207" s="1">
        <v>0</v>
      </c>
      <c r="H207">
        <v>2</v>
      </c>
      <c r="I207" t="s">
        <v>2877</v>
      </c>
      <c r="J207" t="s">
        <v>1689</v>
      </c>
      <c r="K207" s="39">
        <v>89.829948000000002</v>
      </c>
      <c r="L207" s="1">
        <v>72.249816999999993</v>
      </c>
      <c r="M207" s="1" t="s">
        <v>4017</v>
      </c>
      <c r="N207" s="1">
        <v>972.98</v>
      </c>
      <c r="O207" s="1">
        <f>ABS(Table4[[#This Row],[EndMP]]-Table4[[#This Row],[StartMP]])</f>
        <v>27.02</v>
      </c>
      <c r="P207" s="1" t="str">
        <f>IF( AND( Table4[[#This Row],[Route]]=ClosureLocation!$B$3, ClosureLocation!$B$6 &gt;= Table4[[#This Row],[StartMP]], ClosureLocation!$B$6 &lt;= Table4[[#This Row],[EndMP]]), "Yes", "")</f>
        <v/>
      </c>
      <c r="Q207" s="1" t="str">
        <f>IF( AND( Table4[[#This Row],[Route]]=ClosureLocation!$B$3, ClosureLocation!$B$6 &lt;= Table4[[#This Row],[StartMP]], ClosureLocation!$B$6 &gt;= Table4[[#This Row],[EndMP]]), "Yes", "")</f>
        <v/>
      </c>
      <c r="R207" s="1" t="str">
        <f>IF( OR( Table4[[#This Row],[PrimaryMatch]]="Yes", Table4[[#This Row],[SecondaryMatch]]="Yes"), "Yes", "")</f>
        <v/>
      </c>
    </row>
    <row r="208" spans="1:18" hidden="1" x14ac:dyDescent="0.25">
      <c r="A208" t="s">
        <v>1680</v>
      </c>
      <c r="B208" t="s">
        <v>3209</v>
      </c>
      <c r="C208" t="s">
        <v>3210</v>
      </c>
      <c r="D208" t="s">
        <v>4426</v>
      </c>
      <c r="E208" s="1">
        <v>103.702</v>
      </c>
      <c r="F208" s="1">
        <v>21</v>
      </c>
      <c r="G208">
        <v>2</v>
      </c>
      <c r="H208">
        <v>4</v>
      </c>
      <c r="I208" t="s">
        <v>3204</v>
      </c>
      <c r="J208" t="s">
        <v>1693</v>
      </c>
      <c r="K208" s="39">
        <v>87.679851999999997</v>
      </c>
      <c r="L208" s="1">
        <v>68.846181999999999</v>
      </c>
      <c r="M208" s="1" t="s">
        <v>4428</v>
      </c>
      <c r="N208" s="1">
        <v>896.298</v>
      </c>
      <c r="O208" s="1">
        <f>ABS(Table4[[#This Row],[EndMP]]-Table4[[#This Row],[StartMP]])</f>
        <v>82.701999999999998</v>
      </c>
      <c r="P208" s="1" t="str">
        <f>IF( AND( Table4[[#This Row],[Route]]=ClosureLocation!$B$3, ClosureLocation!$B$6 &gt;= Table4[[#This Row],[StartMP]], ClosureLocation!$B$6 &lt;= Table4[[#This Row],[EndMP]]), "Yes", "")</f>
        <v/>
      </c>
      <c r="Q208" s="1" t="str">
        <f>IF( AND( Table4[[#This Row],[Route]]=ClosureLocation!$B$3, ClosureLocation!$B$6 &lt;= Table4[[#This Row],[StartMP]], ClosureLocation!$B$6 &gt;= Table4[[#This Row],[EndMP]]), "Yes", "")</f>
        <v/>
      </c>
      <c r="R208" s="1" t="str">
        <f>IF( OR( Table4[[#This Row],[PrimaryMatch]]="Yes", Table4[[#This Row],[SecondaryMatch]]="Yes"), "Yes", "")</f>
        <v/>
      </c>
    </row>
    <row r="209" spans="1:18" hidden="1" x14ac:dyDescent="0.25">
      <c r="A209" t="s">
        <v>1680</v>
      </c>
      <c r="B209" t="s">
        <v>3205</v>
      </c>
      <c r="C209" t="s">
        <v>3206</v>
      </c>
      <c r="D209" t="s">
        <v>4423</v>
      </c>
      <c r="E209" s="1">
        <v>21</v>
      </c>
      <c r="F209" s="1">
        <v>103.702</v>
      </c>
      <c r="G209">
        <v>1</v>
      </c>
      <c r="H209">
        <v>1</v>
      </c>
      <c r="I209" t="s">
        <v>3201</v>
      </c>
      <c r="J209" t="s">
        <v>1693</v>
      </c>
      <c r="K209" s="39">
        <v>87.320770999999993</v>
      </c>
      <c r="L209" s="1">
        <v>68.846181999999999</v>
      </c>
      <c r="M209" s="1" t="s">
        <v>4424</v>
      </c>
      <c r="N209" s="1">
        <v>21</v>
      </c>
      <c r="O209" s="1">
        <f>ABS(Table4[[#This Row],[EndMP]]-Table4[[#This Row],[StartMP]])</f>
        <v>82.701999999999998</v>
      </c>
      <c r="P209" s="1" t="str">
        <f>IF( AND( Table4[[#This Row],[Route]]=ClosureLocation!$B$3, ClosureLocation!$B$6 &gt;= Table4[[#This Row],[StartMP]], ClosureLocation!$B$6 &lt;= Table4[[#This Row],[EndMP]]), "Yes", "")</f>
        <v/>
      </c>
      <c r="Q209" s="1" t="str">
        <f>IF( AND( Table4[[#This Row],[Route]]=ClosureLocation!$B$3, ClosureLocation!$B$6 &lt;= Table4[[#This Row],[StartMP]], ClosureLocation!$B$6 &gt;= Table4[[#This Row],[EndMP]]), "Yes", "")</f>
        <v/>
      </c>
      <c r="R209" s="1" t="str">
        <f>IF( OR( Table4[[#This Row],[PrimaryMatch]]="Yes", Table4[[#This Row],[SecondaryMatch]]="Yes"), "Yes", "")</f>
        <v/>
      </c>
    </row>
    <row r="210" spans="1:18" hidden="1" x14ac:dyDescent="0.25">
      <c r="A210" t="s">
        <v>198</v>
      </c>
      <c r="B210" t="s">
        <v>3209</v>
      </c>
      <c r="C210" t="s">
        <v>3226</v>
      </c>
      <c r="D210" t="s">
        <v>3337</v>
      </c>
      <c r="E210" s="1">
        <v>32.968000000000004</v>
      </c>
      <c r="F210" s="1">
        <v>0</v>
      </c>
      <c r="G210">
        <v>1</v>
      </c>
      <c r="H210">
        <v>2</v>
      </c>
      <c r="I210" t="s">
        <v>2142</v>
      </c>
      <c r="J210" t="s">
        <v>1696</v>
      </c>
      <c r="K210" s="39">
        <v>86.600784000000004</v>
      </c>
      <c r="L210" s="1">
        <v>70.907899</v>
      </c>
      <c r="M210" s="1" t="s">
        <v>3338</v>
      </c>
      <c r="N210" s="1">
        <v>967.03200000000004</v>
      </c>
      <c r="O210" s="1">
        <f>ABS(Table4[[#This Row],[EndMP]]-Table4[[#This Row],[StartMP]])</f>
        <v>32.968000000000004</v>
      </c>
      <c r="P210" s="1" t="str">
        <f>IF( AND( Table4[[#This Row],[Route]]=ClosureLocation!$B$3, ClosureLocation!$B$6 &gt;= Table4[[#This Row],[StartMP]], ClosureLocation!$B$6 &lt;= Table4[[#This Row],[EndMP]]), "Yes", "")</f>
        <v/>
      </c>
      <c r="Q210" s="1" t="str">
        <f>IF( AND( Table4[[#This Row],[Route]]=ClosureLocation!$B$3, ClosureLocation!$B$6 &lt;= Table4[[#This Row],[StartMP]], ClosureLocation!$B$6 &gt;= Table4[[#This Row],[EndMP]]), "Yes", "")</f>
        <v/>
      </c>
      <c r="R210" s="1" t="str">
        <f>IF( OR( Table4[[#This Row],[PrimaryMatch]]="Yes", Table4[[#This Row],[SecondaryMatch]]="Yes"), "Yes", "")</f>
        <v/>
      </c>
    </row>
    <row r="211" spans="1:18" hidden="1" x14ac:dyDescent="0.25">
      <c r="A211" t="s">
        <v>198</v>
      </c>
      <c r="B211" t="s">
        <v>3205</v>
      </c>
      <c r="C211" t="s">
        <v>3222</v>
      </c>
      <c r="D211" t="s">
        <v>3335</v>
      </c>
      <c r="E211" s="1">
        <v>0</v>
      </c>
      <c r="F211" s="1">
        <v>32.968000000000004</v>
      </c>
      <c r="G211">
        <v>1</v>
      </c>
      <c r="H211">
        <v>1</v>
      </c>
      <c r="I211" t="s">
        <v>2141</v>
      </c>
      <c r="J211" t="s">
        <v>1696</v>
      </c>
      <c r="K211" s="39">
        <v>86.600767000000005</v>
      </c>
      <c r="L211" s="1">
        <v>70.907899</v>
      </c>
      <c r="M211" s="1" t="s">
        <v>3336</v>
      </c>
      <c r="N211" s="1">
        <v>0</v>
      </c>
      <c r="O211" s="1">
        <f>ABS(Table4[[#This Row],[EndMP]]-Table4[[#This Row],[StartMP]])</f>
        <v>32.968000000000004</v>
      </c>
      <c r="P211" s="1" t="str">
        <f>IF( AND( Table4[[#This Row],[Route]]=ClosureLocation!$B$3, ClosureLocation!$B$6 &gt;= Table4[[#This Row],[StartMP]], ClosureLocation!$B$6 &lt;= Table4[[#This Row],[EndMP]]), "Yes", "")</f>
        <v/>
      </c>
      <c r="Q211" s="1" t="str">
        <f>IF( AND( Table4[[#This Row],[Route]]=ClosureLocation!$B$3, ClosureLocation!$B$6 &lt;= Table4[[#This Row],[StartMP]], ClosureLocation!$B$6 &gt;= Table4[[#This Row],[EndMP]]), "Yes", "")</f>
        <v/>
      </c>
      <c r="R211" s="1" t="str">
        <f>IF( OR( Table4[[#This Row],[PrimaryMatch]]="Yes", Table4[[#This Row],[SecondaryMatch]]="Yes"), "Yes", "")</f>
        <v/>
      </c>
    </row>
    <row r="212" spans="1:18" ht="30" hidden="1" x14ac:dyDescent="0.25">
      <c r="A212" t="s">
        <v>310</v>
      </c>
      <c r="B212" t="s">
        <v>3209</v>
      </c>
      <c r="C212" t="s">
        <v>3210</v>
      </c>
      <c r="D212" t="s">
        <v>3444</v>
      </c>
      <c r="E212" s="1">
        <v>94.641000000000005</v>
      </c>
      <c r="F212" s="1">
        <v>52.543999999999997</v>
      </c>
      <c r="G212">
        <v>31</v>
      </c>
      <c r="H212">
        <v>44</v>
      </c>
      <c r="I212" t="s">
        <v>2270</v>
      </c>
      <c r="J212" t="s">
        <v>1694</v>
      </c>
      <c r="K212" s="39">
        <v>85.468086</v>
      </c>
      <c r="L212" s="1">
        <v>-42.124918999999998</v>
      </c>
      <c r="M212" s="59" t="s">
        <v>4907</v>
      </c>
      <c r="N212" s="1">
        <v>905.35900000000004</v>
      </c>
      <c r="O212" s="1">
        <f>ABS(Table4[[#This Row],[EndMP]]-Table4[[#This Row],[StartMP]])</f>
        <v>42.097000000000008</v>
      </c>
      <c r="P212" s="1" t="str">
        <f>IF( AND( Table4[[#This Row],[Route]]=ClosureLocation!$B$3, ClosureLocation!$B$6 &gt;= Table4[[#This Row],[StartMP]], ClosureLocation!$B$6 &lt;= Table4[[#This Row],[EndMP]]), "Yes", "")</f>
        <v/>
      </c>
      <c r="Q212" s="1" t="str">
        <f>IF( AND( Table4[[#This Row],[Route]]=ClosureLocation!$B$3, ClosureLocation!$B$6 &lt;= Table4[[#This Row],[StartMP]], ClosureLocation!$B$6 &gt;= Table4[[#This Row],[EndMP]]), "Yes", "")</f>
        <v/>
      </c>
      <c r="R212" s="1" t="str">
        <f>IF( OR( Table4[[#This Row],[PrimaryMatch]]="Yes", Table4[[#This Row],[SecondaryMatch]]="Yes"), "Yes", "")</f>
        <v/>
      </c>
    </row>
    <row r="213" spans="1:18" ht="30" hidden="1" x14ac:dyDescent="0.25">
      <c r="A213" t="s">
        <v>310</v>
      </c>
      <c r="B213" t="s">
        <v>3205</v>
      </c>
      <c r="C213" t="s">
        <v>3206</v>
      </c>
      <c r="D213" t="s">
        <v>3427</v>
      </c>
      <c r="E213" s="1">
        <v>52.603000000000002</v>
      </c>
      <c r="F213" s="1">
        <v>94.641000000000005</v>
      </c>
      <c r="G213">
        <v>5</v>
      </c>
      <c r="H213">
        <v>4</v>
      </c>
      <c r="I213" t="s">
        <v>2211</v>
      </c>
      <c r="J213" t="s">
        <v>1694</v>
      </c>
      <c r="K213" s="39">
        <v>84.942667</v>
      </c>
      <c r="L213" s="1">
        <v>-41.303306999999997</v>
      </c>
      <c r="M213" s="59" t="s">
        <v>4885</v>
      </c>
      <c r="N213" s="1">
        <v>52.603000000000002</v>
      </c>
      <c r="O213" s="1">
        <f>ABS(Table4[[#This Row],[EndMP]]-Table4[[#This Row],[StartMP]])</f>
        <v>42.038000000000004</v>
      </c>
      <c r="P213" s="1" t="str">
        <f>IF( AND( Table4[[#This Row],[Route]]=ClosureLocation!$B$3, ClosureLocation!$B$6 &gt;= Table4[[#This Row],[StartMP]], ClosureLocation!$B$6 &lt;= Table4[[#This Row],[EndMP]]), "Yes", "")</f>
        <v/>
      </c>
      <c r="Q213" s="1" t="str">
        <f>IF( AND( Table4[[#This Row],[Route]]=ClosureLocation!$B$3, ClosureLocation!$B$6 &lt;= Table4[[#This Row],[StartMP]], ClosureLocation!$B$6 &gt;= Table4[[#This Row],[EndMP]]), "Yes", "")</f>
        <v/>
      </c>
      <c r="R213" s="1" t="str">
        <f>IF( OR( Table4[[#This Row],[PrimaryMatch]]="Yes", Table4[[#This Row],[SecondaryMatch]]="Yes"), "Yes", "")</f>
        <v/>
      </c>
    </row>
    <row r="214" spans="1:18" hidden="1" x14ac:dyDescent="0.25">
      <c r="A214" t="s">
        <v>240</v>
      </c>
      <c r="B214" t="s">
        <v>3209</v>
      </c>
      <c r="C214" t="s">
        <v>3210</v>
      </c>
      <c r="D214" t="s">
        <v>3387</v>
      </c>
      <c r="E214" s="1">
        <v>154.11199999999999</v>
      </c>
      <c r="F214" s="1">
        <v>142.03399999999999</v>
      </c>
      <c r="G214">
        <v>1</v>
      </c>
      <c r="H214">
        <v>2</v>
      </c>
      <c r="I214" t="s">
        <v>2174</v>
      </c>
      <c r="J214" t="s">
        <v>1690</v>
      </c>
      <c r="K214" s="39">
        <v>82.267436000000004</v>
      </c>
      <c r="L214" s="1">
        <v>79.651081000000005</v>
      </c>
      <c r="M214" s="1" t="s">
        <v>3388</v>
      </c>
      <c r="N214" s="1">
        <v>845.88800000000003</v>
      </c>
      <c r="O214" s="1">
        <f>ABS(Table4[[#This Row],[EndMP]]-Table4[[#This Row],[StartMP]])</f>
        <v>12.078000000000003</v>
      </c>
      <c r="P214" s="1" t="str">
        <f>IF( AND( Table4[[#This Row],[Route]]=ClosureLocation!$B$3, ClosureLocation!$B$6 &gt;= Table4[[#This Row],[StartMP]], ClosureLocation!$B$6 &lt;= Table4[[#This Row],[EndMP]]), "Yes", "")</f>
        <v/>
      </c>
      <c r="Q214" s="1" t="str">
        <f>IF( AND( Table4[[#This Row],[Route]]=ClosureLocation!$B$3, ClosureLocation!$B$6 &lt;= Table4[[#This Row],[StartMP]], ClosureLocation!$B$6 &gt;= Table4[[#This Row],[EndMP]]), "Yes", "")</f>
        <v/>
      </c>
      <c r="R214" s="1" t="str">
        <f>IF( OR( Table4[[#This Row],[PrimaryMatch]]="Yes", Table4[[#This Row],[SecondaryMatch]]="Yes"), "Yes", "")</f>
        <v/>
      </c>
    </row>
    <row r="215" spans="1:18" hidden="1" x14ac:dyDescent="0.25">
      <c r="A215" t="s">
        <v>1501</v>
      </c>
      <c r="B215" t="s">
        <v>3209</v>
      </c>
      <c r="C215" t="s">
        <v>3210</v>
      </c>
      <c r="D215" t="s">
        <v>4276</v>
      </c>
      <c r="E215" s="1">
        <v>77.638999999999996</v>
      </c>
      <c r="F215" s="1">
        <v>28.777000000000001</v>
      </c>
      <c r="G215">
        <v>1</v>
      </c>
      <c r="H215">
        <v>3</v>
      </c>
      <c r="I215" t="s">
        <v>3089</v>
      </c>
      <c r="J215" t="s">
        <v>1695</v>
      </c>
      <c r="K215" s="39">
        <v>82.187150000000003</v>
      </c>
      <c r="L215" s="1">
        <v>78.446268000000003</v>
      </c>
      <c r="M215" s="58" t="s">
        <v>5028</v>
      </c>
      <c r="N215" s="1">
        <v>922.36099999999999</v>
      </c>
      <c r="O215" s="1">
        <f>ABS(Table4[[#This Row],[EndMP]]-Table4[[#This Row],[StartMP]])</f>
        <v>48.861999999999995</v>
      </c>
      <c r="P215" s="1" t="str">
        <f>IF( AND( Table4[[#This Row],[Route]]=ClosureLocation!$B$3, ClosureLocation!$B$6 &gt;= Table4[[#This Row],[StartMP]], ClosureLocation!$B$6 &lt;= Table4[[#This Row],[EndMP]]), "Yes", "")</f>
        <v/>
      </c>
      <c r="Q215" s="1" t="str">
        <f>IF( AND( Table4[[#This Row],[Route]]=ClosureLocation!$B$3, ClosureLocation!$B$6 &lt;= Table4[[#This Row],[StartMP]], ClosureLocation!$B$6 &gt;= Table4[[#This Row],[EndMP]]), "Yes", "")</f>
        <v/>
      </c>
      <c r="R215" s="1" t="str">
        <f>IF( OR( Table4[[#This Row],[PrimaryMatch]]="Yes", Table4[[#This Row],[SecondaryMatch]]="Yes"), "Yes", "")</f>
        <v/>
      </c>
    </row>
    <row r="216" spans="1:18" hidden="1" x14ac:dyDescent="0.25">
      <c r="A216" t="s">
        <v>1501</v>
      </c>
      <c r="B216" t="s">
        <v>3205</v>
      </c>
      <c r="C216" t="s">
        <v>3206</v>
      </c>
      <c r="D216" t="s">
        <v>4275</v>
      </c>
      <c r="E216" s="1">
        <v>28.777000000000001</v>
      </c>
      <c r="F216" s="1">
        <v>77.638999999999996</v>
      </c>
      <c r="G216">
        <v>2</v>
      </c>
      <c r="H216">
        <v>2</v>
      </c>
      <c r="I216" t="s">
        <v>3088</v>
      </c>
      <c r="J216" t="s">
        <v>1695</v>
      </c>
      <c r="K216" s="39">
        <v>82.186959999999999</v>
      </c>
      <c r="L216" s="1">
        <v>78.446268000000003</v>
      </c>
      <c r="M216" s="58" t="s">
        <v>5027</v>
      </c>
      <c r="N216" s="1">
        <v>28.777000000000001</v>
      </c>
      <c r="O216" s="1">
        <f>ABS(Table4[[#This Row],[EndMP]]-Table4[[#This Row],[StartMP]])</f>
        <v>48.861999999999995</v>
      </c>
      <c r="P216" s="1" t="str">
        <f>IF( AND( Table4[[#This Row],[Route]]=ClosureLocation!$B$3, ClosureLocation!$B$6 &gt;= Table4[[#This Row],[StartMP]], ClosureLocation!$B$6 &lt;= Table4[[#This Row],[EndMP]]), "Yes", "")</f>
        <v/>
      </c>
      <c r="Q216" s="1" t="str">
        <f>IF( AND( Table4[[#This Row],[Route]]=ClosureLocation!$B$3, ClosureLocation!$B$6 &lt;= Table4[[#This Row],[StartMP]], ClosureLocation!$B$6 &gt;= Table4[[#This Row],[EndMP]]), "Yes", "")</f>
        <v/>
      </c>
      <c r="R216" s="1" t="str">
        <f>IF( OR( Table4[[#This Row],[PrimaryMatch]]="Yes", Table4[[#This Row],[SecondaryMatch]]="Yes"), "Yes", "")</f>
        <v/>
      </c>
    </row>
    <row r="217" spans="1:18" hidden="1" x14ac:dyDescent="0.25">
      <c r="A217" t="s">
        <v>240</v>
      </c>
      <c r="B217" t="s">
        <v>3205</v>
      </c>
      <c r="C217" t="s">
        <v>3206</v>
      </c>
      <c r="D217" t="s">
        <v>3385</v>
      </c>
      <c r="E217" s="1">
        <v>142.03399999999999</v>
      </c>
      <c r="F217" s="1">
        <v>154.11199999999999</v>
      </c>
      <c r="G217">
        <v>1</v>
      </c>
      <c r="H217">
        <v>1</v>
      </c>
      <c r="I217" t="s">
        <v>2173</v>
      </c>
      <c r="J217" t="s">
        <v>1690</v>
      </c>
      <c r="K217" s="39">
        <v>81.268979000000002</v>
      </c>
      <c r="L217" s="1">
        <v>79.178663</v>
      </c>
      <c r="M217" s="1" t="s">
        <v>3386</v>
      </c>
      <c r="N217" s="1">
        <v>142.03399999999999</v>
      </c>
      <c r="O217" s="1">
        <f>ABS(Table4[[#This Row],[EndMP]]-Table4[[#This Row],[StartMP]])</f>
        <v>12.078000000000003</v>
      </c>
      <c r="P217" s="1" t="str">
        <f>IF( AND( Table4[[#This Row],[Route]]=ClosureLocation!$B$3, ClosureLocation!$B$6 &gt;= Table4[[#This Row],[StartMP]], ClosureLocation!$B$6 &lt;= Table4[[#This Row],[EndMP]]), "Yes", "")</f>
        <v/>
      </c>
      <c r="Q217" s="1" t="str">
        <f>IF( AND( Table4[[#This Row],[Route]]=ClosureLocation!$B$3, ClosureLocation!$B$6 &lt;= Table4[[#This Row],[StartMP]], ClosureLocation!$B$6 &gt;= Table4[[#This Row],[EndMP]]), "Yes", "")</f>
        <v/>
      </c>
      <c r="R217" s="1" t="str">
        <f>IF( OR( Table4[[#This Row],[PrimaryMatch]]="Yes", Table4[[#This Row],[SecondaryMatch]]="Yes"), "Yes", "")</f>
        <v/>
      </c>
    </row>
    <row r="218" spans="1:18" hidden="1" x14ac:dyDescent="0.25">
      <c r="A218" t="s">
        <v>1040</v>
      </c>
      <c r="B218" t="s">
        <v>3205</v>
      </c>
      <c r="C218" t="s">
        <v>3222</v>
      </c>
      <c r="D218" t="s">
        <v>3936</v>
      </c>
      <c r="E218" s="1">
        <v>0</v>
      </c>
      <c r="F218" s="1">
        <v>33.874000000000002</v>
      </c>
      <c r="G218">
        <v>1</v>
      </c>
      <c r="H218">
        <v>1</v>
      </c>
      <c r="I218" t="s">
        <v>2819</v>
      </c>
      <c r="J218" t="s">
        <v>1695</v>
      </c>
      <c r="K218" s="39">
        <v>79.858597000000003</v>
      </c>
      <c r="L218" s="1">
        <v>62.591118000000002</v>
      </c>
      <c r="M218" s="58" t="s">
        <v>3937</v>
      </c>
      <c r="N218" s="1">
        <v>0</v>
      </c>
      <c r="O218" s="1">
        <f>ABS(Table4[[#This Row],[EndMP]]-Table4[[#This Row],[StartMP]])</f>
        <v>33.874000000000002</v>
      </c>
      <c r="P218" s="1" t="str">
        <f>IF( AND( Table4[[#This Row],[Route]]=ClosureLocation!$B$3, ClosureLocation!$B$6 &gt;= Table4[[#This Row],[StartMP]], ClosureLocation!$B$6 &lt;= Table4[[#This Row],[EndMP]]), "Yes", "")</f>
        <v/>
      </c>
      <c r="Q218" s="1" t="str">
        <f>IF( AND( Table4[[#This Row],[Route]]=ClosureLocation!$B$3, ClosureLocation!$B$6 &lt;= Table4[[#This Row],[StartMP]], ClosureLocation!$B$6 &gt;= Table4[[#This Row],[EndMP]]), "Yes", "")</f>
        <v/>
      </c>
      <c r="R218" s="1" t="str">
        <f>IF( OR( Table4[[#This Row],[PrimaryMatch]]="Yes", Table4[[#This Row],[SecondaryMatch]]="Yes"), "Yes", "")</f>
        <v/>
      </c>
    </row>
    <row r="219" spans="1:18" hidden="1" x14ac:dyDescent="0.25">
      <c r="A219" t="s">
        <v>1040</v>
      </c>
      <c r="B219" t="s">
        <v>3209</v>
      </c>
      <c r="C219" t="s">
        <v>3226</v>
      </c>
      <c r="D219" t="s">
        <v>3938</v>
      </c>
      <c r="E219" s="1">
        <v>33.874000000000002</v>
      </c>
      <c r="F219" s="1">
        <v>0</v>
      </c>
      <c r="G219">
        <v>1</v>
      </c>
      <c r="H219">
        <v>2</v>
      </c>
      <c r="I219" t="s">
        <v>2820</v>
      </c>
      <c r="J219" t="s">
        <v>1695</v>
      </c>
      <c r="K219" s="39">
        <v>79.858583999999993</v>
      </c>
      <c r="L219" s="1">
        <v>62.591118000000002</v>
      </c>
      <c r="M219" s="58" t="s">
        <v>3939</v>
      </c>
      <c r="N219" s="1">
        <v>966.12599999999998</v>
      </c>
      <c r="O219" s="1">
        <f>ABS(Table4[[#This Row],[EndMP]]-Table4[[#This Row],[StartMP]])</f>
        <v>33.874000000000002</v>
      </c>
      <c r="P219" s="1" t="str">
        <f>IF( AND( Table4[[#This Row],[Route]]=ClosureLocation!$B$3, ClosureLocation!$B$6 &gt;= Table4[[#This Row],[StartMP]], ClosureLocation!$B$6 &lt;= Table4[[#This Row],[EndMP]]), "Yes", "")</f>
        <v/>
      </c>
      <c r="Q219" s="1" t="str">
        <f>IF( AND( Table4[[#This Row],[Route]]=ClosureLocation!$B$3, ClosureLocation!$B$6 &lt;= Table4[[#This Row],[StartMP]], ClosureLocation!$B$6 &gt;= Table4[[#This Row],[EndMP]]), "Yes", "")</f>
        <v/>
      </c>
      <c r="R219" s="1" t="str">
        <f>IF( OR( Table4[[#This Row],[PrimaryMatch]]="Yes", Table4[[#This Row],[SecondaryMatch]]="Yes"), "Yes", "")</f>
        <v/>
      </c>
    </row>
    <row r="220" spans="1:18" hidden="1" x14ac:dyDescent="0.25">
      <c r="A220" t="s">
        <v>163</v>
      </c>
      <c r="B220" t="s">
        <v>3205</v>
      </c>
      <c r="C220" t="s">
        <v>3206</v>
      </c>
      <c r="D220" t="s">
        <v>3307</v>
      </c>
      <c r="E220" s="1">
        <v>64.673000000000002</v>
      </c>
      <c r="F220" s="1">
        <v>97.085999999999999</v>
      </c>
      <c r="G220">
        <v>1</v>
      </c>
      <c r="H220">
        <v>1</v>
      </c>
      <c r="I220" t="s">
        <v>2123</v>
      </c>
      <c r="J220" t="s">
        <v>1693</v>
      </c>
      <c r="K220" s="39">
        <v>79.392841000000004</v>
      </c>
      <c r="L220" s="1">
        <v>69.602282000000002</v>
      </c>
      <c r="M220" s="1" t="s">
        <v>3308</v>
      </c>
      <c r="N220" s="1">
        <v>64.673000000000002</v>
      </c>
      <c r="O220" s="1">
        <f>ABS(Table4[[#This Row],[EndMP]]-Table4[[#This Row],[StartMP]])</f>
        <v>32.412999999999997</v>
      </c>
      <c r="P220" s="1" t="str">
        <f>IF( AND( Table4[[#This Row],[Route]]=ClosureLocation!$B$3, ClosureLocation!$B$6 &gt;= Table4[[#This Row],[StartMP]], ClosureLocation!$B$6 &lt;= Table4[[#This Row],[EndMP]]), "Yes", "")</f>
        <v/>
      </c>
      <c r="Q220" s="1" t="str">
        <f>IF( AND( Table4[[#This Row],[Route]]=ClosureLocation!$B$3, ClosureLocation!$B$6 &lt;= Table4[[#This Row],[StartMP]], ClosureLocation!$B$6 &gt;= Table4[[#This Row],[EndMP]]), "Yes", "")</f>
        <v/>
      </c>
      <c r="R220" s="1" t="str">
        <f>IF( OR( Table4[[#This Row],[PrimaryMatch]]="Yes", Table4[[#This Row],[SecondaryMatch]]="Yes"), "Yes", "")</f>
        <v/>
      </c>
    </row>
    <row r="221" spans="1:18" hidden="1" x14ac:dyDescent="0.25">
      <c r="A221" t="s">
        <v>776</v>
      </c>
      <c r="B221" t="s">
        <v>3209</v>
      </c>
      <c r="C221" t="s">
        <v>3226</v>
      </c>
      <c r="D221" t="s">
        <v>3749</v>
      </c>
      <c r="E221" s="1">
        <v>244.08500000000001</v>
      </c>
      <c r="F221" s="1">
        <v>202.52699999999999</v>
      </c>
      <c r="G221">
        <v>31</v>
      </c>
      <c r="H221">
        <v>84</v>
      </c>
      <c r="I221" t="s">
        <v>2630</v>
      </c>
      <c r="J221" t="s">
        <v>1694</v>
      </c>
      <c r="K221" s="39">
        <v>79.371579999999994</v>
      </c>
      <c r="L221" s="1">
        <v>54.269466999999999</v>
      </c>
      <c r="M221" s="1" t="s">
        <v>4523</v>
      </c>
      <c r="N221" s="1">
        <v>755.91499999999996</v>
      </c>
      <c r="O221" s="1">
        <f>ABS(Table4[[#This Row],[EndMP]]-Table4[[#This Row],[StartMP]])</f>
        <v>41.558000000000021</v>
      </c>
      <c r="P221" s="1" t="str">
        <f>IF( AND( Table4[[#This Row],[Route]]=ClosureLocation!$B$3, ClosureLocation!$B$6 &gt;= Table4[[#This Row],[StartMP]], ClosureLocation!$B$6 &lt;= Table4[[#This Row],[EndMP]]), "Yes", "")</f>
        <v/>
      </c>
      <c r="Q221" s="1" t="str">
        <f>IF( AND( Table4[[#This Row],[Route]]=ClosureLocation!$B$3, ClosureLocation!$B$6 &lt;= Table4[[#This Row],[StartMP]], ClosureLocation!$B$6 &gt;= Table4[[#This Row],[EndMP]]), "Yes", "")</f>
        <v/>
      </c>
      <c r="R221" s="1" t="str">
        <f>IF( OR( Table4[[#This Row],[PrimaryMatch]]="Yes", Table4[[#This Row],[SecondaryMatch]]="Yes"), "Yes", "")</f>
        <v/>
      </c>
    </row>
    <row r="222" spans="1:18" hidden="1" x14ac:dyDescent="0.25">
      <c r="A222" t="s">
        <v>163</v>
      </c>
      <c r="B222" t="s">
        <v>3209</v>
      </c>
      <c r="C222" t="s">
        <v>3210</v>
      </c>
      <c r="D222" t="s">
        <v>3309</v>
      </c>
      <c r="E222" s="1">
        <v>97.085999999999999</v>
      </c>
      <c r="F222" s="1">
        <v>64.673000000000002</v>
      </c>
      <c r="G222">
        <v>1</v>
      </c>
      <c r="H222">
        <v>2</v>
      </c>
      <c r="I222" t="s">
        <v>2124</v>
      </c>
      <c r="J222" t="s">
        <v>1693</v>
      </c>
      <c r="K222" s="39">
        <v>79.367994999999993</v>
      </c>
      <c r="L222" s="1">
        <v>69.667728999999994</v>
      </c>
      <c r="M222" s="1" t="s">
        <v>3310</v>
      </c>
      <c r="N222" s="1">
        <v>902.91399999999999</v>
      </c>
      <c r="O222" s="1">
        <f>ABS(Table4[[#This Row],[EndMP]]-Table4[[#This Row],[StartMP]])</f>
        <v>32.412999999999997</v>
      </c>
      <c r="P222" s="1" t="str">
        <f>IF( AND( Table4[[#This Row],[Route]]=ClosureLocation!$B$3, ClosureLocation!$B$6 &gt;= Table4[[#This Row],[StartMP]], ClosureLocation!$B$6 &lt;= Table4[[#This Row],[EndMP]]), "Yes", "")</f>
        <v/>
      </c>
      <c r="Q222" s="1" t="str">
        <f>IF( AND( Table4[[#This Row],[Route]]=ClosureLocation!$B$3, ClosureLocation!$B$6 &lt;= Table4[[#This Row],[StartMP]], ClosureLocation!$B$6 &gt;= Table4[[#This Row],[EndMP]]), "Yes", "")</f>
        <v/>
      </c>
      <c r="R222" s="1" t="str">
        <f>IF( OR( Table4[[#This Row],[PrimaryMatch]]="Yes", Table4[[#This Row],[SecondaryMatch]]="Yes"), "Yes", "")</f>
        <v/>
      </c>
    </row>
    <row r="223" spans="1:18" hidden="1" x14ac:dyDescent="0.25">
      <c r="A223" t="s">
        <v>776</v>
      </c>
      <c r="B223" t="s">
        <v>3205</v>
      </c>
      <c r="C223" t="s">
        <v>3222</v>
      </c>
      <c r="D223" t="s">
        <v>3748</v>
      </c>
      <c r="E223" s="1">
        <v>202.52199999999999</v>
      </c>
      <c r="F223" s="1">
        <v>244.17699999999999</v>
      </c>
      <c r="G223">
        <v>23</v>
      </c>
      <c r="H223">
        <v>23</v>
      </c>
      <c r="I223" t="s">
        <v>2568</v>
      </c>
      <c r="J223" t="s">
        <v>1694</v>
      </c>
      <c r="K223" s="39">
        <v>77.390000999999998</v>
      </c>
      <c r="L223" s="1">
        <v>53.659143</v>
      </c>
      <c r="M223" s="1" t="s">
        <v>4471</v>
      </c>
      <c r="N223" s="1">
        <v>202.52199999999999</v>
      </c>
      <c r="O223" s="1">
        <f>ABS(Table4[[#This Row],[EndMP]]-Table4[[#This Row],[StartMP]])</f>
        <v>41.655000000000001</v>
      </c>
      <c r="P223" s="1" t="str">
        <f>IF( AND( Table4[[#This Row],[Route]]=ClosureLocation!$B$3, ClosureLocation!$B$6 &gt;= Table4[[#This Row],[StartMP]], ClosureLocation!$B$6 &lt;= Table4[[#This Row],[EndMP]]), "Yes", "")</f>
        <v/>
      </c>
      <c r="Q223" s="1" t="str">
        <f>IF( AND( Table4[[#This Row],[Route]]=ClosureLocation!$B$3, ClosureLocation!$B$6 &lt;= Table4[[#This Row],[StartMP]], ClosureLocation!$B$6 &gt;= Table4[[#This Row],[EndMP]]), "Yes", "")</f>
        <v/>
      </c>
      <c r="R223" s="1" t="str">
        <f>IF( OR( Table4[[#This Row],[PrimaryMatch]]="Yes", Table4[[#This Row],[SecondaryMatch]]="Yes"), "Yes", "")</f>
        <v/>
      </c>
    </row>
    <row r="224" spans="1:18" hidden="1" x14ac:dyDescent="0.25">
      <c r="A224" t="s">
        <v>1134</v>
      </c>
      <c r="B224" t="s">
        <v>3209</v>
      </c>
      <c r="C224" t="s">
        <v>3210</v>
      </c>
      <c r="D224" t="s">
        <v>4006</v>
      </c>
      <c r="E224" s="1">
        <v>18.829999999999998</v>
      </c>
      <c r="F224" s="1">
        <v>0</v>
      </c>
      <c r="G224">
        <v>1</v>
      </c>
      <c r="H224">
        <v>2</v>
      </c>
      <c r="I224" t="s">
        <v>2869</v>
      </c>
      <c r="J224" t="s">
        <v>1695</v>
      </c>
      <c r="K224" s="39">
        <v>77.129289</v>
      </c>
      <c r="L224" s="1">
        <v>86.245576999999997</v>
      </c>
      <c r="M224" s="58" t="s">
        <v>4007</v>
      </c>
      <c r="N224" s="1">
        <v>981.17</v>
      </c>
      <c r="O224" s="1">
        <f>ABS(Table4[[#This Row],[EndMP]]-Table4[[#This Row],[StartMP]])</f>
        <v>18.829999999999998</v>
      </c>
      <c r="P224" s="1" t="str">
        <f>IF( AND( Table4[[#This Row],[Route]]=ClosureLocation!$B$3, ClosureLocation!$B$6 &gt;= Table4[[#This Row],[StartMP]], ClosureLocation!$B$6 &lt;= Table4[[#This Row],[EndMP]]), "Yes", "")</f>
        <v/>
      </c>
      <c r="Q224" s="1" t="str">
        <f>IF( AND( Table4[[#This Row],[Route]]=ClosureLocation!$B$3, ClosureLocation!$B$6 &lt;= Table4[[#This Row],[StartMP]], ClosureLocation!$B$6 &gt;= Table4[[#This Row],[EndMP]]), "Yes", "")</f>
        <v/>
      </c>
      <c r="R224" s="1" t="str">
        <f>IF( OR( Table4[[#This Row],[PrimaryMatch]]="Yes", Table4[[#This Row],[SecondaryMatch]]="Yes"), "Yes", "")</f>
        <v/>
      </c>
    </row>
    <row r="225" spans="1:18" hidden="1" x14ac:dyDescent="0.25">
      <c r="A225" t="s">
        <v>1313</v>
      </c>
      <c r="B225" t="s">
        <v>3209</v>
      </c>
      <c r="C225" t="s">
        <v>3226</v>
      </c>
      <c r="D225" t="s">
        <v>4150</v>
      </c>
      <c r="E225" s="1">
        <v>305.38</v>
      </c>
      <c r="F225" s="1">
        <v>258.27199999999999</v>
      </c>
      <c r="G225">
        <v>1</v>
      </c>
      <c r="H225">
        <v>1</v>
      </c>
      <c r="I225" t="s">
        <v>2982</v>
      </c>
      <c r="J225" t="s">
        <v>1694</v>
      </c>
      <c r="K225" s="39">
        <v>76.723838999999998</v>
      </c>
      <c r="L225" s="1">
        <v>178.68920299999999</v>
      </c>
      <c r="M225" s="58" t="s">
        <v>5010</v>
      </c>
      <c r="N225" s="1">
        <v>694.62</v>
      </c>
      <c r="O225" s="1">
        <f>ABS(Table4[[#This Row],[EndMP]]-Table4[[#This Row],[StartMP]])</f>
        <v>47.108000000000004</v>
      </c>
      <c r="P225" s="1" t="str">
        <f>IF( AND( Table4[[#This Row],[Route]]=ClosureLocation!$B$3, ClosureLocation!$B$6 &gt;= Table4[[#This Row],[StartMP]], ClosureLocation!$B$6 &lt;= Table4[[#This Row],[EndMP]]), "Yes", "")</f>
        <v/>
      </c>
      <c r="Q225" s="1" t="str">
        <f>IF( AND( Table4[[#This Row],[Route]]=ClosureLocation!$B$3, ClosureLocation!$B$6 &lt;= Table4[[#This Row],[StartMP]], ClosureLocation!$B$6 &gt;= Table4[[#This Row],[EndMP]]), "Yes", "")</f>
        <v/>
      </c>
      <c r="R225" s="1" t="str">
        <f>IF( OR( Table4[[#This Row],[PrimaryMatch]]="Yes", Table4[[#This Row],[SecondaryMatch]]="Yes"), "Yes", "")</f>
        <v/>
      </c>
    </row>
    <row r="226" spans="1:18" hidden="1" x14ac:dyDescent="0.25">
      <c r="A226" t="s">
        <v>1313</v>
      </c>
      <c r="B226" t="s">
        <v>3205</v>
      </c>
      <c r="C226" t="s">
        <v>3222</v>
      </c>
      <c r="D226" t="s">
        <v>4149</v>
      </c>
      <c r="E226" s="1">
        <v>258.27199999999999</v>
      </c>
      <c r="F226" s="1">
        <v>305.38</v>
      </c>
      <c r="G226">
        <v>7</v>
      </c>
      <c r="H226">
        <v>14</v>
      </c>
      <c r="I226" t="s">
        <v>2981</v>
      </c>
      <c r="J226" t="s">
        <v>1694</v>
      </c>
      <c r="K226" s="39">
        <v>76.363822999999996</v>
      </c>
      <c r="L226" s="1">
        <v>178.648684</v>
      </c>
      <c r="M226" s="58" t="s">
        <v>5009</v>
      </c>
      <c r="N226" s="1">
        <v>258.27199999999999</v>
      </c>
      <c r="O226" s="1">
        <f>ABS(Table4[[#This Row],[EndMP]]-Table4[[#This Row],[StartMP]])</f>
        <v>47.108000000000004</v>
      </c>
      <c r="P226" s="1" t="str">
        <f>IF( AND( Table4[[#This Row],[Route]]=ClosureLocation!$B$3, ClosureLocation!$B$6 &gt;= Table4[[#This Row],[StartMP]], ClosureLocation!$B$6 &lt;= Table4[[#This Row],[EndMP]]), "Yes", "")</f>
        <v/>
      </c>
      <c r="Q226" s="1" t="str">
        <f>IF( AND( Table4[[#This Row],[Route]]=ClosureLocation!$B$3, ClosureLocation!$B$6 &lt;= Table4[[#This Row],[StartMP]], ClosureLocation!$B$6 &gt;= Table4[[#This Row],[EndMP]]), "Yes", "")</f>
        <v/>
      </c>
      <c r="R226" s="1" t="str">
        <f>IF( OR( Table4[[#This Row],[PrimaryMatch]]="Yes", Table4[[#This Row],[SecondaryMatch]]="Yes"), "Yes", "")</f>
        <v/>
      </c>
    </row>
    <row r="227" spans="1:18" hidden="1" x14ac:dyDescent="0.25">
      <c r="A227" t="s">
        <v>1117</v>
      </c>
      <c r="B227" t="s">
        <v>3205</v>
      </c>
      <c r="C227" t="s">
        <v>3206</v>
      </c>
      <c r="D227" t="s">
        <v>3989</v>
      </c>
      <c r="E227" s="1">
        <v>0</v>
      </c>
      <c r="F227" s="1">
        <v>56.01</v>
      </c>
      <c r="G227">
        <v>1</v>
      </c>
      <c r="H227">
        <v>1</v>
      </c>
      <c r="I227" t="s">
        <v>2858</v>
      </c>
      <c r="J227" t="s">
        <v>1689</v>
      </c>
      <c r="K227" s="39">
        <v>74.931978999999998</v>
      </c>
      <c r="L227" s="1">
        <v>84.734216000000004</v>
      </c>
      <c r="M227" s="1" t="s">
        <v>3990</v>
      </c>
      <c r="N227" s="1">
        <v>0</v>
      </c>
      <c r="O227" s="1">
        <f>ABS(Table4[[#This Row],[EndMP]]-Table4[[#This Row],[StartMP]])</f>
        <v>56.01</v>
      </c>
      <c r="P227" s="1" t="str">
        <f>IF( AND( Table4[[#This Row],[Route]]=ClosureLocation!$B$3, ClosureLocation!$B$6 &gt;= Table4[[#This Row],[StartMP]], ClosureLocation!$B$6 &lt;= Table4[[#This Row],[EndMP]]), "Yes", "")</f>
        <v/>
      </c>
      <c r="Q227" s="1" t="str">
        <f>IF( AND( Table4[[#This Row],[Route]]=ClosureLocation!$B$3, ClosureLocation!$B$6 &lt;= Table4[[#This Row],[StartMP]], ClosureLocation!$B$6 &gt;= Table4[[#This Row],[EndMP]]), "Yes", "")</f>
        <v/>
      </c>
      <c r="R227" s="1" t="str">
        <f>IF( OR( Table4[[#This Row],[PrimaryMatch]]="Yes", Table4[[#This Row],[SecondaryMatch]]="Yes"), "Yes", "")</f>
        <v/>
      </c>
    </row>
    <row r="228" spans="1:18" hidden="1" x14ac:dyDescent="0.25">
      <c r="A228" t="s">
        <v>1117</v>
      </c>
      <c r="B228" t="s">
        <v>3209</v>
      </c>
      <c r="C228" t="s">
        <v>3210</v>
      </c>
      <c r="D228" t="s">
        <v>3992</v>
      </c>
      <c r="E228" s="1">
        <v>56.01</v>
      </c>
      <c r="F228" s="1">
        <v>0</v>
      </c>
      <c r="G228">
        <v>2</v>
      </c>
      <c r="H228">
        <v>4</v>
      </c>
      <c r="I228" t="s">
        <v>2861</v>
      </c>
      <c r="J228" t="s">
        <v>1689</v>
      </c>
      <c r="K228" s="39">
        <v>74.931940999999995</v>
      </c>
      <c r="L228" s="1">
        <v>84.734216000000004</v>
      </c>
      <c r="M228" s="1" t="s">
        <v>3994</v>
      </c>
      <c r="N228" s="1">
        <v>943.99</v>
      </c>
      <c r="O228" s="1">
        <f>ABS(Table4[[#This Row],[EndMP]]-Table4[[#This Row],[StartMP]])</f>
        <v>56.01</v>
      </c>
      <c r="P228" s="1" t="str">
        <f>IF( AND( Table4[[#This Row],[Route]]=ClosureLocation!$B$3, ClosureLocation!$B$6 &gt;= Table4[[#This Row],[StartMP]], ClosureLocation!$B$6 &lt;= Table4[[#This Row],[EndMP]]), "Yes", "")</f>
        <v/>
      </c>
      <c r="Q228" s="1" t="str">
        <f>IF( AND( Table4[[#This Row],[Route]]=ClosureLocation!$B$3, ClosureLocation!$B$6 &lt;= Table4[[#This Row],[StartMP]], ClosureLocation!$B$6 &gt;= Table4[[#This Row],[EndMP]]), "Yes", "")</f>
        <v/>
      </c>
      <c r="R228" s="1" t="str">
        <f>IF( OR( Table4[[#This Row],[PrimaryMatch]]="Yes", Table4[[#This Row],[SecondaryMatch]]="Yes"), "Yes", "")</f>
        <v/>
      </c>
    </row>
    <row r="229" spans="1:18" hidden="1" x14ac:dyDescent="0.25">
      <c r="A229" t="s">
        <v>1284</v>
      </c>
      <c r="B229" t="s">
        <v>3205</v>
      </c>
      <c r="C229" t="s">
        <v>3206</v>
      </c>
      <c r="D229" t="s">
        <v>4121</v>
      </c>
      <c r="E229" s="1">
        <v>8.7289999999999992</v>
      </c>
      <c r="F229" s="1">
        <v>84.289000000000001</v>
      </c>
      <c r="G229">
        <v>3</v>
      </c>
      <c r="H229">
        <v>3</v>
      </c>
      <c r="I229" t="s">
        <v>2959</v>
      </c>
      <c r="J229" t="s">
        <v>1702</v>
      </c>
      <c r="K229" s="39">
        <v>74.171515999999997</v>
      </c>
      <c r="L229" s="1">
        <v>63.726551000000001</v>
      </c>
      <c r="M229" s="1" t="s">
        <v>4124</v>
      </c>
      <c r="N229" s="1">
        <v>8.7289999999999992</v>
      </c>
      <c r="O229" s="1">
        <f>ABS(Table4[[#This Row],[EndMP]]-Table4[[#This Row],[StartMP]])</f>
        <v>75.56</v>
      </c>
      <c r="P229" s="1" t="str">
        <f>IF( AND( Table4[[#This Row],[Route]]=ClosureLocation!$B$3, ClosureLocation!$B$6 &gt;= Table4[[#This Row],[StartMP]], ClosureLocation!$B$6 &lt;= Table4[[#This Row],[EndMP]]), "Yes", "")</f>
        <v/>
      </c>
      <c r="Q229" s="1" t="str">
        <f>IF( AND( Table4[[#This Row],[Route]]=ClosureLocation!$B$3, ClosureLocation!$B$6 &lt;= Table4[[#This Row],[StartMP]], ClosureLocation!$B$6 &gt;= Table4[[#This Row],[EndMP]]), "Yes", "")</f>
        <v/>
      </c>
      <c r="R229" s="1" t="str">
        <f>IF( OR( Table4[[#This Row],[PrimaryMatch]]="Yes", Table4[[#This Row],[SecondaryMatch]]="Yes"), "Yes", "")</f>
        <v/>
      </c>
    </row>
    <row r="230" spans="1:18" hidden="1" x14ac:dyDescent="0.25">
      <c r="A230" t="s">
        <v>1385</v>
      </c>
      <c r="B230" t="s">
        <v>3209</v>
      </c>
      <c r="C230" t="s">
        <v>3210</v>
      </c>
      <c r="D230" t="s">
        <v>4173</v>
      </c>
      <c r="E230" s="1">
        <v>24.498999999999999</v>
      </c>
      <c r="F230" s="1">
        <v>8.9030000000000005</v>
      </c>
      <c r="G230">
        <v>1</v>
      </c>
      <c r="H230">
        <v>2</v>
      </c>
      <c r="I230" t="s">
        <v>3004</v>
      </c>
      <c r="J230" t="s">
        <v>1700</v>
      </c>
      <c r="K230" s="39">
        <v>73.998069000000001</v>
      </c>
      <c r="L230" s="1">
        <v>53.528661</v>
      </c>
      <c r="M230" s="1" t="s">
        <v>4174</v>
      </c>
      <c r="N230" s="1">
        <v>975.50099999999998</v>
      </c>
      <c r="O230" s="1">
        <f>ABS(Table4[[#This Row],[EndMP]]-Table4[[#This Row],[StartMP]])</f>
        <v>15.595999999999998</v>
      </c>
      <c r="P230" s="1" t="str">
        <f>IF( AND( Table4[[#This Row],[Route]]=ClosureLocation!$B$3, ClosureLocation!$B$6 &gt;= Table4[[#This Row],[StartMP]], ClosureLocation!$B$6 &lt;= Table4[[#This Row],[EndMP]]), "Yes", "")</f>
        <v/>
      </c>
      <c r="Q230" s="1" t="str">
        <f>IF( AND( Table4[[#This Row],[Route]]=ClosureLocation!$B$3, ClosureLocation!$B$6 &lt;= Table4[[#This Row],[StartMP]], ClosureLocation!$B$6 &gt;= Table4[[#This Row],[EndMP]]), "Yes", "")</f>
        <v/>
      </c>
      <c r="R230" s="1" t="str">
        <f>IF( OR( Table4[[#This Row],[PrimaryMatch]]="Yes", Table4[[#This Row],[SecondaryMatch]]="Yes"), "Yes", "")</f>
        <v/>
      </c>
    </row>
    <row r="231" spans="1:18" hidden="1" x14ac:dyDescent="0.25">
      <c r="A231" t="s">
        <v>1385</v>
      </c>
      <c r="B231" t="s">
        <v>3205</v>
      </c>
      <c r="C231" t="s">
        <v>3206</v>
      </c>
      <c r="D231" t="s">
        <v>4170</v>
      </c>
      <c r="E231" s="1">
        <v>8.9030000000000005</v>
      </c>
      <c r="F231" s="1">
        <v>24.498999999999999</v>
      </c>
      <c r="G231">
        <v>2</v>
      </c>
      <c r="H231">
        <v>1</v>
      </c>
      <c r="I231" t="s">
        <v>3003</v>
      </c>
      <c r="J231" t="s">
        <v>1700</v>
      </c>
      <c r="K231" s="39">
        <v>73.787977999999995</v>
      </c>
      <c r="L231" s="1">
        <v>53.528661</v>
      </c>
      <c r="M231" s="1" t="s">
        <v>4172</v>
      </c>
      <c r="N231" s="1">
        <v>8.9030000000000005</v>
      </c>
      <c r="O231" s="1">
        <f>ABS(Table4[[#This Row],[EndMP]]-Table4[[#This Row],[StartMP]])</f>
        <v>15.595999999999998</v>
      </c>
      <c r="P231" s="1" t="str">
        <f>IF( AND( Table4[[#This Row],[Route]]=ClosureLocation!$B$3, ClosureLocation!$B$6 &gt;= Table4[[#This Row],[StartMP]], ClosureLocation!$B$6 &lt;= Table4[[#This Row],[EndMP]]), "Yes", "")</f>
        <v/>
      </c>
      <c r="Q231" s="1" t="str">
        <f>IF( AND( Table4[[#This Row],[Route]]=ClosureLocation!$B$3, ClosureLocation!$B$6 &lt;= Table4[[#This Row],[StartMP]], ClosureLocation!$B$6 &gt;= Table4[[#This Row],[EndMP]]), "Yes", "")</f>
        <v/>
      </c>
      <c r="R231" s="1" t="str">
        <f>IF( OR( Table4[[#This Row],[PrimaryMatch]]="Yes", Table4[[#This Row],[SecondaryMatch]]="Yes"), "Yes", "")</f>
        <v/>
      </c>
    </row>
    <row r="232" spans="1:18" hidden="1" x14ac:dyDescent="0.25">
      <c r="A232" t="s">
        <v>1284</v>
      </c>
      <c r="B232" t="s">
        <v>3209</v>
      </c>
      <c r="C232" t="s">
        <v>3210</v>
      </c>
      <c r="D232" t="s">
        <v>4126</v>
      </c>
      <c r="E232" s="1">
        <v>84.289000000000001</v>
      </c>
      <c r="F232" s="1">
        <v>8.7289999999999992</v>
      </c>
      <c r="G232">
        <v>2</v>
      </c>
      <c r="H232">
        <v>4</v>
      </c>
      <c r="I232" t="s">
        <v>2962</v>
      </c>
      <c r="J232" t="s">
        <v>1702</v>
      </c>
      <c r="K232" s="39">
        <v>73.771355999999997</v>
      </c>
      <c r="L232" s="1">
        <v>63.716360999999999</v>
      </c>
      <c r="M232" s="1" t="s">
        <v>4128</v>
      </c>
      <c r="N232" s="1">
        <v>915.71100000000001</v>
      </c>
      <c r="O232" s="1">
        <f>ABS(Table4[[#This Row],[EndMP]]-Table4[[#This Row],[StartMP]])</f>
        <v>75.56</v>
      </c>
      <c r="P232" s="1" t="str">
        <f>IF( AND( Table4[[#This Row],[Route]]=ClosureLocation!$B$3, ClosureLocation!$B$6 &gt;= Table4[[#This Row],[StartMP]], ClosureLocation!$B$6 &lt;= Table4[[#This Row],[EndMP]]), "Yes", "")</f>
        <v/>
      </c>
      <c r="Q232" s="1" t="str">
        <f>IF( AND( Table4[[#This Row],[Route]]=ClosureLocation!$B$3, ClosureLocation!$B$6 &lt;= Table4[[#This Row],[StartMP]], ClosureLocation!$B$6 &gt;= Table4[[#This Row],[EndMP]]), "Yes", "")</f>
        <v/>
      </c>
      <c r="R232" s="1" t="str">
        <f>IF( OR( Table4[[#This Row],[PrimaryMatch]]="Yes", Table4[[#This Row],[SecondaryMatch]]="Yes"), "Yes", "")</f>
        <v/>
      </c>
    </row>
    <row r="233" spans="1:18" hidden="1" x14ac:dyDescent="0.25">
      <c r="A233" t="s">
        <v>888</v>
      </c>
      <c r="B233" t="s">
        <v>3209</v>
      </c>
      <c r="C233" t="s">
        <v>3210</v>
      </c>
      <c r="D233" t="s">
        <v>3807</v>
      </c>
      <c r="E233" s="1">
        <v>72.600999999999999</v>
      </c>
      <c r="F233" s="1">
        <v>26.641999999999999</v>
      </c>
      <c r="G233">
        <v>2</v>
      </c>
      <c r="H233">
        <v>5</v>
      </c>
      <c r="I233" t="s">
        <v>2686</v>
      </c>
      <c r="J233" t="s">
        <v>1699</v>
      </c>
      <c r="K233" s="39">
        <v>71.964768000000007</v>
      </c>
      <c r="L233" s="1">
        <v>80.015198999999996</v>
      </c>
      <c r="M233" s="1" t="s">
        <v>3809</v>
      </c>
      <c r="N233" s="1">
        <v>927.399</v>
      </c>
      <c r="O233" s="1">
        <f>ABS(Table4[[#This Row],[EndMP]]-Table4[[#This Row],[StartMP]])</f>
        <v>45.959000000000003</v>
      </c>
      <c r="P233" s="1" t="str">
        <f>IF( AND( Table4[[#This Row],[Route]]=ClosureLocation!$B$3, ClosureLocation!$B$6 &gt;= Table4[[#This Row],[StartMP]], ClosureLocation!$B$6 &lt;= Table4[[#This Row],[EndMP]]), "Yes", "")</f>
        <v/>
      </c>
      <c r="Q233" s="1" t="str">
        <f>IF( AND( Table4[[#This Row],[Route]]=ClosureLocation!$B$3, ClosureLocation!$B$6 &lt;= Table4[[#This Row],[StartMP]], ClosureLocation!$B$6 &gt;= Table4[[#This Row],[EndMP]]), "Yes", "")</f>
        <v/>
      </c>
      <c r="R233" s="1" t="str">
        <f>IF( OR( Table4[[#This Row],[PrimaryMatch]]="Yes", Table4[[#This Row],[SecondaryMatch]]="Yes"), "Yes", "")</f>
        <v/>
      </c>
    </row>
    <row r="234" spans="1:18" hidden="1" x14ac:dyDescent="0.25">
      <c r="A234" t="s">
        <v>1134</v>
      </c>
      <c r="B234" t="s">
        <v>3205</v>
      </c>
      <c r="C234" t="s">
        <v>3206</v>
      </c>
      <c r="D234" t="s">
        <v>4004</v>
      </c>
      <c r="E234" s="1">
        <v>0</v>
      </c>
      <c r="F234" s="1">
        <v>18.829999999999998</v>
      </c>
      <c r="G234">
        <v>1</v>
      </c>
      <c r="H234">
        <v>1</v>
      </c>
      <c r="I234" t="s">
        <v>2868</v>
      </c>
      <c r="J234" t="s">
        <v>1695</v>
      </c>
      <c r="K234" s="39">
        <v>71.115465</v>
      </c>
      <c r="L234" s="1">
        <v>86.583488000000003</v>
      </c>
      <c r="M234" s="58" t="s">
        <v>4005</v>
      </c>
      <c r="N234" s="1">
        <v>0</v>
      </c>
      <c r="O234" s="1">
        <f>ABS(Table4[[#This Row],[EndMP]]-Table4[[#This Row],[StartMP]])</f>
        <v>18.829999999999998</v>
      </c>
      <c r="P234" s="1" t="str">
        <f>IF( AND( Table4[[#This Row],[Route]]=ClosureLocation!$B$3, ClosureLocation!$B$6 &gt;= Table4[[#This Row],[StartMP]], ClosureLocation!$B$6 &lt;= Table4[[#This Row],[EndMP]]), "Yes", "")</f>
        <v/>
      </c>
      <c r="Q234" s="1" t="str">
        <f>IF( AND( Table4[[#This Row],[Route]]=ClosureLocation!$B$3, ClosureLocation!$B$6 &lt;= Table4[[#This Row],[StartMP]], ClosureLocation!$B$6 &gt;= Table4[[#This Row],[EndMP]]), "Yes", "")</f>
        <v/>
      </c>
      <c r="R234" s="1" t="str">
        <f>IF( OR( Table4[[#This Row],[PrimaryMatch]]="Yes", Table4[[#This Row],[SecondaryMatch]]="Yes"), "Yes", "")</f>
        <v/>
      </c>
    </row>
    <row r="235" spans="1:18" hidden="1" x14ac:dyDescent="0.25">
      <c r="A235" t="s">
        <v>888</v>
      </c>
      <c r="B235" t="s">
        <v>3205</v>
      </c>
      <c r="C235" t="s">
        <v>3206</v>
      </c>
      <c r="D235" t="s">
        <v>3803</v>
      </c>
      <c r="E235" s="1">
        <v>26.641999999999999</v>
      </c>
      <c r="F235" s="1">
        <v>72.600999999999999</v>
      </c>
      <c r="G235">
        <v>2</v>
      </c>
      <c r="H235">
        <v>2</v>
      </c>
      <c r="I235" t="s">
        <v>2683</v>
      </c>
      <c r="J235" t="s">
        <v>1699</v>
      </c>
      <c r="K235" s="39">
        <v>70.011583000000002</v>
      </c>
      <c r="L235" s="1">
        <v>78.610372999999996</v>
      </c>
      <c r="M235" s="1" t="s">
        <v>3805</v>
      </c>
      <c r="N235" s="1">
        <v>26.641999999999999</v>
      </c>
      <c r="O235" s="1">
        <f>ABS(Table4[[#This Row],[EndMP]]-Table4[[#This Row],[StartMP]])</f>
        <v>45.959000000000003</v>
      </c>
      <c r="P235" s="1" t="str">
        <f>IF( AND( Table4[[#This Row],[Route]]=ClosureLocation!$B$3, ClosureLocation!$B$6 &gt;= Table4[[#This Row],[StartMP]], ClosureLocation!$B$6 &lt;= Table4[[#This Row],[EndMP]]), "Yes", "")</f>
        <v/>
      </c>
      <c r="Q235" s="1" t="str">
        <f>IF( AND( Table4[[#This Row],[Route]]=ClosureLocation!$B$3, ClosureLocation!$B$6 &lt;= Table4[[#This Row],[StartMP]], ClosureLocation!$B$6 &gt;= Table4[[#This Row],[EndMP]]), "Yes", "")</f>
        <v/>
      </c>
      <c r="R235" s="1" t="str">
        <f>IF( OR( Table4[[#This Row],[PrimaryMatch]]="Yes", Table4[[#This Row],[SecondaryMatch]]="Yes"), "Yes", "")</f>
        <v/>
      </c>
    </row>
    <row r="236" spans="1:18" hidden="1" x14ac:dyDescent="0.25">
      <c r="A236" t="s">
        <v>1158</v>
      </c>
      <c r="B236" t="s">
        <v>3209</v>
      </c>
      <c r="C236" t="s">
        <v>3210</v>
      </c>
      <c r="D236" t="s">
        <v>4021</v>
      </c>
      <c r="E236" s="1">
        <v>25.754000000000001</v>
      </c>
      <c r="F236" s="1">
        <v>22.748000000000001</v>
      </c>
      <c r="G236">
        <v>2</v>
      </c>
      <c r="H236">
        <v>2</v>
      </c>
      <c r="I236" t="s">
        <v>2882</v>
      </c>
      <c r="J236" t="s">
        <v>1724</v>
      </c>
      <c r="K236" s="39">
        <v>68.672081000000006</v>
      </c>
      <c r="L236" s="1">
        <v>43.324106999999998</v>
      </c>
      <c r="M236" s="1" t="s">
        <v>4022</v>
      </c>
      <c r="N236" s="1">
        <v>974.24599999999998</v>
      </c>
      <c r="O236" s="1">
        <f>ABS(Table4[[#This Row],[EndMP]]-Table4[[#This Row],[StartMP]])</f>
        <v>3.0060000000000002</v>
      </c>
      <c r="P236" s="1" t="str">
        <f>IF( AND( Table4[[#This Row],[Route]]=ClosureLocation!$B$3, ClosureLocation!$B$6 &gt;= Table4[[#This Row],[StartMP]], ClosureLocation!$B$6 &lt;= Table4[[#This Row],[EndMP]]), "Yes", "")</f>
        <v/>
      </c>
      <c r="Q236" s="1" t="str">
        <f>IF( AND( Table4[[#This Row],[Route]]=ClosureLocation!$B$3, ClosureLocation!$B$6 &lt;= Table4[[#This Row],[StartMP]], ClosureLocation!$B$6 &gt;= Table4[[#This Row],[EndMP]]), "Yes", "")</f>
        <v/>
      </c>
      <c r="R236" s="1" t="str">
        <f>IF( OR( Table4[[#This Row],[PrimaryMatch]]="Yes", Table4[[#This Row],[SecondaryMatch]]="Yes"), "Yes", "")</f>
        <v/>
      </c>
    </row>
    <row r="237" spans="1:18" hidden="1" x14ac:dyDescent="0.25">
      <c r="A237" t="s">
        <v>1158</v>
      </c>
      <c r="B237" t="s">
        <v>3205</v>
      </c>
      <c r="C237" t="s">
        <v>3206</v>
      </c>
      <c r="D237" t="s">
        <v>4018</v>
      </c>
      <c r="E237" s="1">
        <v>22.748000000000001</v>
      </c>
      <c r="F237" s="1">
        <v>25.754000000000001</v>
      </c>
      <c r="G237">
        <v>2</v>
      </c>
      <c r="H237">
        <v>1</v>
      </c>
      <c r="I237" t="s">
        <v>2879</v>
      </c>
      <c r="J237" t="s">
        <v>1724</v>
      </c>
      <c r="K237" s="39">
        <v>68.606735</v>
      </c>
      <c r="L237" s="1">
        <v>43.324106999999998</v>
      </c>
      <c r="M237" s="1" t="s">
        <v>4020</v>
      </c>
      <c r="N237" s="1">
        <v>22.748000000000001</v>
      </c>
      <c r="O237" s="1">
        <f>ABS(Table4[[#This Row],[EndMP]]-Table4[[#This Row],[StartMP]])</f>
        <v>3.0060000000000002</v>
      </c>
      <c r="P237" s="1" t="str">
        <f>IF( AND( Table4[[#This Row],[Route]]=ClosureLocation!$B$3, ClosureLocation!$B$6 &gt;= Table4[[#This Row],[StartMP]], ClosureLocation!$B$6 &lt;= Table4[[#This Row],[EndMP]]), "Yes", "")</f>
        <v/>
      </c>
      <c r="Q237" s="1" t="str">
        <f>IF( AND( Table4[[#This Row],[Route]]=ClosureLocation!$B$3, ClosureLocation!$B$6 &lt;= Table4[[#This Row],[StartMP]], ClosureLocation!$B$6 &gt;= Table4[[#This Row],[EndMP]]), "Yes", "")</f>
        <v/>
      </c>
      <c r="R237" s="1" t="str">
        <f>IF( OR( Table4[[#This Row],[PrimaryMatch]]="Yes", Table4[[#This Row],[SecondaryMatch]]="Yes"), "Yes", "")</f>
        <v/>
      </c>
    </row>
    <row r="238" spans="1:18" hidden="1" x14ac:dyDescent="0.25">
      <c r="A238" t="s">
        <v>602</v>
      </c>
      <c r="B238" t="s">
        <v>3209</v>
      </c>
      <c r="C238" t="s">
        <v>3226</v>
      </c>
      <c r="D238" t="s">
        <v>3626</v>
      </c>
      <c r="E238" s="1">
        <v>70.918999999999997</v>
      </c>
      <c r="F238" s="1">
        <v>38.503999999999998</v>
      </c>
      <c r="G238">
        <v>16</v>
      </c>
      <c r="H238">
        <v>12</v>
      </c>
      <c r="I238" t="s">
        <v>2441</v>
      </c>
      <c r="J238" t="s">
        <v>1700</v>
      </c>
      <c r="K238" s="39">
        <v>68.602896000000001</v>
      </c>
      <c r="L238" s="1">
        <v>45.481896999999996</v>
      </c>
      <c r="M238" s="1" t="s">
        <v>3635</v>
      </c>
      <c r="N238" s="1">
        <v>929.08100000000002</v>
      </c>
      <c r="O238" s="1">
        <f>ABS(Table4[[#This Row],[EndMP]]-Table4[[#This Row],[StartMP]])</f>
        <v>32.414999999999999</v>
      </c>
      <c r="P238" s="1" t="str">
        <f>IF( AND( Table4[[#This Row],[Route]]=ClosureLocation!$B$3, ClosureLocation!$B$6 &gt;= Table4[[#This Row],[StartMP]], ClosureLocation!$B$6 &lt;= Table4[[#This Row],[EndMP]]), "Yes", "")</f>
        <v/>
      </c>
      <c r="Q238" s="1" t="str">
        <f>IF( AND( Table4[[#This Row],[Route]]=ClosureLocation!$B$3, ClosureLocation!$B$6 &lt;= Table4[[#This Row],[StartMP]], ClosureLocation!$B$6 &gt;= Table4[[#This Row],[EndMP]]), "Yes", "")</f>
        <v/>
      </c>
      <c r="R238" s="1" t="str">
        <f>IF( OR( Table4[[#This Row],[PrimaryMatch]]="Yes", Table4[[#This Row],[SecondaryMatch]]="Yes"), "Yes", "")</f>
        <v/>
      </c>
    </row>
    <row r="239" spans="1:18" hidden="1" x14ac:dyDescent="0.25">
      <c r="A239" t="s">
        <v>736</v>
      </c>
      <c r="B239" t="s">
        <v>3205</v>
      </c>
      <c r="C239" t="s">
        <v>3222</v>
      </c>
      <c r="D239" t="s">
        <v>3718</v>
      </c>
      <c r="E239" s="1">
        <v>0</v>
      </c>
      <c r="F239" s="1">
        <v>73.704999999999998</v>
      </c>
      <c r="G239">
        <v>1</v>
      </c>
      <c r="H239">
        <v>1</v>
      </c>
      <c r="I239" t="s">
        <v>2526</v>
      </c>
      <c r="J239" t="s">
        <v>1699</v>
      </c>
      <c r="K239" s="39">
        <v>68.552190999999993</v>
      </c>
      <c r="L239" s="1">
        <v>62.184468000000003</v>
      </c>
      <c r="M239" s="1" t="s">
        <v>3719</v>
      </c>
      <c r="N239" s="1">
        <v>0</v>
      </c>
      <c r="O239" s="1">
        <f>ABS(Table4[[#This Row],[EndMP]]-Table4[[#This Row],[StartMP]])</f>
        <v>73.704999999999998</v>
      </c>
      <c r="P239" s="1" t="str">
        <f>IF( AND( Table4[[#This Row],[Route]]=ClosureLocation!$B$3, ClosureLocation!$B$6 &gt;= Table4[[#This Row],[StartMP]], ClosureLocation!$B$6 &lt;= Table4[[#This Row],[EndMP]]), "Yes", "")</f>
        <v/>
      </c>
      <c r="Q239" s="1" t="str">
        <f>IF( AND( Table4[[#This Row],[Route]]=ClosureLocation!$B$3, ClosureLocation!$B$6 &lt;= Table4[[#This Row],[StartMP]], ClosureLocation!$B$6 &gt;= Table4[[#This Row],[EndMP]]), "Yes", "")</f>
        <v/>
      </c>
      <c r="R239" s="1" t="str">
        <f>IF( OR( Table4[[#This Row],[PrimaryMatch]]="Yes", Table4[[#This Row],[SecondaryMatch]]="Yes"), "Yes", "")</f>
        <v/>
      </c>
    </row>
    <row r="240" spans="1:18" hidden="1" x14ac:dyDescent="0.25">
      <c r="A240" t="s">
        <v>736</v>
      </c>
      <c r="B240" t="s">
        <v>3209</v>
      </c>
      <c r="C240" t="s">
        <v>3226</v>
      </c>
      <c r="D240" t="s">
        <v>3720</v>
      </c>
      <c r="E240" s="1">
        <v>73.704999999999998</v>
      </c>
      <c r="F240" s="1">
        <v>0</v>
      </c>
      <c r="G240">
        <v>1</v>
      </c>
      <c r="H240">
        <v>2</v>
      </c>
      <c r="I240" t="s">
        <v>2527</v>
      </c>
      <c r="J240" t="s">
        <v>1699</v>
      </c>
      <c r="K240" s="39">
        <v>68.552162999999993</v>
      </c>
      <c r="L240" s="1">
        <v>62.184468000000003</v>
      </c>
      <c r="M240" s="1" t="s">
        <v>3721</v>
      </c>
      <c r="N240" s="1">
        <v>926.29499999999996</v>
      </c>
      <c r="O240" s="1">
        <f>ABS(Table4[[#This Row],[EndMP]]-Table4[[#This Row],[StartMP]])</f>
        <v>73.704999999999998</v>
      </c>
      <c r="P240" s="1" t="str">
        <f>IF( AND( Table4[[#This Row],[Route]]=ClosureLocation!$B$3, ClosureLocation!$B$6 &gt;= Table4[[#This Row],[StartMP]], ClosureLocation!$B$6 &lt;= Table4[[#This Row],[EndMP]]), "Yes", "")</f>
        <v/>
      </c>
      <c r="Q240" s="1" t="str">
        <f>IF( AND( Table4[[#This Row],[Route]]=ClosureLocation!$B$3, ClosureLocation!$B$6 &lt;= Table4[[#This Row],[StartMP]], ClosureLocation!$B$6 &gt;= Table4[[#This Row],[EndMP]]), "Yes", "")</f>
        <v/>
      </c>
      <c r="R240" s="1" t="str">
        <f>IF( OR( Table4[[#This Row],[PrimaryMatch]]="Yes", Table4[[#This Row],[SecondaryMatch]]="Yes"), "Yes", "")</f>
        <v/>
      </c>
    </row>
    <row r="241" spans="1:18" hidden="1" x14ac:dyDescent="0.25">
      <c r="A241" t="s">
        <v>602</v>
      </c>
      <c r="B241" t="s">
        <v>3205</v>
      </c>
      <c r="C241" t="s">
        <v>3222</v>
      </c>
      <c r="D241" t="s">
        <v>3612</v>
      </c>
      <c r="E241" s="1">
        <v>38.503999999999998</v>
      </c>
      <c r="F241" s="1">
        <v>70.918999999999997</v>
      </c>
      <c r="G241">
        <v>3</v>
      </c>
      <c r="H241">
        <v>3</v>
      </c>
      <c r="I241" t="s">
        <v>2410</v>
      </c>
      <c r="J241" t="s">
        <v>1700</v>
      </c>
      <c r="K241" s="39">
        <v>68.274189000000007</v>
      </c>
      <c r="L241" s="1">
        <v>45.407499000000001</v>
      </c>
      <c r="M241" s="1" t="s">
        <v>3615</v>
      </c>
      <c r="N241" s="1">
        <v>38.503999999999998</v>
      </c>
      <c r="O241" s="1">
        <f>ABS(Table4[[#This Row],[EndMP]]-Table4[[#This Row],[StartMP]])</f>
        <v>32.414999999999999</v>
      </c>
      <c r="P241" s="1" t="str">
        <f>IF( AND( Table4[[#This Row],[Route]]=ClosureLocation!$B$3, ClosureLocation!$B$6 &gt;= Table4[[#This Row],[StartMP]], ClosureLocation!$B$6 &lt;= Table4[[#This Row],[EndMP]]), "Yes", "")</f>
        <v/>
      </c>
      <c r="Q241" s="1" t="str">
        <f>IF( AND( Table4[[#This Row],[Route]]=ClosureLocation!$B$3, ClosureLocation!$B$6 &lt;= Table4[[#This Row],[StartMP]], ClosureLocation!$B$6 &gt;= Table4[[#This Row],[EndMP]]), "Yes", "")</f>
        <v/>
      </c>
      <c r="R241" s="1" t="str">
        <f>IF( OR( Table4[[#This Row],[PrimaryMatch]]="Yes", Table4[[#This Row],[SecondaryMatch]]="Yes"), "Yes", "")</f>
        <v/>
      </c>
    </row>
    <row r="242" spans="1:18" hidden="1" x14ac:dyDescent="0.25">
      <c r="A242" t="s">
        <v>1471</v>
      </c>
      <c r="B242" t="s">
        <v>3209</v>
      </c>
      <c r="C242" t="s">
        <v>3210</v>
      </c>
      <c r="D242" t="s">
        <v>4237</v>
      </c>
      <c r="E242" s="1">
        <v>20.417999999999999</v>
      </c>
      <c r="F242" s="1">
        <v>12.707000000000001</v>
      </c>
      <c r="G242">
        <v>5</v>
      </c>
      <c r="H242">
        <v>11</v>
      </c>
      <c r="I242" t="s">
        <v>3058</v>
      </c>
      <c r="J242" t="s">
        <v>1695</v>
      </c>
      <c r="K242" s="39">
        <v>67.668710000000004</v>
      </c>
      <c r="L242" s="1">
        <v>53.464078999999998</v>
      </c>
      <c r="M242" s="1" t="s">
        <v>5024</v>
      </c>
      <c r="N242" s="1">
        <v>979.58199999999999</v>
      </c>
      <c r="O242" s="1">
        <f>ABS(Table4[[#This Row],[EndMP]]-Table4[[#This Row],[StartMP]])</f>
        <v>7.7109999999999985</v>
      </c>
      <c r="P242" s="1" t="str">
        <f>IF( AND( Table4[[#This Row],[Route]]=ClosureLocation!$B$3, ClosureLocation!$B$6 &gt;= Table4[[#This Row],[StartMP]], ClosureLocation!$B$6 &lt;= Table4[[#This Row],[EndMP]]), "Yes", "")</f>
        <v/>
      </c>
      <c r="Q242" s="1" t="str">
        <f>IF( AND( Table4[[#This Row],[Route]]=ClosureLocation!$B$3, ClosureLocation!$B$6 &lt;= Table4[[#This Row],[StartMP]], ClosureLocation!$B$6 &gt;= Table4[[#This Row],[EndMP]]), "Yes", "")</f>
        <v/>
      </c>
      <c r="R242" s="1" t="str">
        <f>IF( OR( Table4[[#This Row],[PrimaryMatch]]="Yes", Table4[[#This Row],[SecondaryMatch]]="Yes"), "Yes", "")</f>
        <v/>
      </c>
    </row>
    <row r="243" spans="1:18" hidden="1" x14ac:dyDescent="0.25">
      <c r="A243" t="s">
        <v>1471</v>
      </c>
      <c r="B243" t="s">
        <v>3205</v>
      </c>
      <c r="C243" t="s">
        <v>3206</v>
      </c>
      <c r="D243" t="s">
        <v>4236</v>
      </c>
      <c r="E243" s="1">
        <v>12.707000000000001</v>
      </c>
      <c r="F243" s="1">
        <v>20.417999999999999</v>
      </c>
      <c r="G243">
        <v>2</v>
      </c>
      <c r="H243">
        <v>2</v>
      </c>
      <c r="I243" t="s">
        <v>3049</v>
      </c>
      <c r="J243" t="s">
        <v>1695</v>
      </c>
      <c r="K243" s="39">
        <v>67.406497000000002</v>
      </c>
      <c r="L243" s="1">
        <v>53.318593</v>
      </c>
      <c r="M243" s="1" t="s">
        <v>5014</v>
      </c>
      <c r="N243" s="1">
        <v>12.707000000000001</v>
      </c>
      <c r="O243" s="1">
        <f>ABS(Table4[[#This Row],[EndMP]]-Table4[[#This Row],[StartMP]])</f>
        <v>7.7109999999999985</v>
      </c>
      <c r="P243" s="1" t="str">
        <f>IF( AND( Table4[[#This Row],[Route]]=ClosureLocation!$B$3, ClosureLocation!$B$6 &gt;= Table4[[#This Row],[StartMP]], ClosureLocation!$B$6 &lt;= Table4[[#This Row],[EndMP]]), "Yes", "")</f>
        <v/>
      </c>
      <c r="Q243" s="1" t="str">
        <f>IF( AND( Table4[[#This Row],[Route]]=ClosureLocation!$B$3, ClosureLocation!$B$6 &lt;= Table4[[#This Row],[StartMP]], ClosureLocation!$B$6 &gt;= Table4[[#This Row],[EndMP]]), "Yes", "")</f>
        <v/>
      </c>
      <c r="R243" s="1" t="str">
        <f>IF( OR( Table4[[#This Row],[PrimaryMatch]]="Yes", Table4[[#This Row],[SecondaryMatch]]="Yes"), "Yes", "")</f>
        <v/>
      </c>
    </row>
    <row r="244" spans="1:18" hidden="1" x14ac:dyDescent="0.25">
      <c r="A244" t="s">
        <v>1508</v>
      </c>
      <c r="B244" t="s">
        <v>3209</v>
      </c>
      <c r="C244" t="s">
        <v>3210</v>
      </c>
      <c r="D244" t="s">
        <v>4281</v>
      </c>
      <c r="E244" s="1">
        <v>133.24</v>
      </c>
      <c r="F244" s="1">
        <v>110.59</v>
      </c>
      <c r="G244">
        <v>1</v>
      </c>
      <c r="H244">
        <v>4</v>
      </c>
      <c r="I244" t="s">
        <v>3094</v>
      </c>
      <c r="J244" t="s">
        <v>1691</v>
      </c>
      <c r="K244" s="39">
        <v>67.216097000000005</v>
      </c>
      <c r="L244" s="1">
        <v>53.413040000000002</v>
      </c>
      <c r="M244" s="1" t="s">
        <v>4282</v>
      </c>
      <c r="N244" s="1">
        <v>866.76</v>
      </c>
      <c r="O244" s="1">
        <f>ABS(Table4[[#This Row],[EndMP]]-Table4[[#This Row],[StartMP]])</f>
        <v>22.650000000000006</v>
      </c>
      <c r="P244" s="1" t="str">
        <f>IF( AND( Table4[[#This Row],[Route]]=ClosureLocation!$B$3, ClosureLocation!$B$6 &gt;= Table4[[#This Row],[StartMP]], ClosureLocation!$B$6 &lt;= Table4[[#This Row],[EndMP]]), "Yes", "")</f>
        <v/>
      </c>
      <c r="Q244" s="1" t="str">
        <f>IF( AND( Table4[[#This Row],[Route]]=ClosureLocation!$B$3, ClosureLocation!$B$6 &lt;= Table4[[#This Row],[StartMP]], ClosureLocation!$B$6 &gt;= Table4[[#This Row],[EndMP]]), "Yes", "")</f>
        <v/>
      </c>
      <c r="R244" s="1" t="str">
        <f>IF( OR( Table4[[#This Row],[PrimaryMatch]]="Yes", Table4[[#This Row],[SecondaryMatch]]="Yes"), "Yes", "")</f>
        <v/>
      </c>
    </row>
    <row r="245" spans="1:18" hidden="1" x14ac:dyDescent="0.25">
      <c r="A245" t="s">
        <v>1508</v>
      </c>
      <c r="B245" t="s">
        <v>3205</v>
      </c>
      <c r="C245" t="s">
        <v>3206</v>
      </c>
      <c r="D245" t="s">
        <v>4277</v>
      </c>
      <c r="E245" s="1">
        <v>110.59</v>
      </c>
      <c r="F245" s="1">
        <v>133.24</v>
      </c>
      <c r="G245">
        <v>3</v>
      </c>
      <c r="H245">
        <v>3</v>
      </c>
      <c r="I245" t="s">
        <v>3093</v>
      </c>
      <c r="J245" t="s">
        <v>1691</v>
      </c>
      <c r="K245" s="39">
        <v>67.216078999999993</v>
      </c>
      <c r="L245" s="1">
        <v>53.413040000000002</v>
      </c>
      <c r="M245" s="1" t="s">
        <v>4280</v>
      </c>
      <c r="N245" s="1">
        <v>110.59</v>
      </c>
      <c r="O245" s="1">
        <f>ABS(Table4[[#This Row],[EndMP]]-Table4[[#This Row],[StartMP]])</f>
        <v>22.650000000000006</v>
      </c>
      <c r="P245" s="1" t="str">
        <f>IF( AND( Table4[[#This Row],[Route]]=ClosureLocation!$B$3, ClosureLocation!$B$6 &gt;= Table4[[#This Row],[StartMP]], ClosureLocation!$B$6 &lt;= Table4[[#This Row],[EndMP]]), "Yes", "")</f>
        <v/>
      </c>
      <c r="Q245" s="1" t="str">
        <f>IF( AND( Table4[[#This Row],[Route]]=ClosureLocation!$B$3, ClosureLocation!$B$6 &lt;= Table4[[#This Row],[StartMP]], ClosureLocation!$B$6 &gt;= Table4[[#This Row],[EndMP]]), "Yes", "")</f>
        <v/>
      </c>
      <c r="R245" s="1" t="str">
        <f>IF( OR( Table4[[#This Row],[PrimaryMatch]]="Yes", Table4[[#This Row],[SecondaryMatch]]="Yes"), "Yes", "")</f>
        <v/>
      </c>
    </row>
    <row r="246" spans="1:18" hidden="1" x14ac:dyDescent="0.25">
      <c r="A246" t="s">
        <v>1508</v>
      </c>
      <c r="B246" t="s">
        <v>3209</v>
      </c>
      <c r="C246" t="s">
        <v>3210</v>
      </c>
      <c r="D246" t="s">
        <v>4281</v>
      </c>
      <c r="E246" s="1">
        <v>110.59</v>
      </c>
      <c r="F246" s="1">
        <v>87.370999999999995</v>
      </c>
      <c r="G246">
        <v>2</v>
      </c>
      <c r="H246">
        <v>5</v>
      </c>
      <c r="I246" t="s">
        <v>3095</v>
      </c>
      <c r="J246" t="s">
        <v>1691</v>
      </c>
      <c r="K246" s="39">
        <v>67.132013000000001</v>
      </c>
      <c r="L246" s="1">
        <v>52.319951000000003</v>
      </c>
      <c r="M246" s="1" t="s">
        <v>4283</v>
      </c>
      <c r="N246" s="1">
        <v>889.41</v>
      </c>
      <c r="O246" s="1">
        <f>ABS(Table4[[#This Row],[EndMP]]-Table4[[#This Row],[StartMP]])</f>
        <v>23.219000000000008</v>
      </c>
      <c r="P246" s="1" t="str">
        <f>IF( AND( Table4[[#This Row],[Route]]=ClosureLocation!$B$3, ClosureLocation!$B$6 &gt;= Table4[[#This Row],[StartMP]], ClosureLocation!$B$6 &lt;= Table4[[#This Row],[EndMP]]), "Yes", "")</f>
        <v/>
      </c>
      <c r="Q246" s="1" t="str">
        <f>IF( AND( Table4[[#This Row],[Route]]=ClosureLocation!$B$3, ClosureLocation!$B$6 &lt;= Table4[[#This Row],[StartMP]], ClosureLocation!$B$6 &gt;= Table4[[#This Row],[EndMP]]), "Yes", "")</f>
        <v/>
      </c>
      <c r="R246" s="1" t="str">
        <f>IF( OR( Table4[[#This Row],[PrimaryMatch]]="Yes", Table4[[#This Row],[SecondaryMatch]]="Yes"), "Yes", "")</f>
        <v/>
      </c>
    </row>
    <row r="247" spans="1:18" hidden="1" x14ac:dyDescent="0.25">
      <c r="A247" t="s">
        <v>1197</v>
      </c>
      <c r="B247" t="s">
        <v>3205</v>
      </c>
      <c r="C247" t="s">
        <v>3206</v>
      </c>
      <c r="D247" t="s">
        <v>4056</v>
      </c>
      <c r="E247" s="1">
        <v>0</v>
      </c>
      <c r="F247" s="1">
        <v>9.202</v>
      </c>
      <c r="G247">
        <v>1</v>
      </c>
      <c r="H247">
        <v>1</v>
      </c>
      <c r="I247" t="s">
        <v>2912</v>
      </c>
      <c r="J247" t="s">
        <v>1695</v>
      </c>
      <c r="K247" s="39">
        <v>67.076976999999999</v>
      </c>
      <c r="L247" s="1">
        <v>65.008961999999997</v>
      </c>
      <c r="M247" s="58" t="s">
        <v>4057</v>
      </c>
      <c r="N247" s="1">
        <v>0</v>
      </c>
      <c r="O247" s="1">
        <f>ABS(Table4[[#This Row],[EndMP]]-Table4[[#This Row],[StartMP]])</f>
        <v>9.202</v>
      </c>
      <c r="P247" s="1" t="str">
        <f>IF( AND( Table4[[#This Row],[Route]]=ClosureLocation!$B$3, ClosureLocation!$B$6 &gt;= Table4[[#This Row],[StartMP]], ClosureLocation!$B$6 &lt;= Table4[[#This Row],[EndMP]]), "Yes", "")</f>
        <v/>
      </c>
      <c r="Q247" s="1" t="str">
        <f>IF( AND( Table4[[#This Row],[Route]]=ClosureLocation!$B$3, ClosureLocation!$B$6 &lt;= Table4[[#This Row],[StartMP]], ClosureLocation!$B$6 &gt;= Table4[[#This Row],[EndMP]]), "Yes", "")</f>
        <v/>
      </c>
      <c r="R247" s="1" t="str">
        <f>IF( OR( Table4[[#This Row],[PrimaryMatch]]="Yes", Table4[[#This Row],[SecondaryMatch]]="Yes"), "Yes", "")</f>
        <v/>
      </c>
    </row>
    <row r="248" spans="1:18" hidden="1" x14ac:dyDescent="0.25">
      <c r="A248" t="s">
        <v>1197</v>
      </c>
      <c r="B248" t="s">
        <v>3209</v>
      </c>
      <c r="C248" t="s">
        <v>3210</v>
      </c>
      <c r="D248" t="s">
        <v>4058</v>
      </c>
      <c r="E248" s="1">
        <v>9.202</v>
      </c>
      <c r="F248" s="1">
        <v>0</v>
      </c>
      <c r="G248">
        <v>1</v>
      </c>
      <c r="H248">
        <v>2</v>
      </c>
      <c r="I248" t="s">
        <v>2913</v>
      </c>
      <c r="J248" t="s">
        <v>1695</v>
      </c>
      <c r="K248" s="39">
        <v>67.076976999999999</v>
      </c>
      <c r="L248" s="1">
        <v>65.008961999999997</v>
      </c>
      <c r="M248" s="58" t="s">
        <v>4059</v>
      </c>
      <c r="N248" s="1">
        <v>990.798</v>
      </c>
      <c r="O248" s="1">
        <f>ABS(Table4[[#This Row],[EndMP]]-Table4[[#This Row],[StartMP]])</f>
        <v>9.202</v>
      </c>
      <c r="P248" s="1" t="str">
        <f>IF( AND( Table4[[#This Row],[Route]]=ClosureLocation!$B$3, ClosureLocation!$B$6 &gt;= Table4[[#This Row],[StartMP]], ClosureLocation!$B$6 &lt;= Table4[[#This Row],[EndMP]]), "Yes", "")</f>
        <v/>
      </c>
      <c r="Q248" s="1" t="str">
        <f>IF( AND( Table4[[#This Row],[Route]]=ClosureLocation!$B$3, ClosureLocation!$B$6 &lt;= Table4[[#This Row],[StartMP]], ClosureLocation!$B$6 &gt;= Table4[[#This Row],[EndMP]]), "Yes", "")</f>
        <v/>
      </c>
      <c r="R248" s="1" t="str">
        <f>IF( OR( Table4[[#This Row],[PrimaryMatch]]="Yes", Table4[[#This Row],[SecondaryMatch]]="Yes"), "Yes", "")</f>
        <v/>
      </c>
    </row>
    <row r="249" spans="1:18" hidden="1" x14ac:dyDescent="0.25">
      <c r="A249" t="s">
        <v>167</v>
      </c>
      <c r="B249" t="s">
        <v>3205</v>
      </c>
      <c r="C249" t="s">
        <v>3206</v>
      </c>
      <c r="D249" t="s">
        <v>3311</v>
      </c>
      <c r="E249" s="1">
        <v>101.63200000000001</v>
      </c>
      <c r="F249" s="1">
        <v>138.91999999999999</v>
      </c>
      <c r="G249">
        <v>1</v>
      </c>
      <c r="H249">
        <v>1</v>
      </c>
      <c r="I249" t="s">
        <v>2125</v>
      </c>
      <c r="J249" t="s">
        <v>1693</v>
      </c>
      <c r="K249" s="39">
        <v>66.899653999999998</v>
      </c>
      <c r="L249" s="1">
        <v>62.572415999999997</v>
      </c>
      <c r="M249" s="1" t="s">
        <v>3312</v>
      </c>
      <c r="N249" s="1">
        <v>101.63200000000001</v>
      </c>
      <c r="O249" s="1">
        <f>ABS(Table4[[#This Row],[EndMP]]-Table4[[#This Row],[StartMP]])</f>
        <v>37.287999999999982</v>
      </c>
      <c r="P249" s="1" t="str">
        <f>IF( AND( Table4[[#This Row],[Route]]=ClosureLocation!$B$3, ClosureLocation!$B$6 &gt;= Table4[[#This Row],[StartMP]], ClosureLocation!$B$6 &lt;= Table4[[#This Row],[EndMP]]), "Yes", "")</f>
        <v/>
      </c>
      <c r="Q249" s="1" t="str">
        <f>IF( AND( Table4[[#This Row],[Route]]=ClosureLocation!$B$3, ClosureLocation!$B$6 &lt;= Table4[[#This Row],[StartMP]], ClosureLocation!$B$6 &gt;= Table4[[#This Row],[EndMP]]), "Yes", "")</f>
        <v/>
      </c>
      <c r="R249" s="1" t="str">
        <f>IF( OR( Table4[[#This Row],[PrimaryMatch]]="Yes", Table4[[#This Row],[SecondaryMatch]]="Yes"), "Yes", "")</f>
        <v/>
      </c>
    </row>
    <row r="250" spans="1:18" hidden="1" x14ac:dyDescent="0.25">
      <c r="A250" t="s">
        <v>1508</v>
      </c>
      <c r="B250" t="s">
        <v>3205</v>
      </c>
      <c r="C250" t="s">
        <v>3206</v>
      </c>
      <c r="D250" t="s">
        <v>4277</v>
      </c>
      <c r="E250" s="1">
        <v>87.370999999999995</v>
      </c>
      <c r="F250" s="1">
        <v>110.59</v>
      </c>
      <c r="G250">
        <v>2</v>
      </c>
      <c r="H250">
        <v>2</v>
      </c>
      <c r="I250" t="s">
        <v>3092</v>
      </c>
      <c r="J250" t="s">
        <v>1691</v>
      </c>
      <c r="K250" s="39">
        <v>66.133134999999996</v>
      </c>
      <c r="L250" s="1">
        <v>51.499225000000003</v>
      </c>
      <c r="M250" s="1" t="s">
        <v>4279</v>
      </c>
      <c r="N250" s="1">
        <v>87.370999999999995</v>
      </c>
      <c r="O250" s="1">
        <f>ABS(Table4[[#This Row],[EndMP]]-Table4[[#This Row],[StartMP]])</f>
        <v>23.219000000000008</v>
      </c>
      <c r="P250" s="1" t="str">
        <f>IF( AND( Table4[[#This Row],[Route]]=ClosureLocation!$B$3, ClosureLocation!$B$6 &gt;= Table4[[#This Row],[StartMP]], ClosureLocation!$B$6 &lt;= Table4[[#This Row],[EndMP]]), "Yes", "")</f>
        <v/>
      </c>
      <c r="Q250" s="1" t="str">
        <f>IF( AND( Table4[[#This Row],[Route]]=ClosureLocation!$B$3, ClosureLocation!$B$6 &lt;= Table4[[#This Row],[StartMP]], ClosureLocation!$B$6 &gt;= Table4[[#This Row],[EndMP]]), "Yes", "")</f>
        <v/>
      </c>
      <c r="R250" s="1" t="str">
        <f>IF( OR( Table4[[#This Row],[PrimaryMatch]]="Yes", Table4[[#This Row],[SecondaryMatch]]="Yes"), "Yes", "")</f>
        <v/>
      </c>
    </row>
    <row r="251" spans="1:18" hidden="1" x14ac:dyDescent="0.25">
      <c r="A251" t="s">
        <v>167</v>
      </c>
      <c r="B251" t="s">
        <v>3209</v>
      </c>
      <c r="C251" t="s">
        <v>3210</v>
      </c>
      <c r="D251" t="s">
        <v>3313</v>
      </c>
      <c r="E251" s="1">
        <v>138.91999999999999</v>
      </c>
      <c r="F251" s="1">
        <v>101.63200000000001</v>
      </c>
      <c r="G251">
        <v>1</v>
      </c>
      <c r="H251">
        <v>2</v>
      </c>
      <c r="I251" t="s">
        <v>2126</v>
      </c>
      <c r="J251" t="s">
        <v>1693</v>
      </c>
      <c r="K251" s="39">
        <v>65.814048999999997</v>
      </c>
      <c r="L251" s="1">
        <v>61.983176999999998</v>
      </c>
      <c r="M251" s="1" t="s">
        <v>3314</v>
      </c>
      <c r="N251" s="1">
        <v>861.08</v>
      </c>
      <c r="O251" s="1">
        <f>ABS(Table4[[#This Row],[EndMP]]-Table4[[#This Row],[StartMP]])</f>
        <v>37.287999999999982</v>
      </c>
      <c r="P251" s="1" t="str">
        <f>IF( AND( Table4[[#This Row],[Route]]=ClosureLocation!$B$3, ClosureLocation!$B$6 &gt;= Table4[[#This Row],[StartMP]], ClosureLocation!$B$6 &lt;= Table4[[#This Row],[EndMP]]), "Yes", "")</f>
        <v/>
      </c>
      <c r="Q251" s="1" t="str">
        <f>IF( AND( Table4[[#This Row],[Route]]=ClosureLocation!$B$3, ClosureLocation!$B$6 &lt;= Table4[[#This Row],[StartMP]], ClosureLocation!$B$6 &gt;= Table4[[#This Row],[EndMP]]), "Yes", "")</f>
        <v/>
      </c>
      <c r="R251" s="1" t="str">
        <f>IF( OR( Table4[[#This Row],[PrimaryMatch]]="Yes", Table4[[#This Row],[SecondaryMatch]]="Yes"), "Yes", "")</f>
        <v/>
      </c>
    </row>
    <row r="252" spans="1:18" hidden="1" x14ac:dyDescent="0.25">
      <c r="A252" t="s">
        <v>709</v>
      </c>
      <c r="B252" t="s">
        <v>3205</v>
      </c>
      <c r="C252" t="s">
        <v>3206</v>
      </c>
      <c r="D252" t="s">
        <v>3685</v>
      </c>
      <c r="E252" s="1">
        <v>41.478999999999999</v>
      </c>
      <c r="F252" s="1">
        <v>67.141999999999996</v>
      </c>
      <c r="G252">
        <v>3</v>
      </c>
      <c r="H252">
        <v>3</v>
      </c>
      <c r="I252" t="s">
        <v>2505</v>
      </c>
      <c r="J252" t="s">
        <v>1699</v>
      </c>
      <c r="K252" s="39">
        <v>65.759784999999994</v>
      </c>
      <c r="L252" s="1">
        <v>58.485435000000003</v>
      </c>
      <c r="M252" s="1" t="s">
        <v>3687</v>
      </c>
      <c r="N252" s="1">
        <v>41.478999999999999</v>
      </c>
      <c r="O252" s="1">
        <f>ABS(Table4[[#This Row],[EndMP]]-Table4[[#This Row],[StartMP]])</f>
        <v>25.662999999999997</v>
      </c>
      <c r="P252" s="1" t="str">
        <f>IF( AND( Table4[[#This Row],[Route]]=ClosureLocation!$B$3, ClosureLocation!$B$6 &gt;= Table4[[#This Row],[StartMP]], ClosureLocation!$B$6 &lt;= Table4[[#This Row],[EndMP]]), "Yes", "")</f>
        <v/>
      </c>
      <c r="Q252" s="1" t="str">
        <f>IF( AND( Table4[[#This Row],[Route]]=ClosureLocation!$B$3, ClosureLocation!$B$6 &lt;= Table4[[#This Row],[StartMP]], ClosureLocation!$B$6 &gt;= Table4[[#This Row],[EndMP]]), "Yes", "")</f>
        <v/>
      </c>
      <c r="R252" s="1" t="str">
        <f>IF( OR( Table4[[#This Row],[PrimaryMatch]]="Yes", Table4[[#This Row],[SecondaryMatch]]="Yes"), "Yes", "")</f>
        <v/>
      </c>
    </row>
    <row r="253" spans="1:18" hidden="1" x14ac:dyDescent="0.25">
      <c r="A253" t="s">
        <v>709</v>
      </c>
      <c r="B253" t="s">
        <v>3209</v>
      </c>
      <c r="C253" t="s">
        <v>3210</v>
      </c>
      <c r="D253" t="s">
        <v>3688</v>
      </c>
      <c r="E253" s="1">
        <v>67.141999999999996</v>
      </c>
      <c r="F253" s="1">
        <v>41.478999999999999</v>
      </c>
      <c r="G253">
        <v>1</v>
      </c>
      <c r="H253">
        <v>4</v>
      </c>
      <c r="I253" t="s">
        <v>2506</v>
      </c>
      <c r="J253" t="s">
        <v>1699</v>
      </c>
      <c r="K253" s="39">
        <v>65.515910000000005</v>
      </c>
      <c r="L253" s="1">
        <v>58.369118999999998</v>
      </c>
      <c r="M253" s="1" t="s">
        <v>3689</v>
      </c>
      <c r="N253" s="1">
        <v>932.85799999999995</v>
      </c>
      <c r="O253" s="1">
        <f>ABS(Table4[[#This Row],[EndMP]]-Table4[[#This Row],[StartMP]])</f>
        <v>25.662999999999997</v>
      </c>
      <c r="P253" s="1" t="str">
        <f>IF( AND( Table4[[#This Row],[Route]]=ClosureLocation!$B$3, ClosureLocation!$B$6 &gt;= Table4[[#This Row],[StartMP]], ClosureLocation!$B$6 &lt;= Table4[[#This Row],[EndMP]]), "Yes", "")</f>
        <v/>
      </c>
      <c r="Q253" s="1" t="str">
        <f>IF( AND( Table4[[#This Row],[Route]]=ClosureLocation!$B$3, ClosureLocation!$B$6 &lt;= Table4[[#This Row],[StartMP]], ClosureLocation!$B$6 &gt;= Table4[[#This Row],[EndMP]]), "Yes", "")</f>
        <v/>
      </c>
      <c r="R253" s="1" t="str">
        <f>IF( OR( Table4[[#This Row],[PrimaryMatch]]="Yes", Table4[[#This Row],[SecondaryMatch]]="Yes"), "Yes", "")</f>
        <v/>
      </c>
    </row>
    <row r="254" spans="1:18" hidden="1" x14ac:dyDescent="0.25">
      <c r="A254" t="s">
        <v>942</v>
      </c>
      <c r="B254" t="s">
        <v>3205</v>
      </c>
      <c r="C254" t="s">
        <v>3222</v>
      </c>
      <c r="D254" t="s">
        <v>3843</v>
      </c>
      <c r="E254" s="1">
        <v>0</v>
      </c>
      <c r="F254" s="1">
        <v>12.71</v>
      </c>
      <c r="G254">
        <v>1</v>
      </c>
      <c r="H254">
        <v>1</v>
      </c>
      <c r="I254" t="s">
        <v>2747</v>
      </c>
      <c r="J254" t="s">
        <v>1724</v>
      </c>
      <c r="K254" s="39">
        <v>65.031182000000001</v>
      </c>
      <c r="L254" s="1">
        <v>53.142507999999999</v>
      </c>
      <c r="M254" s="1" t="s">
        <v>3844</v>
      </c>
      <c r="N254" s="1">
        <v>0</v>
      </c>
      <c r="O254" s="1">
        <f>ABS(Table4[[#This Row],[EndMP]]-Table4[[#This Row],[StartMP]])</f>
        <v>12.71</v>
      </c>
      <c r="P254" s="1" t="str">
        <f>IF( AND( Table4[[#This Row],[Route]]=ClosureLocation!$B$3, ClosureLocation!$B$6 &gt;= Table4[[#This Row],[StartMP]], ClosureLocation!$B$6 &lt;= Table4[[#This Row],[EndMP]]), "Yes", "")</f>
        <v/>
      </c>
      <c r="Q254" s="1" t="str">
        <f>IF( AND( Table4[[#This Row],[Route]]=ClosureLocation!$B$3, ClosureLocation!$B$6 &lt;= Table4[[#This Row],[StartMP]], ClosureLocation!$B$6 &gt;= Table4[[#This Row],[EndMP]]), "Yes", "")</f>
        <v/>
      </c>
      <c r="R254" s="1" t="str">
        <f>IF( OR( Table4[[#This Row],[PrimaryMatch]]="Yes", Table4[[#This Row],[SecondaryMatch]]="Yes"), "Yes", "")</f>
        <v/>
      </c>
    </row>
    <row r="255" spans="1:18" hidden="1" x14ac:dyDescent="0.25">
      <c r="A255" t="s">
        <v>942</v>
      </c>
      <c r="B255" t="s">
        <v>3209</v>
      </c>
      <c r="C255" t="s">
        <v>3226</v>
      </c>
      <c r="D255" t="s">
        <v>3845</v>
      </c>
      <c r="E255" s="1">
        <v>12.71</v>
      </c>
      <c r="F255" s="1">
        <v>0</v>
      </c>
      <c r="G255">
        <v>2</v>
      </c>
      <c r="H255">
        <v>2</v>
      </c>
      <c r="I255" t="s">
        <v>2750</v>
      </c>
      <c r="J255" t="s">
        <v>1724</v>
      </c>
      <c r="K255" s="39">
        <v>64.721140000000005</v>
      </c>
      <c r="L255" s="1">
        <v>52.983890000000002</v>
      </c>
      <c r="M255" s="1" t="s">
        <v>3846</v>
      </c>
      <c r="N255" s="1">
        <v>987.29</v>
      </c>
      <c r="O255" s="1">
        <f>ABS(Table4[[#This Row],[EndMP]]-Table4[[#This Row],[StartMP]])</f>
        <v>12.71</v>
      </c>
      <c r="P255" s="1" t="str">
        <f>IF( AND( Table4[[#This Row],[Route]]=ClosureLocation!$B$3, ClosureLocation!$B$6 &gt;= Table4[[#This Row],[StartMP]], ClosureLocation!$B$6 &lt;= Table4[[#This Row],[EndMP]]), "Yes", "")</f>
        <v/>
      </c>
      <c r="Q255" s="1" t="str">
        <f>IF( AND( Table4[[#This Row],[Route]]=ClosureLocation!$B$3, ClosureLocation!$B$6 &lt;= Table4[[#This Row],[StartMP]], ClosureLocation!$B$6 &gt;= Table4[[#This Row],[EndMP]]), "Yes", "")</f>
        <v/>
      </c>
      <c r="R255" s="1" t="str">
        <f>IF( OR( Table4[[#This Row],[PrimaryMatch]]="Yes", Table4[[#This Row],[SecondaryMatch]]="Yes"), "Yes", "")</f>
        <v/>
      </c>
    </row>
    <row r="256" spans="1:18" hidden="1" x14ac:dyDescent="0.25">
      <c r="A256" t="s">
        <v>776</v>
      </c>
      <c r="B256" t="s">
        <v>3209</v>
      </c>
      <c r="C256" t="s">
        <v>3226</v>
      </c>
      <c r="D256" t="s">
        <v>3749</v>
      </c>
      <c r="E256" s="1">
        <v>449.589</v>
      </c>
      <c r="F256" s="1">
        <v>438.41800000000001</v>
      </c>
      <c r="G256">
        <v>1</v>
      </c>
      <c r="H256">
        <v>54</v>
      </c>
      <c r="I256" t="s">
        <v>2600</v>
      </c>
      <c r="J256" t="s">
        <v>1694</v>
      </c>
      <c r="K256" s="39">
        <v>64.575744999999998</v>
      </c>
      <c r="L256" s="1">
        <v>18.682227000000001</v>
      </c>
      <c r="M256" s="58" t="s">
        <v>4968</v>
      </c>
      <c r="N256" s="1">
        <v>550.41099999999994</v>
      </c>
      <c r="O256" s="1">
        <f>ABS(Table4[[#This Row],[EndMP]]-Table4[[#This Row],[StartMP]])</f>
        <v>11.170999999999992</v>
      </c>
      <c r="P256" s="1" t="str">
        <f>IF( AND( Table4[[#This Row],[Route]]=ClosureLocation!$B$3, ClosureLocation!$B$6 &gt;= Table4[[#This Row],[StartMP]], ClosureLocation!$B$6 &lt;= Table4[[#This Row],[EndMP]]), "Yes", "")</f>
        <v/>
      </c>
      <c r="Q256" s="1" t="str">
        <f>IF( AND( Table4[[#This Row],[Route]]=ClosureLocation!$B$3, ClosureLocation!$B$6 &lt;= Table4[[#This Row],[StartMP]], ClosureLocation!$B$6 &gt;= Table4[[#This Row],[EndMP]]), "Yes", "")</f>
        <v/>
      </c>
      <c r="R256" s="1" t="str">
        <f>IF( OR( Table4[[#This Row],[PrimaryMatch]]="Yes", Table4[[#This Row],[SecondaryMatch]]="Yes"), "Yes", "")</f>
        <v/>
      </c>
    </row>
    <row r="257" spans="1:18" hidden="1" x14ac:dyDescent="0.25">
      <c r="A257" t="s">
        <v>776</v>
      </c>
      <c r="B257" t="s">
        <v>3205</v>
      </c>
      <c r="C257" t="s">
        <v>3222</v>
      </c>
      <c r="D257" t="s">
        <v>3748</v>
      </c>
      <c r="E257" s="1">
        <v>438.41800000000001</v>
      </c>
      <c r="F257" s="1">
        <v>449.589</v>
      </c>
      <c r="G257">
        <v>53</v>
      </c>
      <c r="H257">
        <v>53</v>
      </c>
      <c r="I257" t="s">
        <v>2599</v>
      </c>
      <c r="J257" t="s">
        <v>1694</v>
      </c>
      <c r="K257" s="39">
        <v>64.443776999999997</v>
      </c>
      <c r="L257" s="1">
        <v>18.584543</v>
      </c>
      <c r="M257" s="58" t="s">
        <v>4967</v>
      </c>
      <c r="N257" s="1">
        <v>438.41800000000001</v>
      </c>
      <c r="O257" s="1">
        <f>ABS(Table4[[#This Row],[EndMP]]-Table4[[#This Row],[StartMP]])</f>
        <v>11.170999999999992</v>
      </c>
      <c r="P257" s="1" t="str">
        <f>IF( AND( Table4[[#This Row],[Route]]=ClosureLocation!$B$3, ClosureLocation!$B$6 &gt;= Table4[[#This Row],[StartMP]], ClosureLocation!$B$6 &lt;= Table4[[#This Row],[EndMP]]), "Yes", "")</f>
        <v/>
      </c>
      <c r="Q257" s="1" t="str">
        <f>IF( AND( Table4[[#This Row],[Route]]=ClosureLocation!$B$3, ClosureLocation!$B$6 &lt;= Table4[[#This Row],[StartMP]], ClosureLocation!$B$6 &gt;= Table4[[#This Row],[EndMP]]), "Yes", "")</f>
        <v/>
      </c>
      <c r="R257" s="1" t="str">
        <f>IF( OR( Table4[[#This Row],[PrimaryMatch]]="Yes", Table4[[#This Row],[SecondaryMatch]]="Yes"), "Yes", "")</f>
        <v/>
      </c>
    </row>
    <row r="258" spans="1:18" hidden="1" x14ac:dyDescent="0.25">
      <c r="A258" t="s">
        <v>1037</v>
      </c>
      <c r="B258" t="s">
        <v>3205</v>
      </c>
      <c r="C258" t="s">
        <v>3206</v>
      </c>
      <c r="D258" t="s">
        <v>3932</v>
      </c>
      <c r="E258" s="1">
        <v>0</v>
      </c>
      <c r="F258" s="1">
        <v>34.340000000000003</v>
      </c>
      <c r="G258">
        <v>1</v>
      </c>
      <c r="H258">
        <v>1</v>
      </c>
      <c r="I258" t="s">
        <v>2817</v>
      </c>
      <c r="J258" t="s">
        <v>1689</v>
      </c>
      <c r="K258" s="39">
        <v>63.217410000000001</v>
      </c>
      <c r="L258" s="1">
        <v>57.612822999999999</v>
      </c>
      <c r="M258" s="1" t="s">
        <v>3933</v>
      </c>
      <c r="N258" s="1">
        <v>0</v>
      </c>
      <c r="O258" s="1">
        <f>ABS(Table4[[#This Row],[EndMP]]-Table4[[#This Row],[StartMP]])</f>
        <v>34.340000000000003</v>
      </c>
      <c r="P258" s="1" t="str">
        <f>IF( AND( Table4[[#This Row],[Route]]=ClosureLocation!$B$3, ClosureLocation!$B$6 &gt;= Table4[[#This Row],[StartMP]], ClosureLocation!$B$6 &lt;= Table4[[#This Row],[EndMP]]), "Yes", "")</f>
        <v/>
      </c>
      <c r="Q258" s="1" t="str">
        <f>IF( AND( Table4[[#This Row],[Route]]=ClosureLocation!$B$3, ClosureLocation!$B$6 &lt;= Table4[[#This Row],[StartMP]], ClosureLocation!$B$6 &gt;= Table4[[#This Row],[EndMP]]), "Yes", "")</f>
        <v/>
      </c>
      <c r="R258" s="1" t="str">
        <f>IF( OR( Table4[[#This Row],[PrimaryMatch]]="Yes", Table4[[#This Row],[SecondaryMatch]]="Yes"), "Yes", "")</f>
        <v/>
      </c>
    </row>
    <row r="259" spans="1:18" hidden="1" x14ac:dyDescent="0.25">
      <c r="A259" t="s">
        <v>1037</v>
      </c>
      <c r="B259" t="s">
        <v>3209</v>
      </c>
      <c r="C259" t="s">
        <v>3210</v>
      </c>
      <c r="D259" t="s">
        <v>3934</v>
      </c>
      <c r="E259" s="1">
        <v>34.340000000000003</v>
      </c>
      <c r="F259" s="1">
        <v>0</v>
      </c>
      <c r="G259">
        <v>1</v>
      </c>
      <c r="H259">
        <v>2</v>
      </c>
      <c r="I259" t="s">
        <v>2818</v>
      </c>
      <c r="J259" t="s">
        <v>1689</v>
      </c>
      <c r="K259" s="39">
        <v>63.217216999999998</v>
      </c>
      <c r="L259" s="1">
        <v>57.612822999999999</v>
      </c>
      <c r="M259" s="1" t="s">
        <v>3935</v>
      </c>
      <c r="N259" s="1">
        <v>965.66</v>
      </c>
      <c r="O259" s="1">
        <f>ABS(Table4[[#This Row],[EndMP]]-Table4[[#This Row],[StartMP]])</f>
        <v>34.340000000000003</v>
      </c>
      <c r="P259" s="1" t="str">
        <f>IF( AND( Table4[[#This Row],[Route]]=ClosureLocation!$B$3, ClosureLocation!$B$6 &gt;= Table4[[#This Row],[StartMP]], ClosureLocation!$B$6 &lt;= Table4[[#This Row],[EndMP]]), "Yes", "")</f>
        <v/>
      </c>
      <c r="Q259" s="1" t="str">
        <f>IF( AND( Table4[[#This Row],[Route]]=ClosureLocation!$B$3, ClosureLocation!$B$6 &lt;= Table4[[#This Row],[StartMP]], ClosureLocation!$B$6 &gt;= Table4[[#This Row],[EndMP]]), "Yes", "")</f>
        <v/>
      </c>
      <c r="R259" s="1" t="str">
        <f>IF( OR( Table4[[#This Row],[PrimaryMatch]]="Yes", Table4[[#This Row],[SecondaryMatch]]="Yes"), "Yes", "")</f>
        <v/>
      </c>
    </row>
    <row r="260" spans="1:18" hidden="1" x14ac:dyDescent="0.25">
      <c r="A260" t="s">
        <v>1671</v>
      </c>
      <c r="B260" t="s">
        <v>3205</v>
      </c>
      <c r="C260" t="s">
        <v>3206</v>
      </c>
      <c r="D260" t="s">
        <v>4411</v>
      </c>
      <c r="E260" s="1">
        <v>36.801000000000002</v>
      </c>
      <c r="F260" s="1">
        <v>69.602000000000004</v>
      </c>
      <c r="G260">
        <v>3</v>
      </c>
      <c r="H260">
        <v>3</v>
      </c>
      <c r="I260" t="s">
        <v>3193</v>
      </c>
      <c r="J260" t="s">
        <v>1694</v>
      </c>
      <c r="K260" s="39">
        <v>63.195562000000002</v>
      </c>
      <c r="L260" s="1">
        <v>57.912761000000003</v>
      </c>
      <c r="M260" s="58" t="s">
        <v>4412</v>
      </c>
      <c r="N260" s="1">
        <v>36.801000000000002</v>
      </c>
      <c r="O260" s="1">
        <f>ABS(Table4[[#This Row],[EndMP]]-Table4[[#This Row],[StartMP]])</f>
        <v>32.801000000000002</v>
      </c>
      <c r="P260" s="1" t="str">
        <f>IF( AND( Table4[[#This Row],[Route]]=ClosureLocation!$B$3, ClosureLocation!$B$6 &gt;= Table4[[#This Row],[StartMP]], ClosureLocation!$B$6 &lt;= Table4[[#This Row],[EndMP]]), "Yes", "")</f>
        <v/>
      </c>
      <c r="Q260" s="1" t="str">
        <f>IF( AND( Table4[[#This Row],[Route]]=ClosureLocation!$B$3, ClosureLocation!$B$6 &lt;= Table4[[#This Row],[StartMP]], ClosureLocation!$B$6 &gt;= Table4[[#This Row],[EndMP]]), "Yes", "")</f>
        <v/>
      </c>
      <c r="R260" s="1" t="str">
        <f>IF( OR( Table4[[#This Row],[PrimaryMatch]]="Yes", Table4[[#This Row],[SecondaryMatch]]="Yes"), "Yes", "")</f>
        <v/>
      </c>
    </row>
    <row r="261" spans="1:18" hidden="1" x14ac:dyDescent="0.25">
      <c r="A261" t="s">
        <v>1671</v>
      </c>
      <c r="B261" t="s">
        <v>3209</v>
      </c>
      <c r="C261" t="s">
        <v>3210</v>
      </c>
      <c r="D261" t="s">
        <v>4413</v>
      </c>
      <c r="E261" s="1">
        <v>69.602000000000004</v>
      </c>
      <c r="F261" s="1">
        <v>36.801000000000002</v>
      </c>
      <c r="G261">
        <v>1</v>
      </c>
      <c r="H261">
        <v>4</v>
      </c>
      <c r="I261" t="s">
        <v>3194</v>
      </c>
      <c r="J261" t="s">
        <v>1694</v>
      </c>
      <c r="K261" s="39">
        <v>63.181379</v>
      </c>
      <c r="L261" s="1">
        <v>57.912761000000003</v>
      </c>
      <c r="M261" s="58" t="s">
        <v>4414</v>
      </c>
      <c r="N261" s="1">
        <v>930.39800000000002</v>
      </c>
      <c r="O261" s="1">
        <f>ABS(Table4[[#This Row],[EndMP]]-Table4[[#This Row],[StartMP]])</f>
        <v>32.801000000000002</v>
      </c>
      <c r="P261" s="1" t="str">
        <f>IF( AND( Table4[[#This Row],[Route]]=ClosureLocation!$B$3, ClosureLocation!$B$6 &gt;= Table4[[#This Row],[StartMP]], ClosureLocation!$B$6 &lt;= Table4[[#This Row],[EndMP]]), "Yes", "")</f>
        <v/>
      </c>
      <c r="Q261" s="1" t="str">
        <f>IF( AND( Table4[[#This Row],[Route]]=ClosureLocation!$B$3, ClosureLocation!$B$6 &lt;= Table4[[#This Row],[StartMP]], ClosureLocation!$B$6 &gt;= Table4[[#This Row],[EndMP]]), "Yes", "")</f>
        <v/>
      </c>
      <c r="R261" s="1" t="str">
        <f>IF( OR( Table4[[#This Row],[PrimaryMatch]]="Yes", Table4[[#This Row],[SecondaryMatch]]="Yes"), "Yes", "")</f>
        <v/>
      </c>
    </row>
    <row r="262" spans="1:18" hidden="1" x14ac:dyDescent="0.25">
      <c r="A262" t="s">
        <v>1210</v>
      </c>
      <c r="B262" t="s">
        <v>3205</v>
      </c>
      <c r="C262" t="s">
        <v>3206</v>
      </c>
      <c r="D262" t="s">
        <v>4072</v>
      </c>
      <c r="E262" s="1">
        <v>5.2999999999999999E-2</v>
      </c>
      <c r="F262" s="1">
        <v>32.957999999999998</v>
      </c>
      <c r="G262">
        <v>1</v>
      </c>
      <c r="H262">
        <v>1</v>
      </c>
      <c r="I262" t="s">
        <v>2920</v>
      </c>
      <c r="J262" t="s">
        <v>1692</v>
      </c>
      <c r="K262" s="39">
        <v>60.245792000000002</v>
      </c>
      <c r="L262" s="1">
        <v>66.510339999999999</v>
      </c>
      <c r="M262" s="1" t="s">
        <v>4073</v>
      </c>
      <c r="N262" s="1">
        <v>5.2999999999999999E-2</v>
      </c>
      <c r="O262" s="1">
        <f>ABS(Table4[[#This Row],[EndMP]]-Table4[[#This Row],[StartMP]])</f>
        <v>32.905000000000001</v>
      </c>
      <c r="P262" s="1" t="str">
        <f>IF( AND( Table4[[#This Row],[Route]]=ClosureLocation!$B$3, ClosureLocation!$B$6 &gt;= Table4[[#This Row],[StartMP]], ClosureLocation!$B$6 &lt;= Table4[[#This Row],[EndMP]]), "Yes", "")</f>
        <v/>
      </c>
      <c r="Q262" s="1" t="str">
        <f>IF( AND( Table4[[#This Row],[Route]]=ClosureLocation!$B$3, ClosureLocation!$B$6 &lt;= Table4[[#This Row],[StartMP]], ClosureLocation!$B$6 &gt;= Table4[[#This Row],[EndMP]]), "Yes", "")</f>
        <v/>
      </c>
      <c r="R262" s="1" t="str">
        <f>IF( OR( Table4[[#This Row],[PrimaryMatch]]="Yes", Table4[[#This Row],[SecondaryMatch]]="Yes"), "Yes", "")</f>
        <v/>
      </c>
    </row>
    <row r="263" spans="1:18" hidden="1" x14ac:dyDescent="0.25">
      <c r="A263" t="s">
        <v>1210</v>
      </c>
      <c r="B263" t="s">
        <v>3209</v>
      </c>
      <c r="C263" t="s">
        <v>3210</v>
      </c>
      <c r="D263" t="s">
        <v>4075</v>
      </c>
      <c r="E263" s="1">
        <v>68.721000000000004</v>
      </c>
      <c r="F263" s="1">
        <v>5.2999999999999999E-2</v>
      </c>
      <c r="G263">
        <v>1</v>
      </c>
      <c r="H263">
        <v>3</v>
      </c>
      <c r="I263" t="s">
        <v>2922</v>
      </c>
      <c r="J263" t="s">
        <v>1692</v>
      </c>
      <c r="K263" s="39">
        <v>59.142519</v>
      </c>
      <c r="L263" s="1">
        <v>66.142754999999994</v>
      </c>
      <c r="M263" s="1" t="s">
        <v>4076</v>
      </c>
      <c r="N263" s="1">
        <v>931.279</v>
      </c>
      <c r="O263" s="1">
        <f>ABS(Table4[[#This Row],[EndMP]]-Table4[[#This Row],[StartMP]])</f>
        <v>68.668000000000006</v>
      </c>
      <c r="P263" s="1" t="str">
        <f>IF( AND( Table4[[#This Row],[Route]]=ClosureLocation!$B$3, ClosureLocation!$B$6 &gt;= Table4[[#This Row],[StartMP]], ClosureLocation!$B$6 &lt;= Table4[[#This Row],[EndMP]]), "Yes", "")</f>
        <v/>
      </c>
      <c r="Q263" s="1" t="str">
        <f>IF( AND( Table4[[#This Row],[Route]]=ClosureLocation!$B$3, ClosureLocation!$B$6 &lt;= Table4[[#This Row],[StartMP]], ClosureLocation!$B$6 &gt;= Table4[[#This Row],[EndMP]]), "Yes", "")</f>
        <v/>
      </c>
      <c r="R263" s="1" t="str">
        <f>IF( OR( Table4[[#This Row],[PrimaryMatch]]="Yes", Table4[[#This Row],[SecondaryMatch]]="Yes"), "Yes", "")</f>
        <v/>
      </c>
    </row>
    <row r="264" spans="1:18" hidden="1" x14ac:dyDescent="0.25">
      <c r="A264" t="s">
        <v>894</v>
      </c>
      <c r="B264" t="s">
        <v>3209</v>
      </c>
      <c r="C264" t="s">
        <v>3210</v>
      </c>
      <c r="D264" t="s">
        <v>3814</v>
      </c>
      <c r="E264" s="1">
        <v>174.357</v>
      </c>
      <c r="F264" s="1">
        <v>138.011</v>
      </c>
      <c r="G264">
        <v>1</v>
      </c>
      <c r="H264">
        <v>3</v>
      </c>
      <c r="I264" t="s">
        <v>2690</v>
      </c>
      <c r="J264" t="s">
        <v>1699</v>
      </c>
      <c r="K264" s="39">
        <v>59.009214999999998</v>
      </c>
      <c r="L264" s="1">
        <v>89.845215999999994</v>
      </c>
      <c r="M264" s="1" t="s">
        <v>3815</v>
      </c>
      <c r="N264" s="1">
        <v>825.64300000000003</v>
      </c>
      <c r="O264" s="1">
        <f>ABS(Table4[[#This Row],[EndMP]]-Table4[[#This Row],[StartMP]])</f>
        <v>36.346000000000004</v>
      </c>
      <c r="P264" s="1" t="str">
        <f>IF( AND( Table4[[#This Row],[Route]]=ClosureLocation!$B$3, ClosureLocation!$B$6 &gt;= Table4[[#This Row],[StartMP]], ClosureLocation!$B$6 &lt;= Table4[[#This Row],[EndMP]]), "Yes", "")</f>
        <v/>
      </c>
      <c r="Q264" s="1" t="str">
        <f>IF( AND( Table4[[#This Row],[Route]]=ClosureLocation!$B$3, ClosureLocation!$B$6 &lt;= Table4[[#This Row],[StartMP]], ClosureLocation!$B$6 &gt;= Table4[[#This Row],[EndMP]]), "Yes", "")</f>
        <v/>
      </c>
      <c r="R264" s="1" t="str">
        <f>IF( OR( Table4[[#This Row],[PrimaryMatch]]="Yes", Table4[[#This Row],[SecondaryMatch]]="Yes"), "Yes", "")</f>
        <v/>
      </c>
    </row>
    <row r="265" spans="1:18" hidden="1" x14ac:dyDescent="0.25">
      <c r="A265" t="s">
        <v>1222</v>
      </c>
      <c r="B265" t="s">
        <v>3209</v>
      </c>
      <c r="C265" t="s">
        <v>3210</v>
      </c>
      <c r="D265" t="s">
        <v>4079</v>
      </c>
      <c r="E265" s="1">
        <v>68.820999999999998</v>
      </c>
      <c r="F265" s="1">
        <v>0</v>
      </c>
      <c r="G265">
        <v>1</v>
      </c>
      <c r="H265">
        <v>3</v>
      </c>
      <c r="I265" t="s">
        <v>2925</v>
      </c>
      <c r="J265" t="s">
        <v>1693</v>
      </c>
      <c r="K265" s="39">
        <v>58.522416</v>
      </c>
      <c r="L265" s="1">
        <v>84.835324</v>
      </c>
      <c r="M265" s="1" t="s">
        <v>4080</v>
      </c>
      <c r="N265" s="1">
        <v>931.17899999999997</v>
      </c>
      <c r="O265" s="1">
        <f>ABS(Table4[[#This Row],[EndMP]]-Table4[[#This Row],[StartMP]])</f>
        <v>68.820999999999998</v>
      </c>
      <c r="P265" s="1" t="str">
        <f>IF( AND( Table4[[#This Row],[Route]]=ClosureLocation!$B$3, ClosureLocation!$B$6 &gt;= Table4[[#This Row],[StartMP]], ClosureLocation!$B$6 &lt;= Table4[[#This Row],[EndMP]]), "Yes", "")</f>
        <v/>
      </c>
      <c r="Q265" s="1" t="str">
        <f>IF( AND( Table4[[#This Row],[Route]]=ClosureLocation!$B$3, ClosureLocation!$B$6 &lt;= Table4[[#This Row],[StartMP]], ClosureLocation!$B$6 &gt;= Table4[[#This Row],[EndMP]]), "Yes", "")</f>
        <v/>
      </c>
      <c r="R265" s="1" t="str">
        <f>IF( OR( Table4[[#This Row],[PrimaryMatch]]="Yes", Table4[[#This Row],[SecondaryMatch]]="Yes"), "Yes", "")</f>
        <v/>
      </c>
    </row>
    <row r="266" spans="1:18" hidden="1" x14ac:dyDescent="0.25">
      <c r="A266" t="s">
        <v>776</v>
      </c>
      <c r="B266" t="s">
        <v>3205</v>
      </c>
      <c r="C266" t="s">
        <v>3222</v>
      </c>
      <c r="D266" t="s">
        <v>3748</v>
      </c>
      <c r="E266" s="1">
        <v>363.31400000000002</v>
      </c>
      <c r="F266" s="1">
        <v>404.71499999999997</v>
      </c>
      <c r="G266">
        <v>47</v>
      </c>
      <c r="H266">
        <v>47</v>
      </c>
      <c r="I266" t="s">
        <v>2592</v>
      </c>
      <c r="J266" t="s">
        <v>1694</v>
      </c>
      <c r="K266" s="39">
        <v>58.408150999999997</v>
      </c>
      <c r="L266" s="1">
        <v>14.304853</v>
      </c>
      <c r="M266" s="1" t="s">
        <v>4491</v>
      </c>
      <c r="N266" s="1">
        <v>363.31400000000002</v>
      </c>
      <c r="O266" s="1">
        <f>ABS(Table4[[#This Row],[EndMP]]-Table4[[#This Row],[StartMP]])</f>
        <v>41.400999999999954</v>
      </c>
      <c r="P266" s="1" t="str">
        <f>IF( AND( Table4[[#This Row],[Route]]=ClosureLocation!$B$3, ClosureLocation!$B$6 &gt;= Table4[[#This Row],[StartMP]], ClosureLocation!$B$6 &lt;= Table4[[#This Row],[EndMP]]), "Yes", "")</f>
        <v/>
      </c>
      <c r="Q266" s="1" t="str">
        <f>IF( AND( Table4[[#This Row],[Route]]=ClosureLocation!$B$3, ClosureLocation!$B$6 &lt;= Table4[[#This Row],[StartMP]], ClosureLocation!$B$6 &gt;= Table4[[#This Row],[EndMP]]), "Yes", "")</f>
        <v/>
      </c>
      <c r="R266" s="1" t="str">
        <f>IF( OR( Table4[[#This Row],[PrimaryMatch]]="Yes", Table4[[#This Row],[SecondaryMatch]]="Yes"), "Yes", "")</f>
        <v/>
      </c>
    </row>
    <row r="267" spans="1:18" hidden="1" x14ac:dyDescent="0.25">
      <c r="A267" t="s">
        <v>1090</v>
      </c>
      <c r="B267" t="s">
        <v>3205</v>
      </c>
      <c r="C267" t="s">
        <v>3222</v>
      </c>
      <c r="D267" t="s">
        <v>3985</v>
      </c>
      <c r="E267" s="1">
        <v>193.85</v>
      </c>
      <c r="F267" s="1">
        <v>207.45400000000001</v>
      </c>
      <c r="G267">
        <v>2</v>
      </c>
      <c r="H267">
        <v>2</v>
      </c>
      <c r="I267" t="s">
        <v>2855</v>
      </c>
      <c r="J267" t="s">
        <v>1695</v>
      </c>
      <c r="K267" s="39">
        <v>58.289786999999997</v>
      </c>
      <c r="L267" s="1">
        <v>56.413226999999999</v>
      </c>
      <c r="M267" s="58" t="s">
        <v>3986</v>
      </c>
      <c r="N267" s="1">
        <v>193.85</v>
      </c>
      <c r="O267" s="1">
        <f>ABS(Table4[[#This Row],[EndMP]]-Table4[[#This Row],[StartMP]])</f>
        <v>13.604000000000013</v>
      </c>
      <c r="P267" s="1" t="str">
        <f>IF( AND( Table4[[#This Row],[Route]]=ClosureLocation!$B$3, ClosureLocation!$B$6 &gt;= Table4[[#This Row],[StartMP]], ClosureLocation!$B$6 &lt;= Table4[[#This Row],[EndMP]]), "Yes", "")</f>
        <v/>
      </c>
      <c r="Q267" s="1" t="str">
        <f>IF( AND( Table4[[#This Row],[Route]]=ClosureLocation!$B$3, ClosureLocation!$B$6 &lt;= Table4[[#This Row],[StartMP]], ClosureLocation!$B$6 &gt;= Table4[[#This Row],[EndMP]]), "Yes", "")</f>
        <v/>
      </c>
      <c r="R267" s="1" t="str">
        <f>IF( OR( Table4[[#This Row],[PrimaryMatch]]="Yes", Table4[[#This Row],[SecondaryMatch]]="Yes"), "Yes", "")</f>
        <v/>
      </c>
    </row>
    <row r="268" spans="1:18" hidden="1" x14ac:dyDescent="0.25">
      <c r="A268" t="s">
        <v>1090</v>
      </c>
      <c r="B268" t="s">
        <v>3209</v>
      </c>
      <c r="C268" t="s">
        <v>3226</v>
      </c>
      <c r="D268" t="s">
        <v>3987</v>
      </c>
      <c r="E268" s="1">
        <v>207.45400000000001</v>
      </c>
      <c r="F268" s="1">
        <v>193.85</v>
      </c>
      <c r="G268">
        <v>1</v>
      </c>
      <c r="H268">
        <v>3</v>
      </c>
      <c r="I268" t="s">
        <v>2856</v>
      </c>
      <c r="J268" t="s">
        <v>1695</v>
      </c>
      <c r="K268" s="39">
        <v>58.289768000000002</v>
      </c>
      <c r="L268" s="1">
        <v>56.413226999999999</v>
      </c>
      <c r="M268" s="58" t="s">
        <v>3988</v>
      </c>
      <c r="N268" s="1">
        <v>792.54600000000005</v>
      </c>
      <c r="O268" s="1">
        <f>ABS(Table4[[#This Row],[EndMP]]-Table4[[#This Row],[StartMP]])</f>
        <v>13.604000000000013</v>
      </c>
      <c r="P268" s="1" t="str">
        <f>IF( AND( Table4[[#This Row],[Route]]=ClosureLocation!$B$3, ClosureLocation!$B$6 &gt;= Table4[[#This Row],[StartMP]], ClosureLocation!$B$6 &lt;= Table4[[#This Row],[EndMP]]), "Yes", "")</f>
        <v/>
      </c>
      <c r="Q268" s="1" t="str">
        <f>IF( AND( Table4[[#This Row],[Route]]=ClosureLocation!$B$3, ClosureLocation!$B$6 &lt;= Table4[[#This Row],[StartMP]], ClosureLocation!$B$6 &gt;= Table4[[#This Row],[EndMP]]), "Yes", "")</f>
        <v/>
      </c>
      <c r="R268" s="1" t="str">
        <f>IF( OR( Table4[[#This Row],[PrimaryMatch]]="Yes", Table4[[#This Row],[SecondaryMatch]]="Yes"), "Yes", "")</f>
        <v/>
      </c>
    </row>
    <row r="269" spans="1:18" hidden="1" x14ac:dyDescent="0.25">
      <c r="A269" t="s">
        <v>1222</v>
      </c>
      <c r="B269" t="s">
        <v>3205</v>
      </c>
      <c r="C269" t="s">
        <v>3206</v>
      </c>
      <c r="D269" t="s">
        <v>4077</v>
      </c>
      <c r="E269" s="1">
        <v>0</v>
      </c>
      <c r="F269" s="1">
        <v>68.820999999999998</v>
      </c>
      <c r="G269">
        <v>1</v>
      </c>
      <c r="H269">
        <v>1</v>
      </c>
      <c r="I269" t="s">
        <v>2923</v>
      </c>
      <c r="J269" t="s">
        <v>1693</v>
      </c>
      <c r="K269" s="39">
        <v>58.210450999999999</v>
      </c>
      <c r="L269" s="1">
        <v>84.609365999999994</v>
      </c>
      <c r="M269" s="1" t="s">
        <v>4078</v>
      </c>
      <c r="N269" s="1">
        <v>0</v>
      </c>
      <c r="O269" s="1">
        <f>ABS(Table4[[#This Row],[EndMP]]-Table4[[#This Row],[StartMP]])</f>
        <v>68.820999999999998</v>
      </c>
      <c r="P269" s="1" t="str">
        <f>IF( AND( Table4[[#This Row],[Route]]=ClosureLocation!$B$3, ClosureLocation!$B$6 &gt;= Table4[[#This Row],[StartMP]], ClosureLocation!$B$6 &lt;= Table4[[#This Row],[EndMP]]), "Yes", "")</f>
        <v/>
      </c>
      <c r="Q269" s="1" t="str">
        <f>IF( AND( Table4[[#This Row],[Route]]=ClosureLocation!$B$3, ClosureLocation!$B$6 &lt;= Table4[[#This Row],[StartMP]], ClosureLocation!$B$6 &gt;= Table4[[#This Row],[EndMP]]), "Yes", "")</f>
        <v/>
      </c>
      <c r="R269" s="1" t="str">
        <f>IF( OR( Table4[[#This Row],[PrimaryMatch]]="Yes", Table4[[#This Row],[SecondaryMatch]]="Yes"), "Yes", "")</f>
        <v/>
      </c>
    </row>
    <row r="270" spans="1:18" hidden="1" x14ac:dyDescent="0.25">
      <c r="A270" t="s">
        <v>776</v>
      </c>
      <c r="B270" t="s">
        <v>3209</v>
      </c>
      <c r="C270" t="s">
        <v>3226</v>
      </c>
      <c r="D270" t="s">
        <v>3749</v>
      </c>
      <c r="E270" s="1">
        <v>404.77</v>
      </c>
      <c r="F270" s="1">
        <v>363.25900000000001</v>
      </c>
      <c r="G270">
        <v>7</v>
      </c>
      <c r="H270">
        <v>60</v>
      </c>
      <c r="I270" t="s">
        <v>2606</v>
      </c>
      <c r="J270" t="s">
        <v>1694</v>
      </c>
      <c r="K270" s="39">
        <v>57.994599000000001</v>
      </c>
      <c r="L270" s="1">
        <v>14.079594</v>
      </c>
      <c r="M270" s="1" t="s">
        <v>4502</v>
      </c>
      <c r="N270" s="1">
        <v>595.23</v>
      </c>
      <c r="O270" s="1">
        <f>ABS(Table4[[#This Row],[EndMP]]-Table4[[#This Row],[StartMP]])</f>
        <v>41.510999999999967</v>
      </c>
      <c r="P270" s="1" t="str">
        <f>IF( AND( Table4[[#This Row],[Route]]=ClosureLocation!$B$3, ClosureLocation!$B$6 &gt;= Table4[[#This Row],[StartMP]], ClosureLocation!$B$6 &lt;= Table4[[#This Row],[EndMP]]), "Yes", "")</f>
        <v/>
      </c>
      <c r="Q270" s="1" t="str">
        <f>IF( AND( Table4[[#This Row],[Route]]=ClosureLocation!$B$3, ClosureLocation!$B$6 &lt;= Table4[[#This Row],[StartMP]], ClosureLocation!$B$6 &gt;= Table4[[#This Row],[EndMP]]), "Yes", "")</f>
        <v/>
      </c>
      <c r="R270" s="1" t="str">
        <f>IF( OR( Table4[[#This Row],[PrimaryMatch]]="Yes", Table4[[#This Row],[SecondaryMatch]]="Yes"), "Yes", "")</f>
        <v/>
      </c>
    </row>
    <row r="271" spans="1:18" hidden="1" x14ac:dyDescent="0.25">
      <c r="A271" t="s">
        <v>156</v>
      </c>
      <c r="B271" t="s">
        <v>3209</v>
      </c>
      <c r="C271" t="s">
        <v>3210</v>
      </c>
      <c r="D271" t="s">
        <v>3301</v>
      </c>
      <c r="E271" s="1">
        <v>46.98</v>
      </c>
      <c r="F271" s="1">
        <v>0</v>
      </c>
      <c r="G271">
        <v>1</v>
      </c>
      <c r="H271">
        <v>2</v>
      </c>
      <c r="I271" t="s">
        <v>2120</v>
      </c>
      <c r="J271" t="s">
        <v>1696</v>
      </c>
      <c r="K271" s="39">
        <v>57.485970999999999</v>
      </c>
      <c r="L271" s="1">
        <v>49.380693999999998</v>
      </c>
      <c r="M271" s="1" t="s">
        <v>3302</v>
      </c>
      <c r="N271" s="1">
        <v>953.02</v>
      </c>
      <c r="O271" s="1">
        <f>ABS(Table4[[#This Row],[EndMP]]-Table4[[#This Row],[StartMP]])</f>
        <v>46.98</v>
      </c>
      <c r="P271" s="1" t="str">
        <f>IF( AND( Table4[[#This Row],[Route]]=ClosureLocation!$B$3, ClosureLocation!$B$6 &gt;= Table4[[#This Row],[StartMP]], ClosureLocation!$B$6 &lt;= Table4[[#This Row],[EndMP]]), "Yes", "")</f>
        <v/>
      </c>
      <c r="Q271" s="1" t="str">
        <f>IF( AND( Table4[[#This Row],[Route]]=ClosureLocation!$B$3, ClosureLocation!$B$6 &lt;= Table4[[#This Row],[StartMP]], ClosureLocation!$B$6 &gt;= Table4[[#This Row],[EndMP]]), "Yes", "")</f>
        <v/>
      </c>
      <c r="R271" s="1" t="str">
        <f>IF( OR( Table4[[#This Row],[PrimaryMatch]]="Yes", Table4[[#This Row],[SecondaryMatch]]="Yes"), "Yes", "")</f>
        <v/>
      </c>
    </row>
    <row r="272" spans="1:18" hidden="1" x14ac:dyDescent="0.25">
      <c r="A272" t="s">
        <v>156</v>
      </c>
      <c r="B272" t="s">
        <v>3205</v>
      </c>
      <c r="C272" t="s">
        <v>3206</v>
      </c>
      <c r="D272" t="s">
        <v>3299</v>
      </c>
      <c r="E272" s="1">
        <v>0</v>
      </c>
      <c r="F272" s="1">
        <v>46.98</v>
      </c>
      <c r="G272">
        <v>1</v>
      </c>
      <c r="H272">
        <v>1</v>
      </c>
      <c r="I272" t="s">
        <v>2119</v>
      </c>
      <c r="J272" t="s">
        <v>1696</v>
      </c>
      <c r="K272" s="39">
        <v>57.406905000000002</v>
      </c>
      <c r="L272" s="1">
        <v>49.326552999999997</v>
      </c>
      <c r="M272" s="1" t="s">
        <v>3300</v>
      </c>
      <c r="N272" s="1">
        <v>0</v>
      </c>
      <c r="O272" s="1">
        <f>ABS(Table4[[#This Row],[EndMP]]-Table4[[#This Row],[StartMP]])</f>
        <v>46.98</v>
      </c>
      <c r="P272" s="1" t="str">
        <f>IF( AND( Table4[[#This Row],[Route]]=ClosureLocation!$B$3, ClosureLocation!$B$6 &gt;= Table4[[#This Row],[StartMP]], ClosureLocation!$B$6 &lt;= Table4[[#This Row],[EndMP]]), "Yes", "")</f>
        <v/>
      </c>
      <c r="Q272" s="1" t="str">
        <f>IF( AND( Table4[[#This Row],[Route]]=ClosureLocation!$B$3, ClosureLocation!$B$6 &lt;= Table4[[#This Row],[StartMP]], ClosureLocation!$B$6 &gt;= Table4[[#This Row],[EndMP]]), "Yes", "")</f>
        <v/>
      </c>
      <c r="R272" s="1" t="str">
        <f>IF( OR( Table4[[#This Row],[PrimaryMatch]]="Yes", Table4[[#This Row],[SecondaryMatch]]="Yes"), "Yes", "")</f>
        <v/>
      </c>
    </row>
    <row r="273" spans="1:18" hidden="1" x14ac:dyDescent="0.25">
      <c r="A273" t="s">
        <v>1090</v>
      </c>
      <c r="B273" t="s">
        <v>3205</v>
      </c>
      <c r="C273" t="s">
        <v>3222</v>
      </c>
      <c r="D273" t="s">
        <v>3985</v>
      </c>
      <c r="E273" s="1">
        <v>169</v>
      </c>
      <c r="F273" s="1">
        <v>193.85</v>
      </c>
      <c r="G273">
        <v>1</v>
      </c>
      <c r="H273">
        <v>1</v>
      </c>
      <c r="I273" t="s">
        <v>2854</v>
      </c>
      <c r="J273" t="s">
        <v>1695</v>
      </c>
      <c r="K273" s="39">
        <v>57.251435999999998</v>
      </c>
      <c r="L273" s="1">
        <v>48.670599000000003</v>
      </c>
      <c r="M273" s="1" t="s">
        <v>5044</v>
      </c>
      <c r="N273" s="1">
        <v>169</v>
      </c>
      <c r="O273" s="1">
        <f>ABS(Table4[[#This Row],[EndMP]]-Table4[[#This Row],[StartMP]])</f>
        <v>24.849999999999994</v>
      </c>
      <c r="P273" s="1" t="str">
        <f>IF( AND( Table4[[#This Row],[Route]]=ClosureLocation!$B$3, ClosureLocation!$B$6 &gt;= Table4[[#This Row],[StartMP]], ClosureLocation!$B$6 &lt;= Table4[[#This Row],[EndMP]]), "Yes", "")</f>
        <v/>
      </c>
      <c r="Q273" s="1" t="str">
        <f>IF( AND( Table4[[#This Row],[Route]]=ClosureLocation!$B$3, ClosureLocation!$B$6 &lt;= Table4[[#This Row],[StartMP]], ClosureLocation!$B$6 &gt;= Table4[[#This Row],[EndMP]]), "Yes", "")</f>
        <v/>
      </c>
      <c r="R273" s="1" t="str">
        <f>IF( OR( Table4[[#This Row],[PrimaryMatch]]="Yes", Table4[[#This Row],[SecondaryMatch]]="Yes"), "Yes", "")</f>
        <v/>
      </c>
    </row>
    <row r="274" spans="1:18" hidden="1" x14ac:dyDescent="0.25">
      <c r="A274" t="s">
        <v>1090</v>
      </c>
      <c r="B274" t="s">
        <v>3209</v>
      </c>
      <c r="C274" t="s">
        <v>3226</v>
      </c>
      <c r="D274" t="s">
        <v>3987</v>
      </c>
      <c r="E274" s="1">
        <v>193.85</v>
      </c>
      <c r="F274" s="1">
        <v>169</v>
      </c>
      <c r="G274">
        <v>2</v>
      </c>
      <c r="H274">
        <v>4</v>
      </c>
      <c r="I274" t="s">
        <v>2857</v>
      </c>
      <c r="J274" t="s">
        <v>1695</v>
      </c>
      <c r="K274" s="39">
        <v>57.251418000000001</v>
      </c>
      <c r="L274" s="1">
        <v>48.670599000000003</v>
      </c>
      <c r="M274" s="1" t="s">
        <v>5045</v>
      </c>
      <c r="N274" s="1">
        <v>806.15</v>
      </c>
      <c r="O274" s="1">
        <f>ABS(Table4[[#This Row],[EndMP]]-Table4[[#This Row],[StartMP]])</f>
        <v>24.849999999999994</v>
      </c>
      <c r="P274" s="1" t="str">
        <f>IF( AND( Table4[[#This Row],[Route]]=ClosureLocation!$B$3, ClosureLocation!$B$6 &gt;= Table4[[#This Row],[StartMP]], ClosureLocation!$B$6 &lt;= Table4[[#This Row],[EndMP]]), "Yes", "")</f>
        <v/>
      </c>
      <c r="Q274" s="1" t="str">
        <f>IF( AND( Table4[[#This Row],[Route]]=ClosureLocation!$B$3, ClosureLocation!$B$6 &lt;= Table4[[#This Row],[StartMP]], ClosureLocation!$B$6 &gt;= Table4[[#This Row],[EndMP]]), "Yes", "")</f>
        <v/>
      </c>
      <c r="R274" s="1" t="str">
        <f>IF( OR( Table4[[#This Row],[PrimaryMatch]]="Yes", Table4[[#This Row],[SecondaryMatch]]="Yes"), "Yes", "")</f>
        <v/>
      </c>
    </row>
    <row r="275" spans="1:18" hidden="1" x14ac:dyDescent="0.25">
      <c r="A275" t="s">
        <v>513</v>
      </c>
      <c r="B275" t="s">
        <v>3209</v>
      </c>
      <c r="C275" t="s">
        <v>3226</v>
      </c>
      <c r="D275" t="s">
        <v>3565</v>
      </c>
      <c r="E275" s="1">
        <v>89.322000000000003</v>
      </c>
      <c r="F275" s="1">
        <v>2.9129999999999998</v>
      </c>
      <c r="G275">
        <v>6</v>
      </c>
      <c r="H275">
        <v>2</v>
      </c>
      <c r="I275" t="s">
        <v>2369</v>
      </c>
      <c r="J275" t="s">
        <v>1700</v>
      </c>
      <c r="K275" s="39">
        <v>56.816935000000001</v>
      </c>
      <c r="L275" s="1">
        <v>36.852620000000002</v>
      </c>
      <c r="M275" s="1" t="s">
        <v>4920</v>
      </c>
      <c r="N275" s="1">
        <v>910.678</v>
      </c>
      <c r="O275" s="1">
        <f>ABS(Table4[[#This Row],[EndMP]]-Table4[[#This Row],[StartMP]])</f>
        <v>86.409000000000006</v>
      </c>
      <c r="P275" s="1" t="str">
        <f>IF( AND( Table4[[#This Row],[Route]]=ClosureLocation!$B$3, ClosureLocation!$B$6 &gt;= Table4[[#This Row],[StartMP]], ClosureLocation!$B$6 &lt;= Table4[[#This Row],[EndMP]]), "Yes", "")</f>
        <v/>
      </c>
      <c r="Q275" s="1" t="str">
        <f>IF( AND( Table4[[#This Row],[Route]]=ClosureLocation!$B$3, ClosureLocation!$B$6 &lt;= Table4[[#This Row],[StartMP]], ClosureLocation!$B$6 &gt;= Table4[[#This Row],[EndMP]]), "Yes", "")</f>
        <v/>
      </c>
      <c r="R275" s="1" t="str">
        <f>IF( OR( Table4[[#This Row],[PrimaryMatch]]="Yes", Table4[[#This Row],[SecondaryMatch]]="Yes"), "Yes", "")</f>
        <v/>
      </c>
    </row>
    <row r="276" spans="1:18" hidden="1" x14ac:dyDescent="0.25">
      <c r="A276" t="s">
        <v>513</v>
      </c>
      <c r="B276" t="s">
        <v>3205</v>
      </c>
      <c r="C276" t="s">
        <v>3222</v>
      </c>
      <c r="D276" t="s">
        <v>3561</v>
      </c>
      <c r="E276" s="1">
        <v>2.9129999999999998</v>
      </c>
      <c r="F276" s="1">
        <v>89.322000000000003</v>
      </c>
      <c r="G276">
        <v>2</v>
      </c>
      <c r="H276">
        <v>5</v>
      </c>
      <c r="I276" t="s">
        <v>2358</v>
      </c>
      <c r="J276" t="s">
        <v>1700</v>
      </c>
      <c r="K276" s="39">
        <v>56.816907</v>
      </c>
      <c r="L276" s="1">
        <v>36.852620000000002</v>
      </c>
      <c r="M276" s="1" t="s">
        <v>4917</v>
      </c>
      <c r="N276" s="1">
        <v>2.9129999999999998</v>
      </c>
      <c r="O276" s="1">
        <f>ABS(Table4[[#This Row],[EndMP]]-Table4[[#This Row],[StartMP]])</f>
        <v>86.409000000000006</v>
      </c>
      <c r="P276" s="1" t="str">
        <f>IF( AND( Table4[[#This Row],[Route]]=ClosureLocation!$B$3, ClosureLocation!$B$6 &gt;= Table4[[#This Row],[StartMP]], ClosureLocation!$B$6 &lt;= Table4[[#This Row],[EndMP]]), "Yes", "")</f>
        <v/>
      </c>
      <c r="Q276" s="1" t="str">
        <f>IF( AND( Table4[[#This Row],[Route]]=ClosureLocation!$B$3, ClosureLocation!$B$6 &lt;= Table4[[#This Row],[StartMP]], ClosureLocation!$B$6 &gt;= Table4[[#This Row],[EndMP]]), "Yes", "")</f>
        <v/>
      </c>
      <c r="R276" s="1" t="str">
        <f>IF( OR( Table4[[#This Row],[PrimaryMatch]]="Yes", Table4[[#This Row],[SecondaryMatch]]="Yes"), "Yes", "")</f>
        <v/>
      </c>
    </row>
    <row r="277" spans="1:18" hidden="1" x14ac:dyDescent="0.25">
      <c r="A277" t="s">
        <v>942</v>
      </c>
      <c r="B277" t="s">
        <v>3205</v>
      </c>
      <c r="C277" t="s">
        <v>3222</v>
      </c>
      <c r="D277" t="s">
        <v>3843</v>
      </c>
      <c r="E277" s="1">
        <v>12.71</v>
      </c>
      <c r="F277" s="1">
        <v>33.271999999999998</v>
      </c>
      <c r="G277">
        <v>2</v>
      </c>
      <c r="H277">
        <v>1</v>
      </c>
      <c r="I277" t="s">
        <v>2748</v>
      </c>
      <c r="J277" t="s">
        <v>1724</v>
      </c>
      <c r="K277" s="39">
        <v>56.378355999999997</v>
      </c>
      <c r="L277" s="1">
        <v>36.943572000000003</v>
      </c>
      <c r="M277" s="1" t="s">
        <v>3844</v>
      </c>
      <c r="N277" s="1">
        <v>12.71</v>
      </c>
      <c r="O277" s="1">
        <f>ABS(Table4[[#This Row],[EndMP]]-Table4[[#This Row],[StartMP]])</f>
        <v>20.561999999999998</v>
      </c>
      <c r="P277" s="1" t="str">
        <f>IF( AND( Table4[[#This Row],[Route]]=ClosureLocation!$B$3, ClosureLocation!$B$6 &gt;= Table4[[#This Row],[StartMP]], ClosureLocation!$B$6 &lt;= Table4[[#This Row],[EndMP]]), "Yes", "")</f>
        <v/>
      </c>
      <c r="Q277" s="1" t="str">
        <f>IF( AND( Table4[[#This Row],[Route]]=ClosureLocation!$B$3, ClosureLocation!$B$6 &lt;= Table4[[#This Row],[StartMP]], ClosureLocation!$B$6 &gt;= Table4[[#This Row],[EndMP]]), "Yes", "")</f>
        <v/>
      </c>
      <c r="R277" s="1" t="str">
        <f>IF( OR( Table4[[#This Row],[PrimaryMatch]]="Yes", Table4[[#This Row],[SecondaryMatch]]="Yes"), "Yes", "")</f>
        <v/>
      </c>
    </row>
    <row r="278" spans="1:18" hidden="1" x14ac:dyDescent="0.25">
      <c r="A278" t="s">
        <v>942</v>
      </c>
      <c r="B278" t="s">
        <v>3209</v>
      </c>
      <c r="C278" t="s">
        <v>3226</v>
      </c>
      <c r="D278" t="s">
        <v>3845</v>
      </c>
      <c r="E278" s="1">
        <v>33.271999999999998</v>
      </c>
      <c r="F278" s="1">
        <v>12.71</v>
      </c>
      <c r="G278">
        <v>1</v>
      </c>
      <c r="H278">
        <v>2</v>
      </c>
      <c r="I278" t="s">
        <v>2749</v>
      </c>
      <c r="J278" t="s">
        <v>1724</v>
      </c>
      <c r="K278" s="39">
        <v>56.150730000000003</v>
      </c>
      <c r="L278" s="1">
        <v>36.828122999999998</v>
      </c>
      <c r="M278" s="1" t="s">
        <v>3846</v>
      </c>
      <c r="N278" s="1">
        <v>966.72799999999995</v>
      </c>
      <c r="O278" s="1">
        <f>ABS(Table4[[#This Row],[EndMP]]-Table4[[#This Row],[StartMP]])</f>
        <v>20.561999999999998</v>
      </c>
      <c r="P278" s="1" t="str">
        <f>IF( AND( Table4[[#This Row],[Route]]=ClosureLocation!$B$3, ClosureLocation!$B$6 &gt;= Table4[[#This Row],[StartMP]], ClosureLocation!$B$6 &lt;= Table4[[#This Row],[EndMP]]), "Yes", "")</f>
        <v/>
      </c>
      <c r="Q278" s="1" t="str">
        <f>IF( AND( Table4[[#This Row],[Route]]=ClosureLocation!$B$3, ClosureLocation!$B$6 &lt;= Table4[[#This Row],[StartMP]], ClosureLocation!$B$6 &gt;= Table4[[#This Row],[EndMP]]), "Yes", "")</f>
        <v/>
      </c>
      <c r="R278" s="1" t="str">
        <f>IF( OR( Table4[[#This Row],[PrimaryMatch]]="Yes", Table4[[#This Row],[SecondaryMatch]]="Yes"), "Yes", "")</f>
        <v/>
      </c>
    </row>
    <row r="279" spans="1:18" hidden="1" x14ac:dyDescent="0.25">
      <c r="A279" t="s">
        <v>1605</v>
      </c>
      <c r="B279" t="s">
        <v>3205</v>
      </c>
      <c r="C279" t="s">
        <v>3206</v>
      </c>
      <c r="D279" t="s">
        <v>4346</v>
      </c>
      <c r="E279" s="1">
        <v>188.85499999999999</v>
      </c>
      <c r="F279" s="1">
        <v>216.86099999999999</v>
      </c>
      <c r="G279">
        <v>4</v>
      </c>
      <c r="H279">
        <v>2</v>
      </c>
      <c r="I279" t="s">
        <v>3144</v>
      </c>
      <c r="J279" t="s">
        <v>1708</v>
      </c>
      <c r="K279" s="39">
        <v>56.139339</v>
      </c>
      <c r="L279" s="1">
        <v>63.972233000000003</v>
      </c>
      <c r="M279" s="58" t="s">
        <v>4349</v>
      </c>
      <c r="N279" s="1">
        <v>188.85499999999999</v>
      </c>
      <c r="O279" s="1">
        <f>ABS(Table4[[#This Row],[EndMP]]-Table4[[#This Row],[StartMP]])</f>
        <v>28.006</v>
      </c>
      <c r="P279" s="1" t="str">
        <f>IF( AND( Table4[[#This Row],[Route]]=ClosureLocation!$B$3, ClosureLocation!$B$6 &gt;= Table4[[#This Row],[StartMP]], ClosureLocation!$B$6 &lt;= Table4[[#This Row],[EndMP]]), "Yes", "")</f>
        <v/>
      </c>
      <c r="Q279" s="1" t="str">
        <f>IF( AND( Table4[[#This Row],[Route]]=ClosureLocation!$B$3, ClosureLocation!$B$6 &lt;= Table4[[#This Row],[StartMP]], ClosureLocation!$B$6 &gt;= Table4[[#This Row],[EndMP]]), "Yes", "")</f>
        <v/>
      </c>
      <c r="R279" s="1" t="str">
        <f>IF( OR( Table4[[#This Row],[PrimaryMatch]]="Yes", Table4[[#This Row],[SecondaryMatch]]="Yes"), "Yes", "")</f>
        <v/>
      </c>
    </row>
    <row r="280" spans="1:18" hidden="1" x14ac:dyDescent="0.25">
      <c r="A280" t="s">
        <v>900</v>
      </c>
      <c r="B280" t="s">
        <v>3209</v>
      </c>
      <c r="C280" t="s">
        <v>3210</v>
      </c>
      <c r="D280" t="s">
        <v>3825</v>
      </c>
      <c r="E280" s="1">
        <v>232.899</v>
      </c>
      <c r="F280" s="1">
        <v>205.52500000000001</v>
      </c>
      <c r="G280">
        <v>1</v>
      </c>
      <c r="H280">
        <v>2</v>
      </c>
      <c r="I280" t="s">
        <v>2697</v>
      </c>
      <c r="J280" t="s">
        <v>1695</v>
      </c>
      <c r="K280" s="39">
        <v>56.077247</v>
      </c>
      <c r="L280" s="1">
        <v>54.450442000000002</v>
      </c>
      <c r="M280" s="58" t="s">
        <v>3826</v>
      </c>
      <c r="N280" s="1">
        <v>767.101</v>
      </c>
      <c r="O280" s="1">
        <f>ABS(Table4[[#This Row],[EndMP]]-Table4[[#This Row],[StartMP]])</f>
        <v>27.373999999999995</v>
      </c>
      <c r="P280" s="1" t="str">
        <f>IF( AND( Table4[[#This Row],[Route]]=ClosureLocation!$B$3, ClosureLocation!$B$6 &gt;= Table4[[#This Row],[StartMP]], ClosureLocation!$B$6 &lt;= Table4[[#This Row],[EndMP]]), "Yes", "")</f>
        <v/>
      </c>
      <c r="Q280" s="1" t="str">
        <f>IF( AND( Table4[[#This Row],[Route]]=ClosureLocation!$B$3, ClosureLocation!$B$6 &lt;= Table4[[#This Row],[StartMP]], ClosureLocation!$B$6 &gt;= Table4[[#This Row],[EndMP]]), "Yes", "")</f>
        <v/>
      </c>
      <c r="R280" s="1" t="str">
        <f>IF( OR( Table4[[#This Row],[PrimaryMatch]]="Yes", Table4[[#This Row],[SecondaryMatch]]="Yes"), "Yes", "")</f>
        <v/>
      </c>
    </row>
    <row r="281" spans="1:18" hidden="1" x14ac:dyDescent="0.25">
      <c r="A281" t="s">
        <v>1605</v>
      </c>
      <c r="B281" t="s">
        <v>3209</v>
      </c>
      <c r="C281" t="s">
        <v>3210</v>
      </c>
      <c r="D281" t="s">
        <v>4350</v>
      </c>
      <c r="E281" s="1">
        <v>216.86099999999999</v>
      </c>
      <c r="F281" s="1">
        <v>188.85499999999999</v>
      </c>
      <c r="G281">
        <v>1</v>
      </c>
      <c r="H281">
        <v>3</v>
      </c>
      <c r="I281" t="s">
        <v>3145</v>
      </c>
      <c r="J281" t="s">
        <v>1708</v>
      </c>
      <c r="K281" s="39">
        <v>55.988128000000003</v>
      </c>
      <c r="L281" s="1">
        <v>63.874478000000003</v>
      </c>
      <c r="M281" s="58" t="s">
        <v>4351</v>
      </c>
      <c r="N281" s="1">
        <v>783.13900000000001</v>
      </c>
      <c r="O281" s="1">
        <f>ABS(Table4[[#This Row],[EndMP]]-Table4[[#This Row],[StartMP]])</f>
        <v>28.006</v>
      </c>
      <c r="P281" s="1" t="str">
        <f>IF( AND( Table4[[#This Row],[Route]]=ClosureLocation!$B$3, ClosureLocation!$B$6 &gt;= Table4[[#This Row],[StartMP]], ClosureLocation!$B$6 &lt;= Table4[[#This Row],[EndMP]]), "Yes", "")</f>
        <v/>
      </c>
      <c r="Q281" s="1" t="str">
        <f>IF( AND( Table4[[#This Row],[Route]]=ClosureLocation!$B$3, ClosureLocation!$B$6 &lt;= Table4[[#This Row],[StartMP]], ClosureLocation!$B$6 &gt;= Table4[[#This Row],[EndMP]]), "Yes", "")</f>
        <v/>
      </c>
      <c r="R281" s="1" t="str">
        <f>IF( OR( Table4[[#This Row],[PrimaryMatch]]="Yes", Table4[[#This Row],[SecondaryMatch]]="Yes"), "Yes", "")</f>
        <v/>
      </c>
    </row>
    <row r="282" spans="1:18" hidden="1" x14ac:dyDescent="0.25">
      <c r="A282" t="s">
        <v>900</v>
      </c>
      <c r="B282" t="s">
        <v>3205</v>
      </c>
      <c r="C282" t="s">
        <v>3206</v>
      </c>
      <c r="D282" t="s">
        <v>3823</v>
      </c>
      <c r="E282" s="1">
        <v>205.52500000000001</v>
      </c>
      <c r="F282" s="1">
        <v>232.899</v>
      </c>
      <c r="G282">
        <v>1</v>
      </c>
      <c r="H282">
        <v>1</v>
      </c>
      <c r="I282" t="s">
        <v>2696</v>
      </c>
      <c r="J282" t="s">
        <v>1695</v>
      </c>
      <c r="K282" s="39">
        <v>55.972501999999999</v>
      </c>
      <c r="L282" s="1">
        <v>54.4833</v>
      </c>
      <c r="M282" s="58" t="s">
        <v>3824</v>
      </c>
      <c r="N282" s="1">
        <v>205.52500000000001</v>
      </c>
      <c r="O282" s="1">
        <f>ABS(Table4[[#This Row],[EndMP]]-Table4[[#This Row],[StartMP]])</f>
        <v>27.373999999999995</v>
      </c>
      <c r="P282" s="1" t="str">
        <f>IF( AND( Table4[[#This Row],[Route]]=ClosureLocation!$B$3, ClosureLocation!$B$6 &gt;= Table4[[#This Row],[StartMP]], ClosureLocation!$B$6 &lt;= Table4[[#This Row],[EndMP]]), "Yes", "")</f>
        <v/>
      </c>
      <c r="Q282" s="1" t="str">
        <f>IF( AND( Table4[[#This Row],[Route]]=ClosureLocation!$B$3, ClosureLocation!$B$6 &lt;= Table4[[#This Row],[StartMP]], ClosureLocation!$B$6 &gt;= Table4[[#This Row],[EndMP]]), "Yes", "")</f>
        <v/>
      </c>
      <c r="R282" s="1" t="str">
        <f>IF( OR( Table4[[#This Row],[PrimaryMatch]]="Yes", Table4[[#This Row],[SecondaryMatch]]="Yes"), "Yes", "")</f>
        <v/>
      </c>
    </row>
    <row r="283" spans="1:18" hidden="1" x14ac:dyDescent="0.25">
      <c r="A283" t="s">
        <v>1385</v>
      </c>
      <c r="B283" t="s">
        <v>3209</v>
      </c>
      <c r="C283" t="s">
        <v>3210</v>
      </c>
      <c r="D283" t="s">
        <v>4173</v>
      </c>
      <c r="E283" s="1">
        <v>8.9030000000000005</v>
      </c>
      <c r="F283" s="1">
        <v>0</v>
      </c>
      <c r="G283">
        <v>2</v>
      </c>
      <c r="H283">
        <v>2</v>
      </c>
      <c r="I283" t="s">
        <v>3005</v>
      </c>
      <c r="J283" t="s">
        <v>1700</v>
      </c>
      <c r="K283" s="39">
        <v>55.276110000000003</v>
      </c>
      <c r="L283" s="1">
        <v>48.198447000000002</v>
      </c>
      <c r="M283" s="58" t="s">
        <v>4175</v>
      </c>
      <c r="N283" s="1">
        <v>991.09699999999998</v>
      </c>
      <c r="O283" s="1">
        <f>ABS(Table4[[#This Row],[EndMP]]-Table4[[#This Row],[StartMP]])</f>
        <v>8.9030000000000005</v>
      </c>
      <c r="P283" s="1" t="str">
        <f>IF( AND( Table4[[#This Row],[Route]]=ClosureLocation!$B$3, ClosureLocation!$B$6 &gt;= Table4[[#This Row],[StartMP]], ClosureLocation!$B$6 &lt;= Table4[[#This Row],[EndMP]]), "Yes", "")</f>
        <v/>
      </c>
      <c r="Q283" s="1" t="str">
        <f>IF( AND( Table4[[#This Row],[Route]]=ClosureLocation!$B$3, ClosureLocation!$B$6 &lt;= Table4[[#This Row],[StartMP]], ClosureLocation!$B$6 &gt;= Table4[[#This Row],[EndMP]]), "Yes", "")</f>
        <v/>
      </c>
      <c r="R283" s="1" t="str">
        <f>IF( OR( Table4[[#This Row],[PrimaryMatch]]="Yes", Table4[[#This Row],[SecondaryMatch]]="Yes"), "Yes", "")</f>
        <v/>
      </c>
    </row>
    <row r="284" spans="1:18" hidden="1" x14ac:dyDescent="0.25">
      <c r="A284" t="s">
        <v>1385</v>
      </c>
      <c r="B284" t="s">
        <v>3205</v>
      </c>
      <c r="C284" t="s">
        <v>3206</v>
      </c>
      <c r="D284" t="s">
        <v>4170</v>
      </c>
      <c r="E284" s="1">
        <v>0</v>
      </c>
      <c r="F284" s="1">
        <v>8.9030000000000005</v>
      </c>
      <c r="G284">
        <v>1</v>
      </c>
      <c r="H284">
        <v>1</v>
      </c>
      <c r="I284" t="s">
        <v>3002</v>
      </c>
      <c r="J284" t="s">
        <v>1700</v>
      </c>
      <c r="K284" s="39">
        <v>55.155732</v>
      </c>
      <c r="L284" s="1">
        <v>48.198447000000002</v>
      </c>
      <c r="M284" s="58" t="s">
        <v>4171</v>
      </c>
      <c r="N284" s="1">
        <v>0</v>
      </c>
      <c r="O284" s="1">
        <f>ABS(Table4[[#This Row],[EndMP]]-Table4[[#This Row],[StartMP]])</f>
        <v>8.9030000000000005</v>
      </c>
      <c r="P284" s="1" t="str">
        <f>IF( AND( Table4[[#This Row],[Route]]=ClosureLocation!$B$3, ClosureLocation!$B$6 &gt;= Table4[[#This Row],[StartMP]], ClosureLocation!$B$6 &lt;= Table4[[#This Row],[EndMP]]), "Yes", "")</f>
        <v/>
      </c>
      <c r="Q284" s="1" t="str">
        <f>IF( AND( Table4[[#This Row],[Route]]=ClosureLocation!$B$3, ClosureLocation!$B$6 &lt;= Table4[[#This Row],[StartMP]], ClosureLocation!$B$6 &gt;= Table4[[#This Row],[EndMP]]), "Yes", "")</f>
        <v/>
      </c>
      <c r="R284" s="1" t="str">
        <f>IF( OR( Table4[[#This Row],[PrimaryMatch]]="Yes", Table4[[#This Row],[SecondaryMatch]]="Yes"), "Yes", "")</f>
        <v/>
      </c>
    </row>
    <row r="285" spans="1:18" hidden="1" x14ac:dyDescent="0.25">
      <c r="A285" t="s">
        <v>1598</v>
      </c>
      <c r="B285" t="s">
        <v>3209</v>
      </c>
      <c r="C285" t="s">
        <v>3210</v>
      </c>
      <c r="D285" t="s">
        <v>4340</v>
      </c>
      <c r="E285" s="1">
        <v>122.879</v>
      </c>
      <c r="F285" s="1">
        <v>95</v>
      </c>
      <c r="G285">
        <v>1</v>
      </c>
      <c r="H285">
        <v>2</v>
      </c>
      <c r="I285" t="s">
        <v>3138</v>
      </c>
      <c r="J285" t="s">
        <v>1691</v>
      </c>
      <c r="K285" s="39">
        <v>54.552045</v>
      </c>
      <c r="L285" s="1">
        <v>46.636434000000001</v>
      </c>
      <c r="M285" s="1" t="s">
        <v>4341</v>
      </c>
      <c r="N285" s="1">
        <v>877.12099999999998</v>
      </c>
      <c r="O285" s="1">
        <f>ABS(Table4[[#This Row],[EndMP]]-Table4[[#This Row],[StartMP]])</f>
        <v>27.879000000000005</v>
      </c>
      <c r="P285" s="1" t="str">
        <f>IF( AND( Table4[[#This Row],[Route]]=ClosureLocation!$B$3, ClosureLocation!$B$6 &gt;= Table4[[#This Row],[StartMP]], ClosureLocation!$B$6 &lt;= Table4[[#This Row],[EndMP]]), "Yes", "")</f>
        <v/>
      </c>
      <c r="Q285" s="1" t="str">
        <f>IF( AND( Table4[[#This Row],[Route]]=ClosureLocation!$B$3, ClosureLocation!$B$6 &lt;= Table4[[#This Row],[StartMP]], ClosureLocation!$B$6 &gt;= Table4[[#This Row],[EndMP]]), "Yes", "")</f>
        <v/>
      </c>
      <c r="R285" s="1" t="str">
        <f>IF( OR( Table4[[#This Row],[PrimaryMatch]]="Yes", Table4[[#This Row],[SecondaryMatch]]="Yes"), "Yes", "")</f>
        <v/>
      </c>
    </row>
    <row r="286" spans="1:18" hidden="1" x14ac:dyDescent="0.25">
      <c r="A286" t="s">
        <v>888</v>
      </c>
      <c r="B286" t="s">
        <v>3205</v>
      </c>
      <c r="C286" t="s">
        <v>3206</v>
      </c>
      <c r="D286" t="s">
        <v>3803</v>
      </c>
      <c r="E286" s="1">
        <v>72.600999999999999</v>
      </c>
      <c r="F286" s="1">
        <v>101.063</v>
      </c>
      <c r="G286">
        <v>3</v>
      </c>
      <c r="H286">
        <v>3</v>
      </c>
      <c r="I286" t="s">
        <v>2684</v>
      </c>
      <c r="J286" t="s">
        <v>1699</v>
      </c>
      <c r="K286" s="39">
        <v>54.400708000000002</v>
      </c>
      <c r="L286" s="1">
        <v>45.512382000000002</v>
      </c>
      <c r="M286" s="1" t="s">
        <v>3806</v>
      </c>
      <c r="N286" s="1">
        <v>72.600999999999999</v>
      </c>
      <c r="O286" s="1">
        <f>ABS(Table4[[#This Row],[EndMP]]-Table4[[#This Row],[StartMP]])</f>
        <v>28.462000000000003</v>
      </c>
      <c r="P286" s="1" t="str">
        <f>IF( AND( Table4[[#This Row],[Route]]=ClosureLocation!$B$3, ClosureLocation!$B$6 &gt;= Table4[[#This Row],[StartMP]], ClosureLocation!$B$6 &lt;= Table4[[#This Row],[EndMP]]), "Yes", "")</f>
        <v/>
      </c>
      <c r="Q286" s="1" t="str">
        <f>IF( AND( Table4[[#This Row],[Route]]=ClosureLocation!$B$3, ClosureLocation!$B$6 &lt;= Table4[[#This Row],[StartMP]], ClosureLocation!$B$6 &gt;= Table4[[#This Row],[EndMP]]), "Yes", "")</f>
        <v/>
      </c>
      <c r="R286" s="1" t="str">
        <f>IF( OR( Table4[[#This Row],[PrimaryMatch]]="Yes", Table4[[#This Row],[SecondaryMatch]]="Yes"), "Yes", "")</f>
        <v/>
      </c>
    </row>
    <row r="287" spans="1:18" hidden="1" x14ac:dyDescent="0.25">
      <c r="A287" t="s">
        <v>1598</v>
      </c>
      <c r="B287" t="s">
        <v>3205</v>
      </c>
      <c r="C287" t="s">
        <v>3206</v>
      </c>
      <c r="D287" t="s">
        <v>4338</v>
      </c>
      <c r="E287" s="1">
        <v>95</v>
      </c>
      <c r="F287" s="1">
        <v>122.879</v>
      </c>
      <c r="G287">
        <v>1</v>
      </c>
      <c r="H287">
        <v>1</v>
      </c>
      <c r="I287" t="s">
        <v>3137</v>
      </c>
      <c r="J287" t="s">
        <v>1691</v>
      </c>
      <c r="K287" s="39">
        <v>54.256357999999999</v>
      </c>
      <c r="L287" s="1">
        <v>46.486237000000003</v>
      </c>
      <c r="M287" s="1" t="s">
        <v>4339</v>
      </c>
      <c r="N287" s="1">
        <v>95</v>
      </c>
      <c r="O287" s="1">
        <f>ABS(Table4[[#This Row],[EndMP]]-Table4[[#This Row],[StartMP]])</f>
        <v>27.879000000000005</v>
      </c>
      <c r="P287" s="1" t="str">
        <f>IF( AND( Table4[[#This Row],[Route]]=ClosureLocation!$B$3, ClosureLocation!$B$6 &gt;= Table4[[#This Row],[StartMP]], ClosureLocation!$B$6 &lt;= Table4[[#This Row],[EndMP]]), "Yes", "")</f>
        <v/>
      </c>
      <c r="Q287" s="1" t="str">
        <f>IF( AND( Table4[[#This Row],[Route]]=ClosureLocation!$B$3, ClosureLocation!$B$6 &lt;= Table4[[#This Row],[StartMP]], ClosureLocation!$B$6 &gt;= Table4[[#This Row],[EndMP]]), "Yes", "")</f>
        <v/>
      </c>
      <c r="R287" s="1" t="str">
        <f>IF( OR( Table4[[#This Row],[PrimaryMatch]]="Yes", Table4[[#This Row],[SecondaryMatch]]="Yes"), "Yes", "")</f>
        <v/>
      </c>
    </row>
    <row r="288" spans="1:18" hidden="1" x14ac:dyDescent="0.25">
      <c r="A288" t="s">
        <v>888</v>
      </c>
      <c r="B288" t="s">
        <v>3209</v>
      </c>
      <c r="C288" t="s">
        <v>3210</v>
      </c>
      <c r="D288" t="s">
        <v>3807</v>
      </c>
      <c r="E288" s="1">
        <v>101.063</v>
      </c>
      <c r="F288" s="1">
        <v>72.600999999999999</v>
      </c>
      <c r="G288">
        <v>1</v>
      </c>
      <c r="H288">
        <v>4</v>
      </c>
      <c r="I288" t="s">
        <v>2685</v>
      </c>
      <c r="J288" t="s">
        <v>1699</v>
      </c>
      <c r="K288" s="39">
        <v>54.153609000000003</v>
      </c>
      <c r="L288" s="1">
        <v>45.365912999999999</v>
      </c>
      <c r="M288" s="1" t="s">
        <v>3808</v>
      </c>
      <c r="N288" s="1">
        <v>898.93700000000001</v>
      </c>
      <c r="O288" s="1">
        <f>ABS(Table4[[#This Row],[EndMP]]-Table4[[#This Row],[StartMP]])</f>
        <v>28.462000000000003</v>
      </c>
      <c r="P288" s="1" t="str">
        <f>IF( AND( Table4[[#This Row],[Route]]=ClosureLocation!$B$3, ClosureLocation!$B$6 &gt;= Table4[[#This Row],[StartMP]], ClosureLocation!$B$6 &lt;= Table4[[#This Row],[EndMP]]), "Yes", "")</f>
        <v/>
      </c>
      <c r="Q288" s="1" t="str">
        <f>IF( AND( Table4[[#This Row],[Route]]=ClosureLocation!$B$3, ClosureLocation!$B$6 &lt;= Table4[[#This Row],[StartMP]], ClosureLocation!$B$6 &gt;= Table4[[#This Row],[EndMP]]), "Yes", "")</f>
        <v/>
      </c>
      <c r="R288" s="1" t="str">
        <f>IF( OR( Table4[[#This Row],[PrimaryMatch]]="Yes", Table4[[#This Row],[SecondaryMatch]]="Yes"), "Yes", "")</f>
        <v/>
      </c>
    </row>
    <row r="289" spans="1:18" hidden="1" x14ac:dyDescent="0.25">
      <c r="A289" t="s">
        <v>1602</v>
      </c>
      <c r="B289" t="s">
        <v>3205</v>
      </c>
      <c r="C289" t="s">
        <v>3206</v>
      </c>
      <c r="D289" t="s">
        <v>4342</v>
      </c>
      <c r="E289" s="1">
        <v>123.682</v>
      </c>
      <c r="F289" s="1">
        <v>149.70099999999999</v>
      </c>
      <c r="G289">
        <v>1</v>
      </c>
      <c r="H289">
        <v>1</v>
      </c>
      <c r="I289" t="s">
        <v>3139</v>
      </c>
      <c r="J289" t="s">
        <v>1691</v>
      </c>
      <c r="K289" s="39">
        <v>54.119410000000002</v>
      </c>
      <c r="L289" s="1">
        <v>46.605916999999998</v>
      </c>
      <c r="M289" s="1" t="s">
        <v>4343</v>
      </c>
      <c r="N289" s="1">
        <v>123.682</v>
      </c>
      <c r="O289" s="1">
        <f>ABS(Table4[[#This Row],[EndMP]]-Table4[[#This Row],[StartMP]])</f>
        <v>26.018999999999991</v>
      </c>
      <c r="P289" s="1" t="str">
        <f>IF( AND( Table4[[#This Row],[Route]]=ClosureLocation!$B$3, ClosureLocation!$B$6 &gt;= Table4[[#This Row],[StartMP]], ClosureLocation!$B$6 &lt;= Table4[[#This Row],[EndMP]]), "Yes", "")</f>
        <v/>
      </c>
      <c r="Q289" s="1" t="str">
        <f>IF( AND( Table4[[#This Row],[Route]]=ClosureLocation!$B$3, ClosureLocation!$B$6 &lt;= Table4[[#This Row],[StartMP]], ClosureLocation!$B$6 &gt;= Table4[[#This Row],[EndMP]]), "Yes", "")</f>
        <v/>
      </c>
      <c r="R289" s="1" t="str">
        <f>IF( OR( Table4[[#This Row],[PrimaryMatch]]="Yes", Table4[[#This Row],[SecondaryMatch]]="Yes"), "Yes", "")</f>
        <v/>
      </c>
    </row>
    <row r="290" spans="1:18" hidden="1" x14ac:dyDescent="0.25">
      <c r="A290" t="s">
        <v>1602</v>
      </c>
      <c r="B290" t="s">
        <v>3209</v>
      </c>
      <c r="C290" t="s">
        <v>3210</v>
      </c>
      <c r="D290" t="s">
        <v>4344</v>
      </c>
      <c r="E290" s="1">
        <v>149.70099999999999</v>
      </c>
      <c r="F290" s="1">
        <v>123.682</v>
      </c>
      <c r="G290">
        <v>1</v>
      </c>
      <c r="H290">
        <v>2</v>
      </c>
      <c r="I290" t="s">
        <v>3140</v>
      </c>
      <c r="J290" t="s">
        <v>1691</v>
      </c>
      <c r="K290" s="39">
        <v>54.119391999999998</v>
      </c>
      <c r="L290" s="1">
        <v>46.605916999999998</v>
      </c>
      <c r="M290" s="1" t="s">
        <v>4345</v>
      </c>
      <c r="N290" s="1">
        <v>850.29899999999998</v>
      </c>
      <c r="O290" s="1">
        <f>ABS(Table4[[#This Row],[EndMP]]-Table4[[#This Row],[StartMP]])</f>
        <v>26.018999999999991</v>
      </c>
      <c r="P290" s="1" t="str">
        <f>IF( AND( Table4[[#This Row],[Route]]=ClosureLocation!$B$3, ClosureLocation!$B$6 &gt;= Table4[[#This Row],[StartMP]], ClosureLocation!$B$6 &lt;= Table4[[#This Row],[EndMP]]), "Yes", "")</f>
        <v/>
      </c>
      <c r="Q290" s="1" t="str">
        <f>IF( AND( Table4[[#This Row],[Route]]=ClosureLocation!$B$3, ClosureLocation!$B$6 &lt;= Table4[[#This Row],[StartMP]], ClosureLocation!$B$6 &gt;= Table4[[#This Row],[EndMP]]), "Yes", "")</f>
        <v/>
      </c>
      <c r="R290" s="1" t="str">
        <f>IF( OR( Table4[[#This Row],[PrimaryMatch]]="Yes", Table4[[#This Row],[SecondaryMatch]]="Yes"), "Yes", "")</f>
        <v/>
      </c>
    </row>
    <row r="291" spans="1:18" hidden="1" x14ac:dyDescent="0.25">
      <c r="A291" t="s">
        <v>1625</v>
      </c>
      <c r="B291" t="s">
        <v>3205</v>
      </c>
      <c r="C291" t="s">
        <v>3206</v>
      </c>
      <c r="D291" t="s">
        <v>4366</v>
      </c>
      <c r="E291" s="1">
        <v>0</v>
      </c>
      <c r="F291" s="1">
        <v>12.803000000000001</v>
      </c>
      <c r="G291">
        <v>1</v>
      </c>
      <c r="H291">
        <v>1</v>
      </c>
      <c r="I291" t="s">
        <v>3159</v>
      </c>
      <c r="J291" t="s">
        <v>1695</v>
      </c>
      <c r="K291" s="39">
        <v>53.907581</v>
      </c>
      <c r="L291" s="1">
        <v>64.620240999999993</v>
      </c>
      <c r="M291" s="58" t="s">
        <v>4367</v>
      </c>
      <c r="N291" s="1">
        <v>0</v>
      </c>
      <c r="O291" s="1">
        <f>ABS(Table4[[#This Row],[EndMP]]-Table4[[#This Row],[StartMP]])</f>
        <v>12.803000000000001</v>
      </c>
      <c r="P291" s="1" t="str">
        <f>IF( AND( Table4[[#This Row],[Route]]=ClosureLocation!$B$3, ClosureLocation!$B$6 &gt;= Table4[[#This Row],[StartMP]], ClosureLocation!$B$6 &lt;= Table4[[#This Row],[EndMP]]), "Yes", "")</f>
        <v/>
      </c>
      <c r="Q291" s="1" t="str">
        <f>IF( AND( Table4[[#This Row],[Route]]=ClosureLocation!$B$3, ClosureLocation!$B$6 &lt;= Table4[[#This Row],[StartMP]], ClosureLocation!$B$6 &gt;= Table4[[#This Row],[EndMP]]), "Yes", "")</f>
        <v/>
      </c>
      <c r="R291" s="1" t="str">
        <f>IF( OR( Table4[[#This Row],[PrimaryMatch]]="Yes", Table4[[#This Row],[SecondaryMatch]]="Yes"), "Yes", "")</f>
        <v/>
      </c>
    </row>
    <row r="292" spans="1:18" hidden="1" x14ac:dyDescent="0.25">
      <c r="A292" t="s">
        <v>1625</v>
      </c>
      <c r="B292" t="s">
        <v>3209</v>
      </c>
      <c r="C292" t="s">
        <v>3210</v>
      </c>
      <c r="D292" t="s">
        <v>4368</v>
      </c>
      <c r="E292" s="1">
        <v>12.803000000000001</v>
      </c>
      <c r="F292" s="1">
        <v>0</v>
      </c>
      <c r="G292">
        <v>1</v>
      </c>
      <c r="H292">
        <v>2</v>
      </c>
      <c r="I292" t="s">
        <v>3160</v>
      </c>
      <c r="J292" t="s">
        <v>1695</v>
      </c>
      <c r="K292" s="39">
        <v>53.842297000000002</v>
      </c>
      <c r="L292" s="1">
        <v>64.656469999999999</v>
      </c>
      <c r="M292" s="58" t="s">
        <v>4369</v>
      </c>
      <c r="N292" s="1">
        <v>987.197</v>
      </c>
      <c r="O292" s="1">
        <f>ABS(Table4[[#This Row],[EndMP]]-Table4[[#This Row],[StartMP]])</f>
        <v>12.803000000000001</v>
      </c>
      <c r="P292" s="1" t="str">
        <f>IF( AND( Table4[[#This Row],[Route]]=ClosureLocation!$B$3, ClosureLocation!$B$6 &gt;= Table4[[#This Row],[StartMP]], ClosureLocation!$B$6 &lt;= Table4[[#This Row],[EndMP]]), "Yes", "")</f>
        <v/>
      </c>
      <c r="Q292" s="1" t="str">
        <f>IF( AND( Table4[[#This Row],[Route]]=ClosureLocation!$B$3, ClosureLocation!$B$6 &lt;= Table4[[#This Row],[StartMP]], ClosureLocation!$B$6 &gt;= Table4[[#This Row],[EndMP]]), "Yes", "")</f>
        <v/>
      </c>
      <c r="R292" s="1" t="str">
        <f>IF( OR( Table4[[#This Row],[PrimaryMatch]]="Yes", Table4[[#This Row],[SecondaryMatch]]="Yes"), "Yes", "")</f>
        <v/>
      </c>
    </row>
    <row r="293" spans="1:18" hidden="1" x14ac:dyDescent="0.25">
      <c r="A293" t="s">
        <v>602</v>
      </c>
      <c r="B293" t="s">
        <v>3209</v>
      </c>
      <c r="C293" t="s">
        <v>3226</v>
      </c>
      <c r="D293" t="s">
        <v>3626</v>
      </c>
      <c r="E293" s="1">
        <v>252.66300000000001</v>
      </c>
      <c r="F293" s="1">
        <v>222.399</v>
      </c>
      <c r="G293">
        <v>6</v>
      </c>
      <c r="H293">
        <v>13</v>
      </c>
      <c r="I293" t="s">
        <v>2431</v>
      </c>
      <c r="J293" t="s">
        <v>1700</v>
      </c>
      <c r="K293" s="39">
        <v>52.845965</v>
      </c>
      <c r="L293" s="1">
        <v>43.085166999999998</v>
      </c>
      <c r="M293" s="1" t="s">
        <v>3631</v>
      </c>
      <c r="N293" s="1">
        <v>747.33699999999999</v>
      </c>
      <c r="O293" s="1">
        <f>ABS(Table4[[#This Row],[EndMP]]-Table4[[#This Row],[StartMP]])</f>
        <v>30.26400000000001</v>
      </c>
      <c r="P293" s="1" t="str">
        <f>IF( AND( Table4[[#This Row],[Route]]=ClosureLocation!$B$3, ClosureLocation!$B$6 &gt;= Table4[[#This Row],[StartMP]], ClosureLocation!$B$6 &lt;= Table4[[#This Row],[EndMP]]), "Yes", "")</f>
        <v/>
      </c>
      <c r="Q293" s="1" t="str">
        <f>IF( AND( Table4[[#This Row],[Route]]=ClosureLocation!$B$3, ClosureLocation!$B$6 &lt;= Table4[[#This Row],[StartMP]], ClosureLocation!$B$6 &gt;= Table4[[#This Row],[EndMP]]), "Yes", "")</f>
        <v/>
      </c>
      <c r="R293" s="1" t="str">
        <f>IF( OR( Table4[[#This Row],[PrimaryMatch]]="Yes", Table4[[#This Row],[SecondaryMatch]]="Yes"), "Yes", "")</f>
        <v/>
      </c>
    </row>
    <row r="294" spans="1:18" hidden="1" x14ac:dyDescent="0.25">
      <c r="A294" t="s">
        <v>602</v>
      </c>
      <c r="B294" t="s">
        <v>3205</v>
      </c>
      <c r="C294" t="s">
        <v>3222</v>
      </c>
      <c r="D294" t="s">
        <v>3612</v>
      </c>
      <c r="E294" s="1">
        <v>222.399</v>
      </c>
      <c r="F294" s="1">
        <v>252.66300000000001</v>
      </c>
      <c r="G294">
        <v>13</v>
      </c>
      <c r="H294">
        <v>2</v>
      </c>
      <c r="I294" t="s">
        <v>2420</v>
      </c>
      <c r="J294" t="s">
        <v>1700</v>
      </c>
      <c r="K294" s="39">
        <v>52.766801000000001</v>
      </c>
      <c r="L294" s="1">
        <v>43.031025999999997</v>
      </c>
      <c r="M294" s="1" t="s">
        <v>3621</v>
      </c>
      <c r="N294" s="1">
        <v>222.399</v>
      </c>
      <c r="O294" s="1">
        <f>ABS(Table4[[#This Row],[EndMP]]-Table4[[#This Row],[StartMP]])</f>
        <v>30.26400000000001</v>
      </c>
      <c r="P294" s="1" t="str">
        <f>IF( AND( Table4[[#This Row],[Route]]=ClosureLocation!$B$3, ClosureLocation!$B$6 &gt;= Table4[[#This Row],[StartMP]], ClosureLocation!$B$6 &lt;= Table4[[#This Row],[EndMP]]), "Yes", "")</f>
        <v/>
      </c>
      <c r="Q294" s="1" t="str">
        <f>IF( AND( Table4[[#This Row],[Route]]=ClosureLocation!$B$3, ClosureLocation!$B$6 &lt;= Table4[[#This Row],[StartMP]], ClosureLocation!$B$6 &gt;= Table4[[#This Row],[EndMP]]), "Yes", "")</f>
        <v/>
      </c>
      <c r="R294" s="1" t="str">
        <f>IF( OR( Table4[[#This Row],[PrimaryMatch]]="Yes", Table4[[#This Row],[SecondaryMatch]]="Yes"), "Yes", "")</f>
        <v/>
      </c>
    </row>
    <row r="295" spans="1:18" hidden="1" x14ac:dyDescent="0.25">
      <c r="A295" t="s">
        <v>1210</v>
      </c>
      <c r="B295" t="s">
        <v>3205</v>
      </c>
      <c r="C295" t="s">
        <v>3206</v>
      </c>
      <c r="D295" t="s">
        <v>4072</v>
      </c>
      <c r="E295" s="1">
        <v>32.957999999999998</v>
      </c>
      <c r="F295" s="1">
        <v>68.721000000000004</v>
      </c>
      <c r="G295">
        <v>2</v>
      </c>
      <c r="H295">
        <v>2</v>
      </c>
      <c r="I295" t="s">
        <v>2921</v>
      </c>
      <c r="J295" t="s">
        <v>1692</v>
      </c>
      <c r="K295" s="39">
        <v>51.967520999999998</v>
      </c>
      <c r="L295" s="1">
        <v>32.788553999999998</v>
      </c>
      <c r="M295" s="1" t="s">
        <v>4074</v>
      </c>
      <c r="N295" s="1">
        <v>32.957999999999998</v>
      </c>
      <c r="O295" s="1">
        <f>ABS(Table4[[#This Row],[EndMP]]-Table4[[#This Row],[StartMP]])</f>
        <v>35.763000000000005</v>
      </c>
      <c r="P295" s="1" t="str">
        <f>IF( AND( Table4[[#This Row],[Route]]=ClosureLocation!$B$3, ClosureLocation!$B$6 &gt;= Table4[[#This Row],[StartMP]], ClosureLocation!$B$6 &lt;= Table4[[#This Row],[EndMP]]), "Yes", "")</f>
        <v/>
      </c>
      <c r="Q295" s="1" t="str">
        <f>IF( AND( Table4[[#This Row],[Route]]=ClosureLocation!$B$3, ClosureLocation!$B$6 &lt;= Table4[[#This Row],[StartMP]], ClosureLocation!$B$6 &gt;= Table4[[#This Row],[EndMP]]), "Yes", "")</f>
        <v/>
      </c>
      <c r="R295" s="1" t="str">
        <f>IF( OR( Table4[[#This Row],[PrimaryMatch]]="Yes", Table4[[#This Row],[SecondaryMatch]]="Yes"), "Yes", "")</f>
        <v/>
      </c>
    </row>
    <row r="296" spans="1:18" hidden="1" x14ac:dyDescent="0.25">
      <c r="A296" t="s">
        <v>1236</v>
      </c>
      <c r="B296" t="s">
        <v>3209</v>
      </c>
      <c r="C296" t="s">
        <v>3226</v>
      </c>
      <c r="D296" t="s">
        <v>4089</v>
      </c>
      <c r="E296" s="1">
        <v>8.9700000000000006</v>
      </c>
      <c r="F296" s="1">
        <v>0.43</v>
      </c>
      <c r="H296">
        <v>1</v>
      </c>
      <c r="I296" t="s">
        <v>2940</v>
      </c>
      <c r="J296" t="s">
        <v>1708</v>
      </c>
      <c r="K296" s="39">
        <v>51.355179999999997</v>
      </c>
      <c r="L296" s="1">
        <v>37.855463999999998</v>
      </c>
      <c r="M296" s="1" t="s">
        <v>4092</v>
      </c>
      <c r="N296" s="1">
        <v>991.03</v>
      </c>
      <c r="O296" s="1">
        <f>ABS(Table4[[#This Row],[EndMP]]-Table4[[#This Row],[StartMP]])</f>
        <v>8.5400000000000009</v>
      </c>
      <c r="P296" s="1" t="str">
        <f>IF( AND( Table4[[#This Row],[Route]]=ClosureLocation!$B$3, ClosureLocation!$B$6 &gt;= Table4[[#This Row],[StartMP]], ClosureLocation!$B$6 &lt;= Table4[[#This Row],[EndMP]]), "Yes", "")</f>
        <v/>
      </c>
      <c r="Q296" s="1" t="str">
        <f>IF( AND( Table4[[#This Row],[Route]]=ClosureLocation!$B$3, ClosureLocation!$B$6 &lt;= Table4[[#This Row],[StartMP]], ClosureLocation!$B$6 &gt;= Table4[[#This Row],[EndMP]]), "Yes", "")</f>
        <v/>
      </c>
      <c r="R296" s="1" t="str">
        <f>IF( OR( Table4[[#This Row],[PrimaryMatch]]="Yes", Table4[[#This Row],[SecondaryMatch]]="Yes"), "Yes", "")</f>
        <v/>
      </c>
    </row>
    <row r="297" spans="1:18" hidden="1" x14ac:dyDescent="0.25">
      <c r="A297" t="s">
        <v>1677</v>
      </c>
      <c r="B297" t="s">
        <v>3205</v>
      </c>
      <c r="C297" t="s">
        <v>3206</v>
      </c>
      <c r="D297" t="s">
        <v>4419</v>
      </c>
      <c r="E297" s="1">
        <v>0</v>
      </c>
      <c r="F297" s="1">
        <v>16.561</v>
      </c>
      <c r="G297">
        <v>1</v>
      </c>
      <c r="H297">
        <v>1</v>
      </c>
      <c r="I297" t="s">
        <v>3199</v>
      </c>
      <c r="J297" t="s">
        <v>1694</v>
      </c>
      <c r="K297" s="39">
        <v>51.072820999999998</v>
      </c>
      <c r="L297" s="1">
        <v>27.324857999999999</v>
      </c>
      <c r="M297" s="58" t="s">
        <v>4420</v>
      </c>
      <c r="N297" s="1">
        <v>0</v>
      </c>
      <c r="O297" s="1">
        <f>ABS(Table4[[#This Row],[EndMP]]-Table4[[#This Row],[StartMP]])</f>
        <v>16.561</v>
      </c>
      <c r="P297" s="1" t="str">
        <f>IF( AND( Table4[[#This Row],[Route]]=ClosureLocation!$B$3, ClosureLocation!$B$6 &gt;= Table4[[#This Row],[StartMP]], ClosureLocation!$B$6 &lt;= Table4[[#This Row],[EndMP]]), "Yes", "")</f>
        <v/>
      </c>
      <c r="Q297" s="1" t="str">
        <f>IF( AND( Table4[[#This Row],[Route]]=ClosureLocation!$B$3, ClosureLocation!$B$6 &lt;= Table4[[#This Row],[StartMP]], ClosureLocation!$B$6 &gt;= Table4[[#This Row],[EndMP]]), "Yes", "")</f>
        <v/>
      </c>
      <c r="R297" s="1" t="str">
        <f>IF( OR( Table4[[#This Row],[PrimaryMatch]]="Yes", Table4[[#This Row],[SecondaryMatch]]="Yes"), "Yes", "")</f>
        <v/>
      </c>
    </row>
    <row r="298" spans="1:18" hidden="1" x14ac:dyDescent="0.25">
      <c r="A298" t="s">
        <v>513</v>
      </c>
      <c r="B298" t="s">
        <v>3205</v>
      </c>
      <c r="C298" t="s">
        <v>3222</v>
      </c>
      <c r="D298" t="s">
        <v>3561</v>
      </c>
      <c r="E298" s="1">
        <v>178.25700000000001</v>
      </c>
      <c r="F298" s="1">
        <v>209.16499999999999</v>
      </c>
      <c r="G298">
        <v>5</v>
      </c>
      <c r="H298">
        <v>2</v>
      </c>
      <c r="I298" t="s">
        <v>2361</v>
      </c>
      <c r="J298" t="s">
        <v>1700</v>
      </c>
      <c r="K298" s="39">
        <v>50.949638999999998</v>
      </c>
      <c r="L298" s="1">
        <v>32.962344000000002</v>
      </c>
      <c r="M298" s="1" t="s">
        <v>3563</v>
      </c>
      <c r="N298" s="1">
        <v>178.25700000000001</v>
      </c>
      <c r="O298" s="1">
        <f>ABS(Table4[[#This Row],[EndMP]]-Table4[[#This Row],[StartMP]])</f>
        <v>30.907999999999987</v>
      </c>
      <c r="P298" s="1" t="str">
        <f>IF( AND( Table4[[#This Row],[Route]]=ClosureLocation!$B$3, ClosureLocation!$B$6 &gt;= Table4[[#This Row],[StartMP]], ClosureLocation!$B$6 &lt;= Table4[[#This Row],[EndMP]]), "Yes", "")</f>
        <v/>
      </c>
      <c r="Q298" s="1" t="str">
        <f>IF( AND( Table4[[#This Row],[Route]]=ClosureLocation!$B$3, ClosureLocation!$B$6 &lt;= Table4[[#This Row],[StartMP]], ClosureLocation!$B$6 &gt;= Table4[[#This Row],[EndMP]]), "Yes", "")</f>
        <v/>
      </c>
      <c r="R298" s="1" t="str">
        <f>IF( OR( Table4[[#This Row],[PrimaryMatch]]="Yes", Table4[[#This Row],[SecondaryMatch]]="Yes"), "Yes", "")</f>
        <v/>
      </c>
    </row>
    <row r="299" spans="1:18" hidden="1" x14ac:dyDescent="0.25">
      <c r="A299" t="s">
        <v>513</v>
      </c>
      <c r="B299" t="s">
        <v>3209</v>
      </c>
      <c r="C299" t="s">
        <v>3226</v>
      </c>
      <c r="D299" t="s">
        <v>3565</v>
      </c>
      <c r="E299" s="1">
        <v>209.16499999999999</v>
      </c>
      <c r="F299" s="1">
        <v>178.25700000000001</v>
      </c>
      <c r="G299">
        <v>3</v>
      </c>
      <c r="H299">
        <v>5</v>
      </c>
      <c r="I299" t="s">
        <v>2366</v>
      </c>
      <c r="J299" t="s">
        <v>1700</v>
      </c>
      <c r="K299" s="39">
        <v>50.949621999999998</v>
      </c>
      <c r="L299" s="1">
        <v>32.962344000000002</v>
      </c>
      <c r="M299" s="1" t="s">
        <v>3567</v>
      </c>
      <c r="N299" s="1">
        <v>790.83500000000004</v>
      </c>
      <c r="O299" s="1">
        <f>ABS(Table4[[#This Row],[EndMP]]-Table4[[#This Row],[StartMP]])</f>
        <v>30.907999999999987</v>
      </c>
      <c r="P299" s="1" t="str">
        <f>IF( AND( Table4[[#This Row],[Route]]=ClosureLocation!$B$3, ClosureLocation!$B$6 &gt;= Table4[[#This Row],[StartMP]], ClosureLocation!$B$6 &lt;= Table4[[#This Row],[EndMP]]), "Yes", "")</f>
        <v/>
      </c>
      <c r="Q299" s="1" t="str">
        <f>IF( AND( Table4[[#This Row],[Route]]=ClosureLocation!$B$3, ClosureLocation!$B$6 &lt;= Table4[[#This Row],[StartMP]], ClosureLocation!$B$6 &gt;= Table4[[#This Row],[EndMP]]), "Yes", "")</f>
        <v/>
      </c>
      <c r="R299" s="1" t="str">
        <f>IF( OR( Table4[[#This Row],[PrimaryMatch]]="Yes", Table4[[#This Row],[SecondaryMatch]]="Yes"), "Yes", "")</f>
        <v/>
      </c>
    </row>
    <row r="300" spans="1:18" hidden="1" x14ac:dyDescent="0.25">
      <c r="A300" t="s">
        <v>1261</v>
      </c>
      <c r="B300" t="s">
        <v>3205</v>
      </c>
      <c r="C300" t="s">
        <v>3206</v>
      </c>
      <c r="D300" t="s">
        <v>4103</v>
      </c>
      <c r="E300" s="1">
        <v>62.436</v>
      </c>
      <c r="F300" s="1">
        <v>154.10900000000001</v>
      </c>
      <c r="G300">
        <v>2</v>
      </c>
      <c r="H300">
        <v>1</v>
      </c>
      <c r="I300" t="s">
        <v>2948</v>
      </c>
      <c r="J300" t="s">
        <v>1708</v>
      </c>
      <c r="K300" s="39">
        <v>50.763666999999998</v>
      </c>
      <c r="L300" s="1">
        <v>48.403357999999997</v>
      </c>
      <c r="M300" s="1" t="s">
        <v>4105</v>
      </c>
      <c r="N300" s="1">
        <v>62.436</v>
      </c>
      <c r="O300" s="1">
        <f>ABS(Table4[[#This Row],[EndMP]]-Table4[[#This Row],[StartMP]])</f>
        <v>91.673000000000002</v>
      </c>
      <c r="P300" s="1" t="str">
        <f>IF( AND( Table4[[#This Row],[Route]]=ClosureLocation!$B$3, ClosureLocation!$B$6 &gt;= Table4[[#This Row],[StartMP]], ClosureLocation!$B$6 &lt;= Table4[[#This Row],[EndMP]]), "Yes", "")</f>
        <v/>
      </c>
      <c r="Q300" s="1" t="str">
        <f>IF( AND( Table4[[#This Row],[Route]]=ClosureLocation!$B$3, ClosureLocation!$B$6 &lt;= Table4[[#This Row],[StartMP]], ClosureLocation!$B$6 &gt;= Table4[[#This Row],[EndMP]]), "Yes", "")</f>
        <v/>
      </c>
      <c r="R300" s="1" t="str">
        <f>IF( OR( Table4[[#This Row],[PrimaryMatch]]="Yes", Table4[[#This Row],[SecondaryMatch]]="Yes"), "Yes", "")</f>
        <v/>
      </c>
    </row>
    <row r="301" spans="1:18" hidden="1" x14ac:dyDescent="0.25">
      <c r="A301" t="s">
        <v>1677</v>
      </c>
      <c r="B301" t="s">
        <v>3209</v>
      </c>
      <c r="C301" t="s">
        <v>3210</v>
      </c>
      <c r="D301" t="s">
        <v>4421</v>
      </c>
      <c r="E301" s="1">
        <v>16.561</v>
      </c>
      <c r="F301" s="1">
        <v>0</v>
      </c>
      <c r="G301">
        <v>1</v>
      </c>
      <c r="H301">
        <v>2</v>
      </c>
      <c r="I301" t="s">
        <v>3200</v>
      </c>
      <c r="J301" t="s">
        <v>1694</v>
      </c>
      <c r="K301" s="39">
        <v>50.756627000000002</v>
      </c>
      <c r="L301" s="1">
        <v>27.324857999999999</v>
      </c>
      <c r="M301" s="58" t="s">
        <v>4422</v>
      </c>
      <c r="N301" s="1">
        <v>983.43899999999996</v>
      </c>
      <c r="O301" s="1">
        <f>ABS(Table4[[#This Row],[EndMP]]-Table4[[#This Row],[StartMP]])</f>
        <v>16.561</v>
      </c>
      <c r="P301" s="1" t="str">
        <f>IF( AND( Table4[[#This Row],[Route]]=ClosureLocation!$B$3, ClosureLocation!$B$6 &gt;= Table4[[#This Row],[StartMP]], ClosureLocation!$B$6 &lt;= Table4[[#This Row],[EndMP]]), "Yes", "")</f>
        <v/>
      </c>
      <c r="Q301" s="1" t="str">
        <f>IF( AND( Table4[[#This Row],[Route]]=ClosureLocation!$B$3, ClosureLocation!$B$6 &lt;= Table4[[#This Row],[StartMP]], ClosureLocation!$B$6 &gt;= Table4[[#This Row],[EndMP]]), "Yes", "")</f>
        <v/>
      </c>
      <c r="R301" s="1" t="str">
        <f>IF( OR( Table4[[#This Row],[PrimaryMatch]]="Yes", Table4[[#This Row],[SecondaryMatch]]="Yes"), "Yes", "")</f>
        <v/>
      </c>
    </row>
    <row r="302" spans="1:18" hidden="1" x14ac:dyDescent="0.25">
      <c r="A302" t="s">
        <v>1261</v>
      </c>
      <c r="B302" t="s">
        <v>3209</v>
      </c>
      <c r="C302" t="s">
        <v>3210</v>
      </c>
      <c r="D302" t="s">
        <v>4106</v>
      </c>
      <c r="E302" s="1">
        <v>154.10900000000001</v>
      </c>
      <c r="F302" s="1">
        <v>62.436</v>
      </c>
      <c r="G302">
        <v>1</v>
      </c>
      <c r="H302">
        <v>2</v>
      </c>
      <c r="I302" t="s">
        <v>2949</v>
      </c>
      <c r="J302" t="s">
        <v>1708</v>
      </c>
      <c r="K302" s="39">
        <v>50.744056999999998</v>
      </c>
      <c r="L302" s="1">
        <v>48.403357999999997</v>
      </c>
      <c r="M302" s="1" t="s">
        <v>4107</v>
      </c>
      <c r="N302" s="1">
        <v>845.89099999999996</v>
      </c>
      <c r="O302" s="1">
        <f>ABS(Table4[[#This Row],[EndMP]]-Table4[[#This Row],[StartMP]])</f>
        <v>91.673000000000002</v>
      </c>
      <c r="P302" s="1" t="str">
        <f>IF( AND( Table4[[#This Row],[Route]]=ClosureLocation!$B$3, ClosureLocation!$B$6 &gt;= Table4[[#This Row],[StartMP]], ClosureLocation!$B$6 &lt;= Table4[[#This Row],[EndMP]]), "Yes", "")</f>
        <v/>
      </c>
      <c r="Q302" s="1" t="str">
        <f>IF( AND( Table4[[#This Row],[Route]]=ClosureLocation!$B$3, ClosureLocation!$B$6 &lt;= Table4[[#This Row],[StartMP]], ClosureLocation!$B$6 &gt;= Table4[[#This Row],[EndMP]]), "Yes", "")</f>
        <v/>
      </c>
      <c r="R302" s="1" t="str">
        <f>IF( OR( Table4[[#This Row],[PrimaryMatch]]="Yes", Table4[[#This Row],[SecondaryMatch]]="Yes"), "Yes", "")</f>
        <v/>
      </c>
    </row>
    <row r="303" spans="1:18" hidden="1" x14ac:dyDescent="0.25">
      <c r="A303" t="s">
        <v>751</v>
      </c>
      <c r="B303" t="s">
        <v>3205</v>
      </c>
      <c r="C303" t="s">
        <v>3206</v>
      </c>
      <c r="D303" t="s">
        <v>3736</v>
      </c>
      <c r="E303" s="1">
        <v>0</v>
      </c>
      <c r="F303" s="1">
        <v>11.047000000000001</v>
      </c>
      <c r="G303">
        <v>1</v>
      </c>
      <c r="H303">
        <v>1</v>
      </c>
      <c r="I303" t="s">
        <v>2540</v>
      </c>
      <c r="J303" t="s">
        <v>1699</v>
      </c>
      <c r="K303" s="39">
        <v>50.206274000000001</v>
      </c>
      <c r="L303" s="1">
        <v>46.048668999999997</v>
      </c>
      <c r="M303" s="1" t="s">
        <v>3737</v>
      </c>
      <c r="N303" s="1">
        <v>0</v>
      </c>
      <c r="O303" s="1">
        <f>ABS(Table4[[#This Row],[EndMP]]-Table4[[#This Row],[StartMP]])</f>
        <v>11.047000000000001</v>
      </c>
      <c r="P303" s="1" t="str">
        <f>IF( AND( Table4[[#This Row],[Route]]=ClosureLocation!$B$3, ClosureLocation!$B$6 &gt;= Table4[[#This Row],[StartMP]], ClosureLocation!$B$6 &lt;= Table4[[#This Row],[EndMP]]), "Yes", "")</f>
        <v/>
      </c>
      <c r="Q303" s="1" t="str">
        <f>IF( AND( Table4[[#This Row],[Route]]=ClosureLocation!$B$3, ClosureLocation!$B$6 &lt;= Table4[[#This Row],[StartMP]], ClosureLocation!$B$6 &gt;= Table4[[#This Row],[EndMP]]), "Yes", "")</f>
        <v/>
      </c>
      <c r="R303" s="1" t="str">
        <f>IF( OR( Table4[[#This Row],[PrimaryMatch]]="Yes", Table4[[#This Row],[SecondaryMatch]]="Yes"), "Yes", "")</f>
        <v/>
      </c>
    </row>
    <row r="304" spans="1:18" hidden="1" x14ac:dyDescent="0.25">
      <c r="A304" t="s">
        <v>575</v>
      </c>
      <c r="B304" t="s">
        <v>3205</v>
      </c>
      <c r="C304" t="s">
        <v>3222</v>
      </c>
      <c r="D304" t="s">
        <v>3593</v>
      </c>
      <c r="E304" s="1">
        <v>470.31099999999998</v>
      </c>
      <c r="F304" s="1">
        <v>470.88499999999999</v>
      </c>
      <c r="G304">
        <v>2</v>
      </c>
      <c r="H304">
        <v>2</v>
      </c>
      <c r="I304" t="s">
        <v>2395</v>
      </c>
      <c r="J304" t="s">
        <v>1707</v>
      </c>
      <c r="K304" s="39">
        <v>50.138862000000003</v>
      </c>
      <c r="L304" s="1">
        <v>81.408242000000001</v>
      </c>
      <c r="M304" s="58" t="s">
        <v>3595</v>
      </c>
      <c r="N304" s="1">
        <v>470.31099999999998</v>
      </c>
      <c r="O304" s="1">
        <f>ABS(Table4[[#This Row],[EndMP]]-Table4[[#This Row],[StartMP]])</f>
        <v>0.57400000000001228</v>
      </c>
      <c r="P304" s="1" t="str">
        <f>IF( AND( Table4[[#This Row],[Route]]=ClosureLocation!$B$3, ClosureLocation!$B$6 &gt;= Table4[[#This Row],[StartMP]], ClosureLocation!$B$6 &lt;= Table4[[#This Row],[EndMP]]), "Yes", "")</f>
        <v/>
      </c>
      <c r="Q304" s="1" t="str">
        <f>IF( AND( Table4[[#This Row],[Route]]=ClosureLocation!$B$3, ClosureLocation!$B$6 &lt;= Table4[[#This Row],[StartMP]], ClosureLocation!$B$6 &gt;= Table4[[#This Row],[EndMP]]), "Yes", "")</f>
        <v/>
      </c>
      <c r="R304" s="1" t="str">
        <f>IF( OR( Table4[[#This Row],[PrimaryMatch]]="Yes", Table4[[#This Row],[SecondaryMatch]]="Yes"), "Yes", "")</f>
        <v/>
      </c>
    </row>
    <row r="305" spans="1:18" hidden="1" x14ac:dyDescent="0.25">
      <c r="A305" t="s">
        <v>575</v>
      </c>
      <c r="B305" t="s">
        <v>3209</v>
      </c>
      <c r="C305" t="s">
        <v>3226</v>
      </c>
      <c r="D305" t="s">
        <v>3596</v>
      </c>
      <c r="E305" s="1">
        <v>470.88499999999999</v>
      </c>
      <c r="F305" s="1">
        <v>470.31099999999998</v>
      </c>
      <c r="G305">
        <v>2</v>
      </c>
      <c r="H305">
        <v>3</v>
      </c>
      <c r="I305" t="s">
        <v>2398</v>
      </c>
      <c r="J305" t="s">
        <v>1707</v>
      </c>
      <c r="K305" s="39">
        <v>49.986452</v>
      </c>
      <c r="L305" s="1">
        <v>81.314240999999996</v>
      </c>
      <c r="M305" s="58" t="s">
        <v>3597</v>
      </c>
      <c r="N305" s="1">
        <v>529.11500000000001</v>
      </c>
      <c r="O305" s="1">
        <f>ABS(Table4[[#This Row],[EndMP]]-Table4[[#This Row],[StartMP]])</f>
        <v>0.57400000000001228</v>
      </c>
      <c r="P305" s="1" t="str">
        <f>IF( AND( Table4[[#This Row],[Route]]=ClosureLocation!$B$3, ClosureLocation!$B$6 &gt;= Table4[[#This Row],[StartMP]], ClosureLocation!$B$6 &lt;= Table4[[#This Row],[EndMP]]), "Yes", "")</f>
        <v/>
      </c>
      <c r="Q305" s="1" t="str">
        <f>IF( AND( Table4[[#This Row],[Route]]=ClosureLocation!$B$3, ClosureLocation!$B$6 &lt;= Table4[[#This Row],[StartMP]], ClosureLocation!$B$6 &gt;= Table4[[#This Row],[EndMP]]), "Yes", "")</f>
        <v/>
      </c>
      <c r="R305" s="1" t="str">
        <f>IF( OR( Table4[[#This Row],[PrimaryMatch]]="Yes", Table4[[#This Row],[SecondaryMatch]]="Yes"), "Yes", "")</f>
        <v/>
      </c>
    </row>
    <row r="306" spans="1:18" hidden="1" x14ac:dyDescent="0.25">
      <c r="A306" t="s">
        <v>751</v>
      </c>
      <c r="B306" t="s">
        <v>3209</v>
      </c>
      <c r="C306" t="s">
        <v>3210</v>
      </c>
      <c r="D306" t="s">
        <v>3738</v>
      </c>
      <c r="E306" s="1">
        <v>11.047000000000001</v>
      </c>
      <c r="F306" s="1">
        <v>0</v>
      </c>
      <c r="G306">
        <v>1</v>
      </c>
      <c r="H306">
        <v>2</v>
      </c>
      <c r="I306" t="s">
        <v>2541</v>
      </c>
      <c r="J306" t="s">
        <v>1699</v>
      </c>
      <c r="K306" s="39">
        <v>49.928719999999998</v>
      </c>
      <c r="L306" s="1">
        <v>45.870950000000001</v>
      </c>
      <c r="M306" s="1" t="s">
        <v>3739</v>
      </c>
      <c r="N306" s="1">
        <v>988.95299999999997</v>
      </c>
      <c r="O306" s="1">
        <f>ABS(Table4[[#This Row],[EndMP]]-Table4[[#This Row],[StartMP]])</f>
        <v>11.047000000000001</v>
      </c>
      <c r="P306" s="1" t="str">
        <f>IF( AND( Table4[[#This Row],[Route]]=ClosureLocation!$B$3, ClosureLocation!$B$6 &gt;= Table4[[#This Row],[StartMP]], ClosureLocation!$B$6 &lt;= Table4[[#This Row],[EndMP]]), "Yes", "")</f>
        <v/>
      </c>
      <c r="Q306" s="1" t="str">
        <f>IF( AND( Table4[[#This Row],[Route]]=ClosureLocation!$B$3, ClosureLocation!$B$6 &lt;= Table4[[#This Row],[StartMP]], ClosureLocation!$B$6 &gt;= Table4[[#This Row],[EndMP]]), "Yes", "")</f>
        <v/>
      </c>
      <c r="R306" s="1" t="str">
        <f>IF( OR( Table4[[#This Row],[PrimaryMatch]]="Yes", Table4[[#This Row],[SecondaryMatch]]="Yes"), "Yes", "")</f>
        <v/>
      </c>
    </row>
    <row r="307" spans="1:18" hidden="1" x14ac:dyDescent="0.25">
      <c r="A307" t="s">
        <v>1615</v>
      </c>
      <c r="B307" t="s">
        <v>3209</v>
      </c>
      <c r="C307" t="s">
        <v>3210</v>
      </c>
      <c r="D307" t="s">
        <v>4359</v>
      </c>
      <c r="E307" s="1">
        <v>279.42399999999998</v>
      </c>
      <c r="F307" s="1">
        <v>243.345</v>
      </c>
      <c r="G307">
        <v>3</v>
      </c>
      <c r="H307">
        <v>7</v>
      </c>
      <c r="I307" t="s">
        <v>3155</v>
      </c>
      <c r="J307" t="s">
        <v>1691</v>
      </c>
      <c r="K307" s="39">
        <v>49.769770999999999</v>
      </c>
      <c r="L307" s="1">
        <v>40.263483000000001</v>
      </c>
      <c r="M307" s="1" t="s">
        <v>4362</v>
      </c>
      <c r="N307" s="1">
        <v>720.57600000000002</v>
      </c>
      <c r="O307" s="1">
        <f>ABS(Table4[[#This Row],[EndMP]]-Table4[[#This Row],[StartMP]])</f>
        <v>36.078999999999979</v>
      </c>
      <c r="P307" s="1" t="str">
        <f>IF( AND( Table4[[#This Row],[Route]]=ClosureLocation!$B$3, ClosureLocation!$B$6 &gt;= Table4[[#This Row],[StartMP]], ClosureLocation!$B$6 &lt;= Table4[[#This Row],[EndMP]]), "Yes", "")</f>
        <v/>
      </c>
      <c r="Q307" s="1" t="str">
        <f>IF( AND( Table4[[#This Row],[Route]]=ClosureLocation!$B$3, ClosureLocation!$B$6 &lt;= Table4[[#This Row],[StartMP]], ClosureLocation!$B$6 &gt;= Table4[[#This Row],[EndMP]]), "Yes", "")</f>
        <v/>
      </c>
      <c r="R307" s="1" t="str">
        <f>IF( OR( Table4[[#This Row],[PrimaryMatch]]="Yes", Table4[[#This Row],[SecondaryMatch]]="Yes"), "Yes", "")</f>
        <v/>
      </c>
    </row>
    <row r="308" spans="1:18" hidden="1" x14ac:dyDescent="0.25">
      <c r="A308" t="s">
        <v>776</v>
      </c>
      <c r="B308" t="s">
        <v>3205</v>
      </c>
      <c r="C308" t="s">
        <v>3222</v>
      </c>
      <c r="D308" t="s">
        <v>3748</v>
      </c>
      <c r="E308" s="1">
        <v>352.53399999999999</v>
      </c>
      <c r="F308" s="1">
        <v>359.19600000000003</v>
      </c>
      <c r="G308">
        <v>44</v>
      </c>
      <c r="H308">
        <v>44</v>
      </c>
      <c r="I308" t="s">
        <v>2589</v>
      </c>
      <c r="J308" t="s">
        <v>1694</v>
      </c>
      <c r="K308" s="39">
        <v>49.383437999999998</v>
      </c>
      <c r="L308" s="1">
        <v>25.357002000000001</v>
      </c>
      <c r="M308" s="1" t="s">
        <v>4488</v>
      </c>
      <c r="N308" s="1">
        <v>352.53399999999999</v>
      </c>
      <c r="O308" s="1">
        <f>ABS(Table4[[#This Row],[EndMP]]-Table4[[#This Row],[StartMP]])</f>
        <v>6.6620000000000346</v>
      </c>
      <c r="P308" s="1" t="str">
        <f>IF( AND( Table4[[#This Row],[Route]]=ClosureLocation!$B$3, ClosureLocation!$B$6 &gt;= Table4[[#This Row],[StartMP]], ClosureLocation!$B$6 &lt;= Table4[[#This Row],[EndMP]]), "Yes", "")</f>
        <v/>
      </c>
      <c r="Q308" s="1" t="str">
        <f>IF( AND( Table4[[#This Row],[Route]]=ClosureLocation!$B$3, ClosureLocation!$B$6 &lt;= Table4[[#This Row],[StartMP]], ClosureLocation!$B$6 &gt;= Table4[[#This Row],[EndMP]]), "Yes", "")</f>
        <v/>
      </c>
      <c r="R308" s="1" t="str">
        <f>IF( OR( Table4[[#This Row],[PrimaryMatch]]="Yes", Table4[[#This Row],[SecondaryMatch]]="Yes"), "Yes", "")</f>
        <v/>
      </c>
    </row>
    <row r="309" spans="1:18" hidden="1" x14ac:dyDescent="0.25">
      <c r="A309" t="s">
        <v>776</v>
      </c>
      <c r="B309" t="s">
        <v>3209</v>
      </c>
      <c r="C309" t="s">
        <v>3226</v>
      </c>
      <c r="D309" t="s">
        <v>3749</v>
      </c>
      <c r="E309" s="1">
        <v>359.23200000000003</v>
      </c>
      <c r="F309" s="1">
        <v>352.56200000000001</v>
      </c>
      <c r="G309">
        <v>10</v>
      </c>
      <c r="H309">
        <v>63</v>
      </c>
      <c r="I309" t="s">
        <v>2609</v>
      </c>
      <c r="J309" t="s">
        <v>1694</v>
      </c>
      <c r="K309" s="39">
        <v>49.197132000000003</v>
      </c>
      <c r="L309" s="1">
        <v>25.267575000000001</v>
      </c>
      <c r="M309" s="1" t="s">
        <v>4504</v>
      </c>
      <c r="N309" s="1">
        <v>640.76800000000003</v>
      </c>
      <c r="O309" s="1">
        <f>ABS(Table4[[#This Row],[EndMP]]-Table4[[#This Row],[StartMP]])</f>
        <v>6.6700000000000159</v>
      </c>
      <c r="P309" s="1" t="str">
        <f>IF( AND( Table4[[#This Row],[Route]]=ClosureLocation!$B$3, ClosureLocation!$B$6 &gt;= Table4[[#This Row],[StartMP]], ClosureLocation!$B$6 &lt;= Table4[[#This Row],[EndMP]]), "Yes", "")</f>
        <v/>
      </c>
      <c r="Q309" s="1" t="str">
        <f>IF( AND( Table4[[#This Row],[Route]]=ClosureLocation!$B$3, ClosureLocation!$B$6 &lt;= Table4[[#This Row],[StartMP]], ClosureLocation!$B$6 &gt;= Table4[[#This Row],[EndMP]]), "Yes", "")</f>
        <v/>
      </c>
      <c r="R309" s="1" t="str">
        <f>IF( OR( Table4[[#This Row],[PrimaryMatch]]="Yes", Table4[[#This Row],[SecondaryMatch]]="Yes"), "Yes", "")</f>
        <v/>
      </c>
    </row>
    <row r="310" spans="1:18" hidden="1" x14ac:dyDescent="0.25">
      <c r="A310" t="s">
        <v>894</v>
      </c>
      <c r="B310" t="s">
        <v>3205</v>
      </c>
      <c r="C310" t="s">
        <v>3206</v>
      </c>
      <c r="D310" t="s">
        <v>3811</v>
      </c>
      <c r="E310" s="1">
        <v>138.011</v>
      </c>
      <c r="F310" s="1">
        <v>174.357</v>
      </c>
      <c r="G310">
        <v>2</v>
      </c>
      <c r="H310">
        <v>2</v>
      </c>
      <c r="I310" t="s">
        <v>2689</v>
      </c>
      <c r="J310" t="s">
        <v>1699</v>
      </c>
      <c r="K310" s="39">
        <v>48.958010000000002</v>
      </c>
      <c r="L310" s="1">
        <v>90.035584</v>
      </c>
      <c r="M310" s="1" t="s">
        <v>3813</v>
      </c>
      <c r="N310" s="1">
        <v>138.011</v>
      </c>
      <c r="O310" s="1">
        <f>ABS(Table4[[#This Row],[EndMP]]-Table4[[#This Row],[StartMP]])</f>
        <v>36.346000000000004</v>
      </c>
      <c r="P310" s="1" t="str">
        <f>IF( AND( Table4[[#This Row],[Route]]=ClosureLocation!$B$3, ClosureLocation!$B$6 &gt;= Table4[[#This Row],[StartMP]], ClosureLocation!$B$6 &lt;= Table4[[#This Row],[EndMP]]), "Yes", "")</f>
        <v/>
      </c>
      <c r="Q310" s="1" t="str">
        <f>IF( AND( Table4[[#This Row],[Route]]=ClosureLocation!$B$3, ClosureLocation!$B$6 &lt;= Table4[[#This Row],[StartMP]], ClosureLocation!$B$6 &gt;= Table4[[#This Row],[EndMP]]), "Yes", "")</f>
        <v/>
      </c>
      <c r="R310" s="1" t="str">
        <f>IF( OR( Table4[[#This Row],[PrimaryMatch]]="Yes", Table4[[#This Row],[SecondaryMatch]]="Yes"), "Yes", "")</f>
        <v/>
      </c>
    </row>
    <row r="311" spans="1:18" hidden="1" x14ac:dyDescent="0.25">
      <c r="A311" t="s">
        <v>776</v>
      </c>
      <c r="B311" t="s">
        <v>3209</v>
      </c>
      <c r="C311" t="s">
        <v>3226</v>
      </c>
      <c r="D311" t="s">
        <v>3749</v>
      </c>
      <c r="E311" s="1">
        <v>195.37899999999999</v>
      </c>
      <c r="F311" s="1">
        <v>171.024</v>
      </c>
      <c r="G311">
        <v>34</v>
      </c>
      <c r="H311">
        <v>87</v>
      </c>
      <c r="I311" t="s">
        <v>2633</v>
      </c>
      <c r="J311" t="s">
        <v>1694</v>
      </c>
      <c r="K311" s="39">
        <v>48.858297</v>
      </c>
      <c r="L311" s="1">
        <v>29.044183</v>
      </c>
      <c r="M311" s="1" t="s">
        <v>4526</v>
      </c>
      <c r="N311" s="1">
        <v>804.62099999999998</v>
      </c>
      <c r="O311" s="1">
        <f>ABS(Table4[[#This Row],[EndMP]]-Table4[[#This Row],[StartMP]])</f>
        <v>24.35499999999999</v>
      </c>
      <c r="P311" s="1" t="str">
        <f>IF( AND( Table4[[#This Row],[Route]]=ClosureLocation!$B$3, ClosureLocation!$B$6 &gt;= Table4[[#This Row],[StartMP]], ClosureLocation!$B$6 &lt;= Table4[[#This Row],[EndMP]]), "Yes", "")</f>
        <v/>
      </c>
      <c r="Q311" s="1" t="str">
        <f>IF( AND( Table4[[#This Row],[Route]]=ClosureLocation!$B$3, ClosureLocation!$B$6 &lt;= Table4[[#This Row],[StartMP]], ClosureLocation!$B$6 &gt;= Table4[[#This Row],[EndMP]]), "Yes", "")</f>
        <v/>
      </c>
      <c r="R311" s="1" t="str">
        <f>IF( OR( Table4[[#This Row],[PrimaryMatch]]="Yes", Table4[[#This Row],[SecondaryMatch]]="Yes"), "Yes", "")</f>
        <v/>
      </c>
    </row>
    <row r="312" spans="1:18" hidden="1" x14ac:dyDescent="0.25">
      <c r="A312" t="s">
        <v>1236</v>
      </c>
      <c r="B312" t="s">
        <v>3205</v>
      </c>
      <c r="C312" t="s">
        <v>3222</v>
      </c>
      <c r="D312" t="s">
        <v>4085</v>
      </c>
      <c r="E312" s="1">
        <v>0</v>
      </c>
      <c r="F312" s="1">
        <v>8.9700000000000006</v>
      </c>
      <c r="G312">
        <v>1</v>
      </c>
      <c r="H312">
        <v>2</v>
      </c>
      <c r="I312" t="s">
        <v>2930</v>
      </c>
      <c r="J312" t="s">
        <v>1708</v>
      </c>
      <c r="K312" s="39">
        <v>48.829985999999998</v>
      </c>
      <c r="L312" s="1">
        <v>37.957377999999999</v>
      </c>
      <c r="M312" s="1" t="s">
        <v>4086</v>
      </c>
      <c r="N312" s="1">
        <v>0</v>
      </c>
      <c r="O312" s="1">
        <f>ABS(Table4[[#This Row],[EndMP]]-Table4[[#This Row],[StartMP]])</f>
        <v>8.9700000000000006</v>
      </c>
      <c r="P312" s="1" t="str">
        <f>IF( AND( Table4[[#This Row],[Route]]=ClosureLocation!$B$3, ClosureLocation!$B$6 &gt;= Table4[[#This Row],[StartMP]], ClosureLocation!$B$6 &lt;= Table4[[#This Row],[EndMP]]), "Yes", "")</f>
        <v/>
      </c>
      <c r="Q312" s="1" t="str">
        <f>IF( AND( Table4[[#This Row],[Route]]=ClosureLocation!$B$3, ClosureLocation!$B$6 &lt;= Table4[[#This Row],[StartMP]], ClosureLocation!$B$6 &gt;= Table4[[#This Row],[EndMP]]), "Yes", "")</f>
        <v/>
      </c>
      <c r="R312" s="1" t="str">
        <f>IF( OR( Table4[[#This Row],[PrimaryMatch]]="Yes", Table4[[#This Row],[SecondaryMatch]]="Yes"), "Yes", "")</f>
        <v/>
      </c>
    </row>
    <row r="313" spans="1:18" hidden="1" x14ac:dyDescent="0.25">
      <c r="A313" t="s">
        <v>709</v>
      </c>
      <c r="B313" t="s">
        <v>3205</v>
      </c>
      <c r="C313" t="s">
        <v>3206</v>
      </c>
      <c r="D313" t="s">
        <v>3685</v>
      </c>
      <c r="E313" s="1">
        <v>0</v>
      </c>
      <c r="F313" s="1">
        <v>40.963000000000001</v>
      </c>
      <c r="G313">
        <v>1</v>
      </c>
      <c r="H313">
        <v>1</v>
      </c>
      <c r="I313" t="s">
        <v>2503</v>
      </c>
      <c r="J313" t="s">
        <v>1699</v>
      </c>
      <c r="K313" s="39">
        <v>48.508246999999997</v>
      </c>
      <c r="L313" s="1">
        <v>53.920349999999999</v>
      </c>
      <c r="M313" s="1" t="s">
        <v>3686</v>
      </c>
      <c r="N313" s="1">
        <v>0</v>
      </c>
      <c r="O313" s="1">
        <f>ABS(Table4[[#This Row],[EndMP]]-Table4[[#This Row],[StartMP]])</f>
        <v>40.963000000000001</v>
      </c>
      <c r="P313" s="1" t="str">
        <f>IF( AND( Table4[[#This Row],[Route]]=ClosureLocation!$B$3, ClosureLocation!$B$6 &gt;= Table4[[#This Row],[StartMP]], ClosureLocation!$B$6 &lt;= Table4[[#This Row],[EndMP]]), "Yes", "")</f>
        <v/>
      </c>
      <c r="Q313" s="1" t="str">
        <f>IF( AND( Table4[[#This Row],[Route]]=ClosureLocation!$B$3, ClosureLocation!$B$6 &lt;= Table4[[#This Row],[StartMP]], ClosureLocation!$B$6 &gt;= Table4[[#This Row],[EndMP]]), "Yes", "")</f>
        <v/>
      </c>
      <c r="R313" s="1" t="str">
        <f>IF( OR( Table4[[#This Row],[PrimaryMatch]]="Yes", Table4[[#This Row],[SecondaryMatch]]="Yes"), "Yes", "")</f>
        <v/>
      </c>
    </row>
    <row r="314" spans="1:18" hidden="1" x14ac:dyDescent="0.25">
      <c r="A314" t="s">
        <v>709</v>
      </c>
      <c r="B314" t="s">
        <v>3209</v>
      </c>
      <c r="C314" t="s">
        <v>3210</v>
      </c>
      <c r="D314" t="s">
        <v>3688</v>
      </c>
      <c r="E314" s="1">
        <v>40.963000000000001</v>
      </c>
      <c r="F314" s="1">
        <v>0</v>
      </c>
      <c r="G314">
        <v>3</v>
      </c>
      <c r="H314">
        <v>6</v>
      </c>
      <c r="I314" t="s">
        <v>2508</v>
      </c>
      <c r="J314" t="s">
        <v>1699</v>
      </c>
      <c r="K314" s="39">
        <v>48.470784999999999</v>
      </c>
      <c r="L314" s="1">
        <v>53.909328000000002</v>
      </c>
      <c r="M314" s="1" t="s">
        <v>3690</v>
      </c>
      <c r="N314" s="1">
        <v>959.03700000000003</v>
      </c>
      <c r="O314" s="1">
        <f>ABS(Table4[[#This Row],[EndMP]]-Table4[[#This Row],[StartMP]])</f>
        <v>40.963000000000001</v>
      </c>
      <c r="P314" s="1" t="str">
        <f>IF( AND( Table4[[#This Row],[Route]]=ClosureLocation!$B$3, ClosureLocation!$B$6 &gt;= Table4[[#This Row],[StartMP]], ClosureLocation!$B$6 &lt;= Table4[[#This Row],[EndMP]]), "Yes", "")</f>
        <v/>
      </c>
      <c r="Q314" s="1" t="str">
        <f>IF( AND( Table4[[#This Row],[Route]]=ClosureLocation!$B$3, ClosureLocation!$B$6 &lt;= Table4[[#This Row],[StartMP]], ClosureLocation!$B$6 &gt;= Table4[[#This Row],[EndMP]]), "Yes", "")</f>
        <v/>
      </c>
      <c r="R314" s="1" t="str">
        <f>IF( OR( Table4[[#This Row],[PrimaryMatch]]="Yes", Table4[[#This Row],[SecondaryMatch]]="Yes"), "Yes", "")</f>
        <v/>
      </c>
    </row>
    <row r="315" spans="1:18" hidden="1" x14ac:dyDescent="0.25">
      <c r="A315" t="s">
        <v>1605</v>
      </c>
      <c r="B315" t="s">
        <v>3209</v>
      </c>
      <c r="C315" t="s">
        <v>3210</v>
      </c>
      <c r="D315" t="s">
        <v>4350</v>
      </c>
      <c r="E315" s="1">
        <v>187.36600000000001</v>
      </c>
      <c r="F315" s="1">
        <v>150.251</v>
      </c>
      <c r="G315">
        <v>4</v>
      </c>
      <c r="H315">
        <v>4</v>
      </c>
      <c r="I315" t="s">
        <v>3148</v>
      </c>
      <c r="J315" t="s">
        <v>1708</v>
      </c>
      <c r="K315" s="39">
        <v>48.246862</v>
      </c>
      <c r="L315" s="1">
        <v>56.107165999999999</v>
      </c>
      <c r="M315" s="58" t="s">
        <v>4353</v>
      </c>
      <c r="N315" s="1">
        <v>812.63400000000001</v>
      </c>
      <c r="O315" s="1">
        <f>ABS(Table4[[#This Row],[EndMP]]-Table4[[#This Row],[StartMP]])</f>
        <v>37.115000000000009</v>
      </c>
      <c r="P315" s="1" t="str">
        <f>IF( AND( Table4[[#This Row],[Route]]=ClosureLocation!$B$3, ClosureLocation!$B$6 &gt;= Table4[[#This Row],[StartMP]], ClosureLocation!$B$6 &lt;= Table4[[#This Row],[EndMP]]), "Yes", "")</f>
        <v/>
      </c>
      <c r="Q315" s="1" t="str">
        <f>IF( AND( Table4[[#This Row],[Route]]=ClosureLocation!$B$3, ClosureLocation!$B$6 &lt;= Table4[[#This Row],[StartMP]], ClosureLocation!$B$6 &gt;= Table4[[#This Row],[EndMP]]), "Yes", "")</f>
        <v/>
      </c>
      <c r="R315" s="1" t="str">
        <f>IF( OR( Table4[[#This Row],[PrimaryMatch]]="Yes", Table4[[#This Row],[SecondaryMatch]]="Yes"), "Yes", "")</f>
        <v/>
      </c>
    </row>
    <row r="316" spans="1:18" hidden="1" x14ac:dyDescent="0.25">
      <c r="A316" t="s">
        <v>513</v>
      </c>
      <c r="B316" t="s">
        <v>3209</v>
      </c>
      <c r="C316" t="s">
        <v>3226</v>
      </c>
      <c r="D316" t="s">
        <v>3565</v>
      </c>
      <c r="E316" s="1">
        <v>257.37799999999999</v>
      </c>
      <c r="F316" s="1">
        <v>211.08099999999999</v>
      </c>
      <c r="G316">
        <v>1</v>
      </c>
      <c r="H316">
        <v>2</v>
      </c>
      <c r="I316" t="s">
        <v>2364</v>
      </c>
      <c r="J316" t="s">
        <v>1700</v>
      </c>
      <c r="K316" s="39">
        <v>48.197671999999997</v>
      </c>
      <c r="L316" s="1">
        <v>44.361972000000002</v>
      </c>
      <c r="M316" s="1" t="s">
        <v>3566</v>
      </c>
      <c r="N316" s="1">
        <v>742.62199999999996</v>
      </c>
      <c r="O316" s="1">
        <f>ABS(Table4[[#This Row],[EndMP]]-Table4[[#This Row],[StartMP]])</f>
        <v>46.296999999999997</v>
      </c>
      <c r="P316" s="1" t="str">
        <f>IF( AND( Table4[[#This Row],[Route]]=ClosureLocation!$B$3, ClosureLocation!$B$6 &gt;= Table4[[#This Row],[StartMP]], ClosureLocation!$B$6 &lt;= Table4[[#This Row],[EndMP]]), "Yes", "")</f>
        <v/>
      </c>
      <c r="Q316" s="1" t="str">
        <f>IF( AND( Table4[[#This Row],[Route]]=ClosureLocation!$B$3, ClosureLocation!$B$6 &lt;= Table4[[#This Row],[StartMP]], ClosureLocation!$B$6 &gt;= Table4[[#This Row],[EndMP]]), "Yes", "")</f>
        <v/>
      </c>
      <c r="R316" s="1" t="str">
        <f>IF( OR( Table4[[#This Row],[PrimaryMatch]]="Yes", Table4[[#This Row],[SecondaryMatch]]="Yes"), "Yes", "")</f>
        <v/>
      </c>
    </row>
    <row r="317" spans="1:18" hidden="1" x14ac:dyDescent="0.25">
      <c r="A317" t="s">
        <v>776</v>
      </c>
      <c r="B317" t="s">
        <v>3205</v>
      </c>
      <c r="C317" t="s">
        <v>3222</v>
      </c>
      <c r="D317" t="s">
        <v>3748</v>
      </c>
      <c r="E317" s="1">
        <v>171.10499999999999</v>
      </c>
      <c r="F317" s="1">
        <v>195.084</v>
      </c>
      <c r="G317">
        <v>21</v>
      </c>
      <c r="H317">
        <v>21</v>
      </c>
      <c r="I317" t="s">
        <v>2566</v>
      </c>
      <c r="J317" t="s">
        <v>1694</v>
      </c>
      <c r="K317" s="39">
        <v>48.157910999999999</v>
      </c>
      <c r="L317" s="1">
        <v>28.999542000000002</v>
      </c>
      <c r="M317" s="1" t="s">
        <v>4469</v>
      </c>
      <c r="N317" s="1">
        <v>171.10499999999999</v>
      </c>
      <c r="O317" s="1">
        <f>ABS(Table4[[#This Row],[EndMP]]-Table4[[#This Row],[StartMP]])</f>
        <v>23.979000000000013</v>
      </c>
      <c r="P317" s="1" t="str">
        <f>IF( AND( Table4[[#This Row],[Route]]=ClosureLocation!$B$3, ClosureLocation!$B$6 &gt;= Table4[[#This Row],[StartMP]], ClosureLocation!$B$6 &lt;= Table4[[#This Row],[EndMP]]), "Yes", "")</f>
        <v/>
      </c>
      <c r="Q317" s="1" t="str">
        <f>IF( AND( Table4[[#This Row],[Route]]=ClosureLocation!$B$3, ClosureLocation!$B$6 &lt;= Table4[[#This Row],[StartMP]], ClosureLocation!$B$6 &gt;= Table4[[#This Row],[EndMP]]), "Yes", "")</f>
        <v/>
      </c>
      <c r="R317" s="1" t="str">
        <f>IF( OR( Table4[[#This Row],[PrimaryMatch]]="Yes", Table4[[#This Row],[SecondaryMatch]]="Yes"), "Yes", "")</f>
        <v/>
      </c>
    </row>
    <row r="318" spans="1:18" hidden="1" x14ac:dyDescent="0.25">
      <c r="A318" t="s">
        <v>1605</v>
      </c>
      <c r="B318" t="s">
        <v>3205</v>
      </c>
      <c r="C318" t="s">
        <v>3206</v>
      </c>
      <c r="D318" t="s">
        <v>4346</v>
      </c>
      <c r="E318" s="1">
        <v>150.251</v>
      </c>
      <c r="F318" s="1">
        <v>187.36600000000001</v>
      </c>
      <c r="G318">
        <v>1</v>
      </c>
      <c r="H318">
        <v>1</v>
      </c>
      <c r="I318" t="s">
        <v>3141</v>
      </c>
      <c r="J318" t="s">
        <v>1708</v>
      </c>
      <c r="K318" s="39">
        <v>48.095629000000002</v>
      </c>
      <c r="L318" s="1">
        <v>56.009411</v>
      </c>
      <c r="M318" s="58" t="s">
        <v>4347</v>
      </c>
      <c r="N318" s="1">
        <v>150.251</v>
      </c>
      <c r="O318" s="1">
        <f>ABS(Table4[[#This Row],[EndMP]]-Table4[[#This Row],[StartMP]])</f>
        <v>37.115000000000009</v>
      </c>
      <c r="P318" s="1" t="str">
        <f>IF( AND( Table4[[#This Row],[Route]]=ClosureLocation!$B$3, ClosureLocation!$B$6 &gt;= Table4[[#This Row],[StartMP]], ClosureLocation!$B$6 &lt;= Table4[[#This Row],[EndMP]]), "Yes", "")</f>
        <v/>
      </c>
      <c r="Q318" s="1" t="str">
        <f>IF( AND( Table4[[#This Row],[Route]]=ClosureLocation!$B$3, ClosureLocation!$B$6 &lt;= Table4[[#This Row],[StartMP]], ClosureLocation!$B$6 &gt;= Table4[[#This Row],[EndMP]]), "Yes", "")</f>
        <v/>
      </c>
      <c r="R318" s="1" t="str">
        <f>IF( OR( Table4[[#This Row],[PrimaryMatch]]="Yes", Table4[[#This Row],[SecondaryMatch]]="Yes"), "Yes", "")</f>
        <v/>
      </c>
    </row>
    <row r="319" spans="1:18" hidden="1" x14ac:dyDescent="0.25">
      <c r="A319" t="s">
        <v>1615</v>
      </c>
      <c r="B319" t="s">
        <v>3205</v>
      </c>
      <c r="C319" t="s">
        <v>3206</v>
      </c>
      <c r="D319" t="s">
        <v>4354</v>
      </c>
      <c r="E319" s="1">
        <v>243.345</v>
      </c>
      <c r="F319" s="1">
        <v>279.42399999999998</v>
      </c>
      <c r="G319">
        <v>2</v>
      </c>
      <c r="H319">
        <v>2</v>
      </c>
      <c r="I319" t="s">
        <v>3150</v>
      </c>
      <c r="J319" t="s">
        <v>1691</v>
      </c>
      <c r="K319" s="39">
        <v>47.959172000000002</v>
      </c>
      <c r="L319" s="1">
        <v>40.267499000000001</v>
      </c>
      <c r="M319" s="1" t="s">
        <v>4356</v>
      </c>
      <c r="N319" s="1">
        <v>243.345</v>
      </c>
      <c r="O319" s="1">
        <f>ABS(Table4[[#This Row],[EndMP]]-Table4[[#This Row],[StartMP]])</f>
        <v>36.078999999999979</v>
      </c>
      <c r="P319" s="1" t="str">
        <f>IF( AND( Table4[[#This Row],[Route]]=ClosureLocation!$B$3, ClosureLocation!$B$6 &gt;= Table4[[#This Row],[StartMP]], ClosureLocation!$B$6 &lt;= Table4[[#This Row],[EndMP]]), "Yes", "")</f>
        <v/>
      </c>
      <c r="Q319" s="1" t="str">
        <f>IF( AND( Table4[[#This Row],[Route]]=ClosureLocation!$B$3, ClosureLocation!$B$6 &lt;= Table4[[#This Row],[StartMP]], ClosureLocation!$B$6 &gt;= Table4[[#This Row],[EndMP]]), "Yes", "")</f>
        <v/>
      </c>
      <c r="R319" s="1" t="str">
        <f>IF( OR( Table4[[#This Row],[PrimaryMatch]]="Yes", Table4[[#This Row],[SecondaryMatch]]="Yes"), "Yes", "")</f>
        <v/>
      </c>
    </row>
    <row r="320" spans="1:18" hidden="1" x14ac:dyDescent="0.25">
      <c r="A320" t="s">
        <v>513</v>
      </c>
      <c r="B320" t="s">
        <v>3205</v>
      </c>
      <c r="C320" t="s">
        <v>3222</v>
      </c>
      <c r="D320" t="s">
        <v>3561</v>
      </c>
      <c r="E320" s="1">
        <v>211.08099999999999</v>
      </c>
      <c r="F320" s="1">
        <v>257.37799999999999</v>
      </c>
      <c r="G320">
        <v>7</v>
      </c>
      <c r="H320">
        <v>1</v>
      </c>
      <c r="I320" t="s">
        <v>2363</v>
      </c>
      <c r="J320" t="s">
        <v>1700</v>
      </c>
      <c r="K320" s="39">
        <v>47.733958999999999</v>
      </c>
      <c r="L320" s="1">
        <v>44.018763</v>
      </c>
      <c r="M320" s="1" t="s">
        <v>3564</v>
      </c>
      <c r="N320" s="1">
        <v>211.08099999999999</v>
      </c>
      <c r="O320" s="1">
        <f>ABS(Table4[[#This Row],[EndMP]]-Table4[[#This Row],[StartMP]])</f>
        <v>46.296999999999997</v>
      </c>
      <c r="P320" s="1" t="str">
        <f>IF( AND( Table4[[#This Row],[Route]]=ClosureLocation!$B$3, ClosureLocation!$B$6 &gt;= Table4[[#This Row],[StartMP]], ClosureLocation!$B$6 &lt;= Table4[[#This Row],[EndMP]]), "Yes", "")</f>
        <v/>
      </c>
      <c r="Q320" s="1" t="str">
        <f>IF( AND( Table4[[#This Row],[Route]]=ClosureLocation!$B$3, ClosureLocation!$B$6 &lt;= Table4[[#This Row],[StartMP]], ClosureLocation!$B$6 &gt;= Table4[[#This Row],[EndMP]]), "Yes", "")</f>
        <v/>
      </c>
      <c r="R320" s="1" t="str">
        <f>IF( OR( Table4[[#This Row],[PrimaryMatch]]="Yes", Table4[[#This Row],[SecondaryMatch]]="Yes"), "Yes", "")</f>
        <v/>
      </c>
    </row>
    <row r="321" spans="1:18" hidden="1" x14ac:dyDescent="0.25">
      <c r="A321" t="s">
        <v>1123</v>
      </c>
      <c r="B321" t="s">
        <v>3205</v>
      </c>
      <c r="C321" t="s">
        <v>3210</v>
      </c>
      <c r="D321" t="s">
        <v>3997</v>
      </c>
      <c r="E321" s="1">
        <v>0</v>
      </c>
      <c r="F321" s="1">
        <v>0.184</v>
      </c>
      <c r="G321">
        <v>1</v>
      </c>
      <c r="H321">
        <v>2</v>
      </c>
      <c r="I321" t="s">
        <v>2863</v>
      </c>
      <c r="J321" t="s">
        <v>1689</v>
      </c>
      <c r="K321" s="39">
        <v>47.155290000000001</v>
      </c>
      <c r="L321" s="1">
        <v>29.323716000000001</v>
      </c>
      <c r="M321" s="1" t="s">
        <v>3998</v>
      </c>
      <c r="N321" s="1">
        <v>0</v>
      </c>
      <c r="O321" s="1">
        <f>ABS(Table4[[#This Row],[EndMP]]-Table4[[#This Row],[StartMP]])</f>
        <v>0.184</v>
      </c>
      <c r="P321" s="1" t="str">
        <f>IF( AND( Table4[[#This Row],[Route]]=ClosureLocation!$B$3, ClosureLocation!$B$6 &gt;= Table4[[#This Row],[StartMP]], ClosureLocation!$B$6 &lt;= Table4[[#This Row],[EndMP]]), "Yes", "")</f>
        <v/>
      </c>
      <c r="Q321" s="1" t="str">
        <f>IF( AND( Table4[[#This Row],[Route]]=ClosureLocation!$B$3, ClosureLocation!$B$6 &lt;= Table4[[#This Row],[StartMP]], ClosureLocation!$B$6 &gt;= Table4[[#This Row],[EndMP]]), "Yes", "")</f>
        <v/>
      </c>
      <c r="R321" s="1" t="str">
        <f>IF( OR( Table4[[#This Row],[PrimaryMatch]]="Yes", Table4[[#This Row],[SecondaryMatch]]="Yes"), "Yes", "")</f>
        <v/>
      </c>
    </row>
    <row r="322" spans="1:18" hidden="1" x14ac:dyDescent="0.25">
      <c r="A322" t="s">
        <v>1123</v>
      </c>
      <c r="B322" t="s">
        <v>3209</v>
      </c>
      <c r="C322" t="s">
        <v>3206</v>
      </c>
      <c r="D322" t="s">
        <v>3995</v>
      </c>
      <c r="E322" s="1">
        <v>0.184</v>
      </c>
      <c r="F322" s="1">
        <v>0</v>
      </c>
      <c r="G322">
        <v>1</v>
      </c>
      <c r="H322">
        <v>1</v>
      </c>
      <c r="I322" t="s">
        <v>2862</v>
      </c>
      <c r="J322" t="s">
        <v>1689</v>
      </c>
      <c r="K322" s="39">
        <v>47.052356000000003</v>
      </c>
      <c r="L322" s="1">
        <v>29.370795999999999</v>
      </c>
      <c r="M322" s="1" t="s">
        <v>3996</v>
      </c>
      <c r="N322" s="1">
        <v>999.81600000000003</v>
      </c>
      <c r="O322" s="1">
        <f>ABS(Table4[[#This Row],[EndMP]]-Table4[[#This Row],[StartMP]])</f>
        <v>0.184</v>
      </c>
      <c r="P322" s="1" t="str">
        <f>IF( AND( Table4[[#This Row],[Route]]=ClosureLocation!$B$3, ClosureLocation!$B$6 &gt;= Table4[[#This Row],[StartMP]], ClosureLocation!$B$6 &lt;= Table4[[#This Row],[EndMP]]), "Yes", "")</f>
        <v/>
      </c>
      <c r="Q322" s="1" t="str">
        <f>IF( AND( Table4[[#This Row],[Route]]=ClosureLocation!$B$3, ClosureLocation!$B$6 &lt;= Table4[[#This Row],[StartMP]], ClosureLocation!$B$6 &gt;= Table4[[#This Row],[EndMP]]), "Yes", "")</f>
        <v/>
      </c>
      <c r="R322" s="1" t="str">
        <f>IF( OR( Table4[[#This Row],[PrimaryMatch]]="Yes", Table4[[#This Row],[SecondaryMatch]]="Yes"), "Yes", "")</f>
        <v/>
      </c>
    </row>
    <row r="323" spans="1:18" hidden="1" x14ac:dyDescent="0.25">
      <c r="A323" t="s">
        <v>1224</v>
      </c>
      <c r="B323" t="s">
        <v>3205</v>
      </c>
      <c r="C323" t="s">
        <v>3222</v>
      </c>
      <c r="D323" t="s">
        <v>4081</v>
      </c>
      <c r="E323" s="1">
        <v>0</v>
      </c>
      <c r="F323" s="1">
        <v>27.163</v>
      </c>
      <c r="G323">
        <v>1</v>
      </c>
      <c r="H323">
        <v>1</v>
      </c>
      <c r="I323" t="s">
        <v>2927</v>
      </c>
      <c r="J323" t="s">
        <v>1692</v>
      </c>
      <c r="K323" s="39">
        <v>46.418936000000002</v>
      </c>
      <c r="L323" s="1">
        <v>49.927078000000002</v>
      </c>
      <c r="M323" s="1" t="s">
        <v>4082</v>
      </c>
      <c r="N323" s="1">
        <v>0</v>
      </c>
      <c r="O323" s="1">
        <f>ABS(Table4[[#This Row],[EndMP]]-Table4[[#This Row],[StartMP]])</f>
        <v>27.163</v>
      </c>
      <c r="P323" s="1" t="str">
        <f>IF( AND( Table4[[#This Row],[Route]]=ClosureLocation!$B$3, ClosureLocation!$B$6 &gt;= Table4[[#This Row],[StartMP]], ClosureLocation!$B$6 &lt;= Table4[[#This Row],[EndMP]]), "Yes", "")</f>
        <v/>
      </c>
      <c r="Q323" s="1" t="str">
        <f>IF( AND( Table4[[#This Row],[Route]]=ClosureLocation!$B$3, ClosureLocation!$B$6 &lt;= Table4[[#This Row],[StartMP]], ClosureLocation!$B$6 &gt;= Table4[[#This Row],[EndMP]]), "Yes", "")</f>
        <v/>
      </c>
      <c r="R323" s="1" t="str">
        <f>IF( OR( Table4[[#This Row],[PrimaryMatch]]="Yes", Table4[[#This Row],[SecondaryMatch]]="Yes"), "Yes", "")</f>
        <v/>
      </c>
    </row>
    <row r="324" spans="1:18" hidden="1" x14ac:dyDescent="0.25">
      <c r="A324" t="s">
        <v>1224</v>
      </c>
      <c r="B324" t="s">
        <v>3209</v>
      </c>
      <c r="C324" t="s">
        <v>3226</v>
      </c>
      <c r="D324" t="s">
        <v>4083</v>
      </c>
      <c r="E324" s="1">
        <v>27.163</v>
      </c>
      <c r="F324" s="1">
        <v>0</v>
      </c>
      <c r="G324">
        <v>1</v>
      </c>
      <c r="H324">
        <v>2</v>
      </c>
      <c r="I324" t="s">
        <v>2928</v>
      </c>
      <c r="J324" t="s">
        <v>1692</v>
      </c>
      <c r="K324" s="39">
        <v>46.415298999999997</v>
      </c>
      <c r="L324" s="1">
        <v>49.927078000000002</v>
      </c>
      <c r="M324" s="1" t="s">
        <v>4084</v>
      </c>
      <c r="N324" s="1">
        <v>972.83699999999999</v>
      </c>
      <c r="O324" s="1">
        <f>ABS(Table4[[#This Row],[EndMP]]-Table4[[#This Row],[StartMP]])</f>
        <v>27.163</v>
      </c>
      <c r="P324" s="1" t="str">
        <f>IF( AND( Table4[[#This Row],[Route]]=ClosureLocation!$B$3, ClosureLocation!$B$6 &gt;= Table4[[#This Row],[StartMP]], ClosureLocation!$B$6 &lt;= Table4[[#This Row],[EndMP]]), "Yes", "")</f>
        <v/>
      </c>
      <c r="Q324" s="1" t="str">
        <f>IF( AND( Table4[[#This Row],[Route]]=ClosureLocation!$B$3, ClosureLocation!$B$6 &lt;= Table4[[#This Row],[StartMP]], ClosureLocation!$B$6 &gt;= Table4[[#This Row],[EndMP]]), "Yes", "")</f>
        <v/>
      </c>
      <c r="R324" s="1" t="str">
        <f>IF( OR( Table4[[#This Row],[PrimaryMatch]]="Yes", Table4[[#This Row],[SecondaryMatch]]="Yes"), "Yes", "")</f>
        <v/>
      </c>
    </row>
    <row r="325" spans="1:18" hidden="1" x14ac:dyDescent="0.25">
      <c r="A325" t="s">
        <v>513</v>
      </c>
      <c r="B325" t="s">
        <v>3209</v>
      </c>
      <c r="C325" t="s">
        <v>3226</v>
      </c>
      <c r="D325" t="s">
        <v>3565</v>
      </c>
      <c r="E325" s="1">
        <v>178.25700000000001</v>
      </c>
      <c r="F325" s="1">
        <v>136.51499999999999</v>
      </c>
      <c r="G325">
        <v>4</v>
      </c>
      <c r="H325">
        <v>6</v>
      </c>
      <c r="I325" t="s">
        <v>2367</v>
      </c>
      <c r="J325" t="s">
        <v>1700</v>
      </c>
      <c r="K325" s="39">
        <v>45.988712</v>
      </c>
      <c r="L325" s="1">
        <v>21.087371999999998</v>
      </c>
      <c r="M325" s="1" t="s">
        <v>3568</v>
      </c>
      <c r="N325" s="1">
        <v>821.74300000000005</v>
      </c>
      <c r="O325" s="1">
        <f>ABS(Table4[[#This Row],[EndMP]]-Table4[[#This Row],[StartMP]])</f>
        <v>41.742000000000019</v>
      </c>
      <c r="P325" s="1" t="str">
        <f>IF( AND( Table4[[#This Row],[Route]]=ClosureLocation!$B$3, ClosureLocation!$B$6 &gt;= Table4[[#This Row],[StartMP]], ClosureLocation!$B$6 &lt;= Table4[[#This Row],[EndMP]]), "Yes", "")</f>
        <v/>
      </c>
      <c r="Q325" s="1" t="str">
        <f>IF( AND( Table4[[#This Row],[Route]]=ClosureLocation!$B$3, ClosureLocation!$B$6 &lt;= Table4[[#This Row],[StartMP]], ClosureLocation!$B$6 &gt;= Table4[[#This Row],[EndMP]]), "Yes", "")</f>
        <v/>
      </c>
      <c r="R325" s="1" t="str">
        <f>IF( OR( Table4[[#This Row],[PrimaryMatch]]="Yes", Table4[[#This Row],[SecondaryMatch]]="Yes"), "Yes", "")</f>
        <v/>
      </c>
    </row>
    <row r="326" spans="1:18" hidden="1" x14ac:dyDescent="0.25">
      <c r="A326" t="s">
        <v>513</v>
      </c>
      <c r="B326" t="s">
        <v>3205</v>
      </c>
      <c r="C326" t="s">
        <v>3222</v>
      </c>
      <c r="D326" t="s">
        <v>3561</v>
      </c>
      <c r="E326" s="1">
        <v>136.51499999999999</v>
      </c>
      <c r="F326" s="1">
        <v>178.25700000000001</v>
      </c>
      <c r="G326">
        <v>4</v>
      </c>
      <c r="H326">
        <v>1</v>
      </c>
      <c r="I326" t="s">
        <v>2360</v>
      </c>
      <c r="J326" t="s">
        <v>1700</v>
      </c>
      <c r="K326" s="39">
        <v>45.985073999999997</v>
      </c>
      <c r="L326" s="1">
        <v>21.087371999999998</v>
      </c>
      <c r="M326" s="1" t="s">
        <v>3562</v>
      </c>
      <c r="N326" s="1">
        <v>136.51499999999999</v>
      </c>
      <c r="O326" s="1">
        <f>ABS(Table4[[#This Row],[EndMP]]-Table4[[#This Row],[StartMP]])</f>
        <v>41.742000000000019</v>
      </c>
      <c r="P326" s="1" t="str">
        <f>IF( AND( Table4[[#This Row],[Route]]=ClosureLocation!$B$3, ClosureLocation!$B$6 &gt;= Table4[[#This Row],[StartMP]], ClosureLocation!$B$6 &lt;= Table4[[#This Row],[EndMP]]), "Yes", "")</f>
        <v/>
      </c>
      <c r="Q326" s="1" t="str">
        <f>IF( AND( Table4[[#This Row],[Route]]=ClosureLocation!$B$3, ClosureLocation!$B$6 &lt;= Table4[[#This Row],[StartMP]], ClosureLocation!$B$6 &gt;= Table4[[#This Row],[EndMP]]), "Yes", "")</f>
        <v/>
      </c>
      <c r="R326" s="1" t="str">
        <f>IF( OR( Table4[[#This Row],[PrimaryMatch]]="Yes", Table4[[#This Row],[SecondaryMatch]]="Yes"), "Yes", "")</f>
        <v/>
      </c>
    </row>
    <row r="327" spans="1:18" hidden="1" x14ac:dyDescent="0.25">
      <c r="A327" t="s">
        <v>292</v>
      </c>
      <c r="B327" t="s">
        <v>3209</v>
      </c>
      <c r="C327" t="s">
        <v>3226</v>
      </c>
      <c r="D327" t="s">
        <v>3415</v>
      </c>
      <c r="E327" s="1">
        <v>312.43</v>
      </c>
      <c r="F327" s="1">
        <v>310.983</v>
      </c>
      <c r="G327">
        <v>4</v>
      </c>
      <c r="H327">
        <v>6</v>
      </c>
      <c r="I327" t="s">
        <v>2202</v>
      </c>
      <c r="J327" t="s">
        <v>1702</v>
      </c>
      <c r="K327" s="39">
        <v>44.821857000000001</v>
      </c>
      <c r="L327" s="1">
        <v>37.09084</v>
      </c>
      <c r="M327" s="1" t="s">
        <v>3418</v>
      </c>
      <c r="N327" s="1">
        <v>687.57</v>
      </c>
      <c r="O327" s="1">
        <f>ABS(Table4[[#This Row],[EndMP]]-Table4[[#This Row],[StartMP]])</f>
        <v>1.4470000000000027</v>
      </c>
      <c r="P327" s="1" t="str">
        <f>IF( AND( Table4[[#This Row],[Route]]=ClosureLocation!$B$3, ClosureLocation!$B$6 &gt;= Table4[[#This Row],[StartMP]], ClosureLocation!$B$6 &lt;= Table4[[#This Row],[EndMP]]), "Yes", "")</f>
        <v/>
      </c>
      <c r="Q327" s="1" t="str">
        <f>IF( AND( Table4[[#This Row],[Route]]=ClosureLocation!$B$3, ClosureLocation!$B$6 &lt;= Table4[[#This Row],[StartMP]], ClosureLocation!$B$6 &gt;= Table4[[#This Row],[EndMP]]), "Yes", "")</f>
        <v/>
      </c>
      <c r="R327" s="1" t="str">
        <f>IF( OR( Table4[[#This Row],[PrimaryMatch]]="Yes", Table4[[#This Row],[SecondaryMatch]]="Yes"), "Yes", "")</f>
        <v/>
      </c>
    </row>
    <row r="328" spans="1:18" hidden="1" x14ac:dyDescent="0.25">
      <c r="A328" t="s">
        <v>292</v>
      </c>
      <c r="B328" t="s">
        <v>3205</v>
      </c>
      <c r="C328" t="s">
        <v>3222</v>
      </c>
      <c r="D328" t="s">
        <v>3411</v>
      </c>
      <c r="E328" s="1">
        <v>310.983</v>
      </c>
      <c r="F328" s="1">
        <v>312.43</v>
      </c>
      <c r="G328">
        <v>1</v>
      </c>
      <c r="H328">
        <v>1</v>
      </c>
      <c r="I328" t="s">
        <v>2193</v>
      </c>
      <c r="J328" t="s">
        <v>1702</v>
      </c>
      <c r="K328" s="39">
        <v>44.384217</v>
      </c>
      <c r="L328" s="1">
        <v>36.86412</v>
      </c>
      <c r="M328" s="1" t="s">
        <v>3412</v>
      </c>
      <c r="N328" s="1">
        <v>310.983</v>
      </c>
      <c r="O328" s="1">
        <f>ABS(Table4[[#This Row],[EndMP]]-Table4[[#This Row],[StartMP]])</f>
        <v>1.4470000000000027</v>
      </c>
      <c r="P328" s="1" t="str">
        <f>IF( AND( Table4[[#This Row],[Route]]=ClosureLocation!$B$3, ClosureLocation!$B$6 &gt;= Table4[[#This Row],[StartMP]], ClosureLocation!$B$6 &lt;= Table4[[#This Row],[EndMP]]), "Yes", "")</f>
        <v/>
      </c>
      <c r="Q328" s="1" t="str">
        <f>IF( AND( Table4[[#This Row],[Route]]=ClosureLocation!$B$3, ClosureLocation!$B$6 &lt;= Table4[[#This Row],[StartMP]], ClosureLocation!$B$6 &gt;= Table4[[#This Row],[EndMP]]), "Yes", "")</f>
        <v/>
      </c>
      <c r="R328" s="1" t="str">
        <f>IF( OR( Table4[[#This Row],[PrimaryMatch]]="Yes", Table4[[#This Row],[SecondaryMatch]]="Yes"), "Yes", "")</f>
        <v/>
      </c>
    </row>
    <row r="329" spans="1:18" hidden="1" x14ac:dyDescent="0.25">
      <c r="A329" t="s">
        <v>1087</v>
      </c>
      <c r="B329" t="s">
        <v>3205</v>
      </c>
      <c r="C329" t="s">
        <v>3222</v>
      </c>
      <c r="D329" t="s">
        <v>3981</v>
      </c>
      <c r="E329" s="1">
        <v>106.036</v>
      </c>
      <c r="F329" s="1">
        <v>166.114</v>
      </c>
      <c r="G329">
        <v>1</v>
      </c>
      <c r="H329">
        <v>1</v>
      </c>
      <c r="I329" t="s">
        <v>2852</v>
      </c>
      <c r="J329" t="s">
        <v>1689</v>
      </c>
      <c r="K329" s="39">
        <v>44.268813000000002</v>
      </c>
      <c r="L329" s="1">
        <v>39.757854999999999</v>
      </c>
      <c r="M329" s="1" t="s">
        <v>3982</v>
      </c>
      <c r="N329" s="1">
        <v>106.036</v>
      </c>
      <c r="O329" s="1">
        <f>ABS(Table4[[#This Row],[EndMP]]-Table4[[#This Row],[StartMP]])</f>
        <v>60.078000000000003</v>
      </c>
      <c r="P329" s="1" t="str">
        <f>IF( AND( Table4[[#This Row],[Route]]=ClosureLocation!$B$3, ClosureLocation!$B$6 &gt;= Table4[[#This Row],[StartMP]], ClosureLocation!$B$6 &lt;= Table4[[#This Row],[EndMP]]), "Yes", "")</f>
        <v/>
      </c>
      <c r="Q329" s="1" t="str">
        <f>IF( AND( Table4[[#This Row],[Route]]=ClosureLocation!$B$3, ClosureLocation!$B$6 &lt;= Table4[[#This Row],[StartMP]], ClosureLocation!$B$6 &gt;= Table4[[#This Row],[EndMP]]), "Yes", "")</f>
        <v/>
      </c>
      <c r="R329" s="1" t="str">
        <f>IF( OR( Table4[[#This Row],[PrimaryMatch]]="Yes", Table4[[#This Row],[SecondaryMatch]]="Yes"), "Yes", "")</f>
        <v/>
      </c>
    </row>
    <row r="330" spans="1:18" hidden="1" x14ac:dyDescent="0.25">
      <c r="A330" t="s">
        <v>1471</v>
      </c>
      <c r="B330" t="s">
        <v>3205</v>
      </c>
      <c r="C330" t="s">
        <v>3206</v>
      </c>
      <c r="D330" t="s">
        <v>4236</v>
      </c>
      <c r="E330" s="1">
        <v>31.257000000000001</v>
      </c>
      <c r="F330" s="1">
        <v>34.027999999999999</v>
      </c>
      <c r="G330">
        <v>5</v>
      </c>
      <c r="H330">
        <v>5</v>
      </c>
      <c r="I330" t="s">
        <v>3052</v>
      </c>
      <c r="J330" t="s">
        <v>1695</v>
      </c>
      <c r="K330" s="39">
        <v>44.232036000000001</v>
      </c>
      <c r="L330" s="1">
        <v>34.293626000000003</v>
      </c>
      <c r="M330" s="1" t="s">
        <v>5018</v>
      </c>
      <c r="N330" s="1">
        <v>31.257000000000001</v>
      </c>
      <c r="O330" s="1">
        <f>ABS(Table4[[#This Row],[EndMP]]-Table4[[#This Row],[StartMP]])</f>
        <v>2.7709999999999972</v>
      </c>
      <c r="P330" s="1" t="str">
        <f>IF( AND( Table4[[#This Row],[Route]]=ClosureLocation!$B$3, ClosureLocation!$B$6 &gt;= Table4[[#This Row],[StartMP]], ClosureLocation!$B$6 &lt;= Table4[[#This Row],[EndMP]]), "Yes", "")</f>
        <v/>
      </c>
      <c r="Q330" s="1" t="str">
        <f>IF( AND( Table4[[#This Row],[Route]]=ClosureLocation!$B$3, ClosureLocation!$B$6 &lt;= Table4[[#This Row],[StartMP]], ClosureLocation!$B$6 &gt;= Table4[[#This Row],[EndMP]]), "Yes", "")</f>
        <v/>
      </c>
      <c r="R330" s="1" t="str">
        <f>IF( OR( Table4[[#This Row],[PrimaryMatch]]="Yes", Table4[[#This Row],[SecondaryMatch]]="Yes"), "Yes", "")</f>
        <v/>
      </c>
    </row>
    <row r="331" spans="1:18" hidden="1" x14ac:dyDescent="0.25">
      <c r="A331" t="s">
        <v>1471</v>
      </c>
      <c r="B331" t="s">
        <v>3209</v>
      </c>
      <c r="C331" t="s">
        <v>3210</v>
      </c>
      <c r="D331" t="s">
        <v>4237</v>
      </c>
      <c r="E331" s="1">
        <v>34.027999999999999</v>
      </c>
      <c r="F331" s="1">
        <v>31.257000000000001</v>
      </c>
      <c r="G331">
        <v>2</v>
      </c>
      <c r="H331">
        <v>8</v>
      </c>
      <c r="I331" t="s">
        <v>3055</v>
      </c>
      <c r="J331" t="s">
        <v>1695</v>
      </c>
      <c r="K331" s="39">
        <v>44.072811999999999</v>
      </c>
      <c r="L331" s="1">
        <v>34.196697</v>
      </c>
      <c r="M331" s="1" t="s">
        <v>5021</v>
      </c>
      <c r="N331" s="1">
        <v>965.97199999999998</v>
      </c>
      <c r="O331" s="1">
        <f>ABS(Table4[[#This Row],[EndMP]]-Table4[[#This Row],[StartMP]])</f>
        <v>2.7709999999999972</v>
      </c>
      <c r="P331" s="1" t="str">
        <f>IF( AND( Table4[[#This Row],[Route]]=ClosureLocation!$B$3, ClosureLocation!$B$6 &gt;= Table4[[#This Row],[StartMP]], ClosureLocation!$B$6 &lt;= Table4[[#This Row],[EndMP]]), "Yes", "")</f>
        <v/>
      </c>
      <c r="Q331" s="1" t="str">
        <f>IF( AND( Table4[[#This Row],[Route]]=ClosureLocation!$B$3, ClosureLocation!$B$6 &lt;= Table4[[#This Row],[StartMP]], ClosureLocation!$B$6 &gt;= Table4[[#This Row],[EndMP]]), "Yes", "")</f>
        <v/>
      </c>
      <c r="R331" s="1" t="str">
        <f>IF( OR( Table4[[#This Row],[PrimaryMatch]]="Yes", Table4[[#This Row],[SecondaryMatch]]="Yes"), "Yes", "")</f>
        <v/>
      </c>
    </row>
    <row r="332" spans="1:18" hidden="1" x14ac:dyDescent="0.25">
      <c r="A332" t="s">
        <v>1087</v>
      </c>
      <c r="B332" t="s">
        <v>3209</v>
      </c>
      <c r="C332" t="s">
        <v>3226</v>
      </c>
      <c r="D332" t="s">
        <v>3983</v>
      </c>
      <c r="E332" s="1">
        <v>166.114</v>
      </c>
      <c r="F332" s="1">
        <v>106.036</v>
      </c>
      <c r="G332">
        <v>1</v>
      </c>
      <c r="H332">
        <v>2</v>
      </c>
      <c r="I332" t="s">
        <v>2853</v>
      </c>
      <c r="J332" t="s">
        <v>1689</v>
      </c>
      <c r="K332" s="39">
        <v>43.629033999999997</v>
      </c>
      <c r="L332" s="1">
        <v>39.001286999999998</v>
      </c>
      <c r="M332" s="1" t="s">
        <v>3984</v>
      </c>
      <c r="N332" s="1">
        <v>833.88599999999997</v>
      </c>
      <c r="O332" s="1">
        <f>ABS(Table4[[#This Row],[EndMP]]-Table4[[#This Row],[StartMP]])</f>
        <v>60.078000000000003</v>
      </c>
      <c r="P332" s="1" t="str">
        <f>IF( AND( Table4[[#This Row],[Route]]=ClosureLocation!$B$3, ClosureLocation!$B$6 &gt;= Table4[[#This Row],[StartMP]], ClosureLocation!$B$6 &lt;= Table4[[#This Row],[EndMP]]), "Yes", "")</f>
        <v/>
      </c>
      <c r="Q332" s="1" t="str">
        <f>IF( AND( Table4[[#This Row],[Route]]=ClosureLocation!$B$3, ClosureLocation!$B$6 &lt;= Table4[[#This Row],[StartMP]], ClosureLocation!$B$6 &gt;= Table4[[#This Row],[EndMP]]), "Yes", "")</f>
        <v/>
      </c>
      <c r="R332" s="1" t="str">
        <f>IF( OR( Table4[[#This Row],[PrimaryMatch]]="Yes", Table4[[#This Row],[SecondaryMatch]]="Yes"), "Yes", "")</f>
        <v/>
      </c>
    </row>
    <row r="333" spans="1:18" hidden="1" x14ac:dyDescent="0.25">
      <c r="A333" t="s">
        <v>206</v>
      </c>
      <c r="B333" t="s">
        <v>3209</v>
      </c>
      <c r="C333" t="s">
        <v>3226</v>
      </c>
      <c r="D333" t="s">
        <v>3351</v>
      </c>
      <c r="E333" s="1">
        <v>215.828</v>
      </c>
      <c r="F333" s="1">
        <v>205.23599999999999</v>
      </c>
      <c r="G333">
        <v>3</v>
      </c>
      <c r="H333">
        <v>6</v>
      </c>
      <c r="I333" t="s">
        <v>2154</v>
      </c>
      <c r="J333" t="s">
        <v>1702</v>
      </c>
      <c r="K333" s="39">
        <v>43.279404999999997</v>
      </c>
      <c r="L333" s="1">
        <v>39.100209999999997</v>
      </c>
      <c r="M333" s="1" t="s">
        <v>3354</v>
      </c>
      <c r="N333" s="1">
        <v>784.17200000000003</v>
      </c>
      <c r="O333" s="1">
        <f>ABS(Table4[[#This Row],[EndMP]]-Table4[[#This Row],[StartMP]])</f>
        <v>10.592000000000013</v>
      </c>
      <c r="P333" s="1" t="str">
        <f>IF( AND( Table4[[#This Row],[Route]]=ClosureLocation!$B$3, ClosureLocation!$B$6 &gt;= Table4[[#This Row],[StartMP]], ClosureLocation!$B$6 &lt;= Table4[[#This Row],[EndMP]]), "Yes", "")</f>
        <v/>
      </c>
      <c r="Q333" s="1" t="str">
        <f>IF( AND( Table4[[#This Row],[Route]]=ClosureLocation!$B$3, ClosureLocation!$B$6 &lt;= Table4[[#This Row],[StartMP]], ClosureLocation!$B$6 &gt;= Table4[[#This Row],[EndMP]]), "Yes", "")</f>
        <v/>
      </c>
      <c r="R333" s="1" t="str">
        <f>IF( OR( Table4[[#This Row],[PrimaryMatch]]="Yes", Table4[[#This Row],[SecondaryMatch]]="Yes"), "Yes", "")</f>
        <v/>
      </c>
    </row>
    <row r="334" spans="1:18" hidden="1" x14ac:dyDescent="0.25">
      <c r="A334" t="s">
        <v>230</v>
      </c>
      <c r="B334" t="s">
        <v>3205</v>
      </c>
      <c r="C334" t="s">
        <v>3222</v>
      </c>
      <c r="D334" t="s">
        <v>3373</v>
      </c>
      <c r="E334" s="1">
        <v>0</v>
      </c>
      <c r="F334" s="1">
        <v>39.052</v>
      </c>
      <c r="G334">
        <v>1</v>
      </c>
      <c r="H334">
        <v>1</v>
      </c>
      <c r="I334" t="s">
        <v>2167</v>
      </c>
      <c r="J334" t="s">
        <v>1695</v>
      </c>
      <c r="K334" s="39">
        <v>42.920797999999998</v>
      </c>
      <c r="L334" s="1">
        <v>43.304299999999998</v>
      </c>
      <c r="M334" s="58" t="s">
        <v>3374</v>
      </c>
      <c r="N334" s="1">
        <v>0</v>
      </c>
      <c r="O334" s="1">
        <f>ABS(Table4[[#This Row],[EndMP]]-Table4[[#This Row],[StartMP]])</f>
        <v>39.052</v>
      </c>
      <c r="P334" s="1" t="str">
        <f>IF( AND( Table4[[#This Row],[Route]]=ClosureLocation!$B$3, ClosureLocation!$B$6 &gt;= Table4[[#This Row],[StartMP]], ClosureLocation!$B$6 &lt;= Table4[[#This Row],[EndMP]]), "Yes", "")</f>
        <v/>
      </c>
      <c r="Q334" s="1" t="str">
        <f>IF( AND( Table4[[#This Row],[Route]]=ClosureLocation!$B$3, ClosureLocation!$B$6 &lt;= Table4[[#This Row],[StartMP]], ClosureLocation!$B$6 &gt;= Table4[[#This Row],[EndMP]]), "Yes", "")</f>
        <v/>
      </c>
      <c r="R334" s="1" t="str">
        <f>IF( OR( Table4[[#This Row],[PrimaryMatch]]="Yes", Table4[[#This Row],[SecondaryMatch]]="Yes"), "Yes", "")</f>
        <v/>
      </c>
    </row>
    <row r="335" spans="1:18" hidden="1" x14ac:dyDescent="0.25">
      <c r="A335" t="s">
        <v>230</v>
      </c>
      <c r="B335" t="s">
        <v>3209</v>
      </c>
      <c r="C335" t="s">
        <v>3226</v>
      </c>
      <c r="D335" t="s">
        <v>3375</v>
      </c>
      <c r="E335" s="1">
        <v>39.052</v>
      </c>
      <c r="F335" s="1">
        <v>0</v>
      </c>
      <c r="G335">
        <v>1</v>
      </c>
      <c r="H335">
        <v>2</v>
      </c>
      <c r="I335" t="s">
        <v>2168</v>
      </c>
      <c r="J335" t="s">
        <v>1695</v>
      </c>
      <c r="K335" s="39">
        <v>42.920797999999998</v>
      </c>
      <c r="L335" s="1">
        <v>43.304299999999998</v>
      </c>
      <c r="M335" s="58" t="s">
        <v>3376</v>
      </c>
      <c r="N335" s="1">
        <v>960.94799999999998</v>
      </c>
      <c r="O335" s="1">
        <f>ABS(Table4[[#This Row],[EndMP]]-Table4[[#This Row],[StartMP]])</f>
        <v>39.052</v>
      </c>
      <c r="P335" s="1" t="str">
        <f>IF( AND( Table4[[#This Row],[Route]]=ClosureLocation!$B$3, ClosureLocation!$B$6 &gt;= Table4[[#This Row],[StartMP]], ClosureLocation!$B$6 &lt;= Table4[[#This Row],[EndMP]]), "Yes", "")</f>
        <v/>
      </c>
      <c r="Q335" s="1" t="str">
        <f>IF( AND( Table4[[#This Row],[Route]]=ClosureLocation!$B$3, ClosureLocation!$B$6 &lt;= Table4[[#This Row],[StartMP]], ClosureLocation!$B$6 &gt;= Table4[[#This Row],[EndMP]]), "Yes", "")</f>
        <v/>
      </c>
      <c r="R335" s="1" t="str">
        <f>IF( OR( Table4[[#This Row],[PrimaryMatch]]="Yes", Table4[[#This Row],[SecondaryMatch]]="Yes"), "Yes", "")</f>
        <v/>
      </c>
    </row>
    <row r="336" spans="1:18" hidden="1" x14ac:dyDescent="0.25">
      <c r="A336" t="s">
        <v>700</v>
      </c>
      <c r="B336" t="s">
        <v>3205</v>
      </c>
      <c r="C336" t="s">
        <v>3210</v>
      </c>
      <c r="D336" t="s">
        <v>3671</v>
      </c>
      <c r="E336" s="1">
        <v>0</v>
      </c>
      <c r="F336" s="1">
        <v>2.3370000000000002</v>
      </c>
      <c r="G336">
        <v>1</v>
      </c>
      <c r="H336">
        <v>2</v>
      </c>
      <c r="I336" t="s">
        <v>2495</v>
      </c>
      <c r="J336" t="s">
        <v>1690</v>
      </c>
      <c r="K336" s="39">
        <v>42.726182999999999</v>
      </c>
      <c r="L336" s="1">
        <v>31.904795</v>
      </c>
      <c r="M336" s="1" t="s">
        <v>3672</v>
      </c>
      <c r="N336" s="1">
        <v>0</v>
      </c>
      <c r="O336" s="1">
        <f>ABS(Table4[[#This Row],[EndMP]]-Table4[[#This Row],[StartMP]])</f>
        <v>2.3370000000000002</v>
      </c>
      <c r="P336" s="1" t="str">
        <f>IF( AND( Table4[[#This Row],[Route]]=ClosureLocation!$B$3, ClosureLocation!$B$6 &gt;= Table4[[#This Row],[StartMP]], ClosureLocation!$B$6 &lt;= Table4[[#This Row],[EndMP]]), "Yes", "")</f>
        <v/>
      </c>
      <c r="Q336" s="1" t="str">
        <f>IF( AND( Table4[[#This Row],[Route]]=ClosureLocation!$B$3, ClosureLocation!$B$6 &lt;= Table4[[#This Row],[StartMP]], ClosureLocation!$B$6 &gt;= Table4[[#This Row],[EndMP]]), "Yes", "")</f>
        <v/>
      </c>
      <c r="R336" s="1" t="str">
        <f>IF( OR( Table4[[#This Row],[PrimaryMatch]]="Yes", Table4[[#This Row],[SecondaryMatch]]="Yes"), "Yes", "")</f>
        <v/>
      </c>
    </row>
    <row r="337" spans="1:18" hidden="1" x14ac:dyDescent="0.25">
      <c r="A337" t="s">
        <v>252</v>
      </c>
      <c r="B337" t="s">
        <v>3205</v>
      </c>
      <c r="C337" t="s">
        <v>3222</v>
      </c>
      <c r="D337" t="s">
        <v>3393</v>
      </c>
      <c r="E337" s="1">
        <v>212.96799999999999</v>
      </c>
      <c r="F337" s="1">
        <v>303.71199999999999</v>
      </c>
      <c r="G337">
        <v>3</v>
      </c>
      <c r="H337">
        <v>1</v>
      </c>
      <c r="I337" t="s">
        <v>2179</v>
      </c>
      <c r="J337" t="s">
        <v>1702</v>
      </c>
      <c r="K337" s="39">
        <v>42.450021</v>
      </c>
      <c r="L337" s="1">
        <v>34.461843999999999</v>
      </c>
      <c r="M337" s="1" t="s">
        <v>3396</v>
      </c>
      <c r="N337" s="1">
        <v>212.96799999999999</v>
      </c>
      <c r="O337" s="1">
        <f>ABS(Table4[[#This Row],[EndMP]]-Table4[[#This Row],[StartMP]])</f>
        <v>90.744</v>
      </c>
      <c r="P337" s="1" t="str">
        <f>IF( AND( Table4[[#This Row],[Route]]=ClosureLocation!$B$3, ClosureLocation!$B$6 &gt;= Table4[[#This Row],[StartMP]], ClosureLocation!$B$6 &lt;= Table4[[#This Row],[EndMP]]), "Yes", "")</f>
        <v/>
      </c>
      <c r="Q337" s="1" t="str">
        <f>IF( AND( Table4[[#This Row],[Route]]=ClosureLocation!$B$3, ClosureLocation!$B$6 &lt;= Table4[[#This Row],[StartMP]], ClosureLocation!$B$6 &gt;= Table4[[#This Row],[EndMP]]), "Yes", "")</f>
        <v/>
      </c>
      <c r="R337" s="1" t="str">
        <f>IF( OR( Table4[[#This Row],[PrimaryMatch]]="Yes", Table4[[#This Row],[SecondaryMatch]]="Yes"), "Yes", "")</f>
        <v/>
      </c>
    </row>
    <row r="338" spans="1:18" hidden="1" x14ac:dyDescent="0.25">
      <c r="A338" t="s">
        <v>1357</v>
      </c>
      <c r="B338" t="s">
        <v>3209</v>
      </c>
      <c r="C338" t="s">
        <v>3226</v>
      </c>
      <c r="D338" t="s">
        <v>4158</v>
      </c>
      <c r="E338" s="1">
        <v>350.76900000000001</v>
      </c>
      <c r="F338" s="1">
        <v>344.65499999999997</v>
      </c>
      <c r="G338">
        <v>2</v>
      </c>
      <c r="H338">
        <v>4</v>
      </c>
      <c r="I338" t="s">
        <v>2995</v>
      </c>
      <c r="J338" t="s">
        <v>1695</v>
      </c>
      <c r="K338" s="39">
        <v>42.267955000000001</v>
      </c>
      <c r="L338" s="1">
        <v>76.277116000000007</v>
      </c>
      <c r="M338" s="58" t="s">
        <v>4160</v>
      </c>
      <c r="N338" s="1">
        <v>649.23099999999999</v>
      </c>
      <c r="O338" s="1">
        <f>ABS(Table4[[#This Row],[EndMP]]-Table4[[#This Row],[StartMP]])</f>
        <v>6.1140000000000327</v>
      </c>
      <c r="P338" s="1" t="str">
        <f>IF( AND( Table4[[#This Row],[Route]]=ClosureLocation!$B$3, ClosureLocation!$B$6 &gt;= Table4[[#This Row],[StartMP]], ClosureLocation!$B$6 &lt;= Table4[[#This Row],[EndMP]]), "Yes", "")</f>
        <v/>
      </c>
      <c r="Q338" s="1" t="str">
        <f>IF( AND( Table4[[#This Row],[Route]]=ClosureLocation!$B$3, ClosureLocation!$B$6 &lt;= Table4[[#This Row],[StartMP]], ClosureLocation!$B$6 &gt;= Table4[[#This Row],[EndMP]]), "Yes", "")</f>
        <v/>
      </c>
      <c r="R338" s="1" t="str">
        <f>IF( OR( Table4[[#This Row],[PrimaryMatch]]="Yes", Table4[[#This Row],[SecondaryMatch]]="Yes"), "Yes", "")</f>
        <v/>
      </c>
    </row>
    <row r="339" spans="1:18" hidden="1" x14ac:dyDescent="0.25">
      <c r="A339" t="s">
        <v>1357</v>
      </c>
      <c r="B339" t="s">
        <v>3205</v>
      </c>
      <c r="C339" t="s">
        <v>3222</v>
      </c>
      <c r="D339" t="s">
        <v>4155</v>
      </c>
      <c r="E339" s="1">
        <v>344.65499999999997</v>
      </c>
      <c r="F339" s="1">
        <v>350.76900000000001</v>
      </c>
      <c r="G339">
        <v>1</v>
      </c>
      <c r="H339">
        <v>1</v>
      </c>
      <c r="I339" t="s">
        <v>2992</v>
      </c>
      <c r="J339" t="s">
        <v>1695</v>
      </c>
      <c r="K339" s="39">
        <v>42.027825999999997</v>
      </c>
      <c r="L339" s="1">
        <v>76.207927999999995</v>
      </c>
      <c r="M339" s="58" t="s">
        <v>4156</v>
      </c>
      <c r="N339" s="1">
        <v>344.65499999999997</v>
      </c>
      <c r="O339" s="1">
        <f>ABS(Table4[[#This Row],[EndMP]]-Table4[[#This Row],[StartMP]])</f>
        <v>6.1140000000000327</v>
      </c>
      <c r="P339" s="1" t="str">
        <f>IF( AND( Table4[[#This Row],[Route]]=ClosureLocation!$B$3, ClosureLocation!$B$6 &gt;= Table4[[#This Row],[StartMP]], ClosureLocation!$B$6 &lt;= Table4[[#This Row],[EndMP]]), "Yes", "")</f>
        <v/>
      </c>
      <c r="Q339" s="1" t="str">
        <f>IF( AND( Table4[[#This Row],[Route]]=ClosureLocation!$B$3, ClosureLocation!$B$6 &lt;= Table4[[#This Row],[StartMP]], ClosureLocation!$B$6 &gt;= Table4[[#This Row],[EndMP]]), "Yes", "")</f>
        <v/>
      </c>
      <c r="R339" s="1" t="str">
        <f>IF( OR( Table4[[#This Row],[PrimaryMatch]]="Yes", Table4[[#This Row],[SecondaryMatch]]="Yes"), "Yes", "")</f>
        <v/>
      </c>
    </row>
    <row r="340" spans="1:18" hidden="1" x14ac:dyDescent="0.25">
      <c r="A340" t="s">
        <v>310</v>
      </c>
      <c r="B340" t="s">
        <v>3205</v>
      </c>
      <c r="C340" t="s">
        <v>3206</v>
      </c>
      <c r="D340" t="s">
        <v>3427</v>
      </c>
      <c r="E340" s="1">
        <v>101.733</v>
      </c>
      <c r="F340" s="1">
        <v>127.675</v>
      </c>
      <c r="G340">
        <v>9</v>
      </c>
      <c r="H340">
        <v>8</v>
      </c>
      <c r="I340" t="s">
        <v>2215</v>
      </c>
      <c r="J340" t="s">
        <v>1694</v>
      </c>
      <c r="K340" s="39">
        <v>41.673408999999999</v>
      </c>
      <c r="L340" s="1">
        <v>19.549669000000002</v>
      </c>
      <c r="M340" s="1" t="s">
        <v>3743</v>
      </c>
      <c r="N340" s="1">
        <v>101.733</v>
      </c>
      <c r="O340" s="1">
        <f>ABS(Table4[[#This Row],[EndMP]]-Table4[[#This Row],[StartMP]])</f>
        <v>25.941999999999993</v>
      </c>
      <c r="P340" s="1" t="str">
        <f>IF( AND( Table4[[#This Row],[Route]]=ClosureLocation!$B$3, ClosureLocation!$B$6 &gt;= Table4[[#This Row],[StartMP]], ClosureLocation!$B$6 &lt;= Table4[[#This Row],[EndMP]]), "Yes", "")</f>
        <v/>
      </c>
      <c r="Q340" s="1" t="str">
        <f>IF( AND( Table4[[#This Row],[Route]]=ClosureLocation!$B$3, ClosureLocation!$B$6 &lt;= Table4[[#This Row],[StartMP]], ClosureLocation!$B$6 &gt;= Table4[[#This Row],[EndMP]]), "Yes", "")</f>
        <v/>
      </c>
      <c r="R340" s="1" t="str">
        <f>IF( OR( Table4[[#This Row],[PrimaryMatch]]="Yes", Table4[[#This Row],[SecondaryMatch]]="Yes"), "Yes", "")</f>
        <v/>
      </c>
    </row>
    <row r="341" spans="1:18" hidden="1" x14ac:dyDescent="0.25">
      <c r="A341" t="s">
        <v>252</v>
      </c>
      <c r="B341" t="s">
        <v>3209</v>
      </c>
      <c r="C341" t="s">
        <v>3226</v>
      </c>
      <c r="D341" t="s">
        <v>3398</v>
      </c>
      <c r="E341" s="1">
        <v>303.71199999999999</v>
      </c>
      <c r="F341" s="1">
        <v>212.96799999999999</v>
      </c>
      <c r="G341">
        <v>1</v>
      </c>
      <c r="H341">
        <v>5</v>
      </c>
      <c r="I341" t="s">
        <v>2183</v>
      </c>
      <c r="J341" t="s">
        <v>1702</v>
      </c>
      <c r="K341" s="39">
        <v>41.637141</v>
      </c>
      <c r="L341" s="1">
        <v>34.583466999999999</v>
      </c>
      <c r="M341" s="1" t="s">
        <v>3399</v>
      </c>
      <c r="N341" s="1">
        <v>696.28800000000001</v>
      </c>
      <c r="O341" s="1">
        <f>ABS(Table4[[#This Row],[EndMP]]-Table4[[#This Row],[StartMP]])</f>
        <v>90.744</v>
      </c>
      <c r="P341" s="1" t="str">
        <f>IF( AND( Table4[[#This Row],[Route]]=ClosureLocation!$B$3, ClosureLocation!$B$6 &gt;= Table4[[#This Row],[StartMP]], ClosureLocation!$B$6 &lt;= Table4[[#This Row],[EndMP]]), "Yes", "")</f>
        <v/>
      </c>
      <c r="Q341" s="1" t="str">
        <f>IF( AND( Table4[[#This Row],[Route]]=ClosureLocation!$B$3, ClosureLocation!$B$6 &lt;= Table4[[#This Row],[StartMP]], ClosureLocation!$B$6 &gt;= Table4[[#This Row],[EndMP]]), "Yes", "")</f>
        <v/>
      </c>
      <c r="R341" s="1" t="str">
        <f>IF( OR( Table4[[#This Row],[PrimaryMatch]]="Yes", Table4[[#This Row],[SecondaryMatch]]="Yes"), "Yes", "")</f>
        <v/>
      </c>
    </row>
    <row r="342" spans="1:18" hidden="1" x14ac:dyDescent="0.25">
      <c r="A342" t="s">
        <v>1192</v>
      </c>
      <c r="B342" t="s">
        <v>3205</v>
      </c>
      <c r="C342" t="s">
        <v>3206</v>
      </c>
      <c r="D342" t="s">
        <v>4050</v>
      </c>
      <c r="E342" s="1">
        <v>66.558000000000007</v>
      </c>
      <c r="F342" s="1">
        <v>75.406000000000006</v>
      </c>
      <c r="G342">
        <v>3</v>
      </c>
      <c r="H342">
        <v>3</v>
      </c>
      <c r="I342" t="s">
        <v>2908</v>
      </c>
      <c r="J342" t="s">
        <v>1695</v>
      </c>
      <c r="K342" s="39">
        <v>41.575986</v>
      </c>
      <c r="L342" s="1">
        <v>52.265197999999998</v>
      </c>
      <c r="M342" s="58" t="s">
        <v>4052</v>
      </c>
      <c r="N342" s="1">
        <v>66.558000000000007</v>
      </c>
      <c r="O342" s="1">
        <f>ABS(Table4[[#This Row],[EndMP]]-Table4[[#This Row],[StartMP]])</f>
        <v>8.847999999999999</v>
      </c>
      <c r="P342" s="1" t="str">
        <f>IF( AND( Table4[[#This Row],[Route]]=ClosureLocation!$B$3, ClosureLocation!$B$6 &gt;= Table4[[#This Row],[StartMP]], ClosureLocation!$B$6 &lt;= Table4[[#This Row],[EndMP]]), "Yes", "")</f>
        <v/>
      </c>
      <c r="Q342" s="1" t="str">
        <f>IF( AND( Table4[[#This Row],[Route]]=ClosureLocation!$B$3, ClosureLocation!$B$6 &lt;= Table4[[#This Row],[StartMP]], ClosureLocation!$B$6 &gt;= Table4[[#This Row],[EndMP]]), "Yes", "")</f>
        <v/>
      </c>
      <c r="R342" s="1" t="str">
        <f>IF( OR( Table4[[#This Row],[PrimaryMatch]]="Yes", Table4[[#This Row],[SecondaryMatch]]="Yes"), "Yes", "")</f>
        <v/>
      </c>
    </row>
    <row r="343" spans="1:18" hidden="1" x14ac:dyDescent="0.25">
      <c r="A343" t="s">
        <v>1192</v>
      </c>
      <c r="B343" t="s">
        <v>3209</v>
      </c>
      <c r="C343" t="s">
        <v>3210</v>
      </c>
      <c r="D343" t="s">
        <v>4053</v>
      </c>
      <c r="E343" s="1">
        <v>75.406000000000006</v>
      </c>
      <c r="F343" s="1">
        <v>66.558000000000007</v>
      </c>
      <c r="G343">
        <v>1</v>
      </c>
      <c r="H343">
        <v>4</v>
      </c>
      <c r="I343" t="s">
        <v>2909</v>
      </c>
      <c r="J343" t="s">
        <v>1695</v>
      </c>
      <c r="K343" s="39">
        <v>41.575986</v>
      </c>
      <c r="L343" s="1">
        <v>52.265197999999998</v>
      </c>
      <c r="M343" s="58" t="s">
        <v>4054</v>
      </c>
      <c r="N343" s="1">
        <v>924.59400000000005</v>
      </c>
      <c r="O343" s="1">
        <f>ABS(Table4[[#This Row],[EndMP]]-Table4[[#This Row],[StartMP]])</f>
        <v>8.847999999999999</v>
      </c>
      <c r="P343" s="1" t="str">
        <f>IF( AND( Table4[[#This Row],[Route]]=ClosureLocation!$B$3, ClosureLocation!$B$6 &gt;= Table4[[#This Row],[StartMP]], ClosureLocation!$B$6 &lt;= Table4[[#This Row],[EndMP]]), "Yes", "")</f>
        <v/>
      </c>
      <c r="Q343" s="1" t="str">
        <f>IF( AND( Table4[[#This Row],[Route]]=ClosureLocation!$B$3, ClosureLocation!$B$6 &lt;= Table4[[#This Row],[StartMP]], ClosureLocation!$B$6 &gt;= Table4[[#This Row],[EndMP]]), "Yes", "")</f>
        <v/>
      </c>
      <c r="R343" s="1" t="str">
        <f>IF( OR( Table4[[#This Row],[PrimaryMatch]]="Yes", Table4[[#This Row],[SecondaryMatch]]="Yes"), "Yes", "")</f>
        <v/>
      </c>
    </row>
    <row r="344" spans="1:18" hidden="1" x14ac:dyDescent="0.25">
      <c r="A344" t="s">
        <v>700</v>
      </c>
      <c r="B344" t="s">
        <v>3209</v>
      </c>
      <c r="C344" t="s">
        <v>3206</v>
      </c>
      <c r="D344" t="s">
        <v>3669</v>
      </c>
      <c r="E344" s="1">
        <v>2.3370000000000002</v>
      </c>
      <c r="F344" s="1">
        <v>0</v>
      </c>
      <c r="H344">
        <v>1</v>
      </c>
      <c r="I344" t="s">
        <v>2496</v>
      </c>
      <c r="J344" t="s">
        <v>1690</v>
      </c>
      <c r="K344" s="39">
        <v>40.755274999999997</v>
      </c>
      <c r="L344" s="1">
        <v>31.903137000000001</v>
      </c>
      <c r="M344" s="1" t="s">
        <v>3670</v>
      </c>
      <c r="N344" s="1">
        <v>997.66300000000001</v>
      </c>
      <c r="O344" s="1">
        <f>ABS(Table4[[#This Row],[EndMP]]-Table4[[#This Row],[StartMP]])</f>
        <v>2.3370000000000002</v>
      </c>
      <c r="P344" s="1" t="str">
        <f>IF( AND( Table4[[#This Row],[Route]]=ClosureLocation!$B$3, ClosureLocation!$B$6 &gt;= Table4[[#This Row],[StartMP]], ClosureLocation!$B$6 &lt;= Table4[[#This Row],[EndMP]]), "Yes", "")</f>
        <v/>
      </c>
      <c r="Q344" s="1" t="str">
        <f>IF( AND( Table4[[#This Row],[Route]]=ClosureLocation!$B$3, ClosureLocation!$B$6 &lt;= Table4[[#This Row],[StartMP]], ClosureLocation!$B$6 &gt;= Table4[[#This Row],[EndMP]]), "Yes", "")</f>
        <v/>
      </c>
      <c r="R344" s="1" t="str">
        <f>IF( OR( Table4[[#This Row],[PrimaryMatch]]="Yes", Table4[[#This Row],[SecondaryMatch]]="Yes"), "Yes", "")</f>
        <v/>
      </c>
    </row>
    <row r="345" spans="1:18" hidden="1" x14ac:dyDescent="0.25">
      <c r="A345" t="s">
        <v>732</v>
      </c>
      <c r="B345" t="s">
        <v>3209</v>
      </c>
      <c r="C345" t="s">
        <v>3210</v>
      </c>
      <c r="D345" t="s">
        <v>3714</v>
      </c>
      <c r="E345" s="1">
        <v>29.006</v>
      </c>
      <c r="F345" s="1">
        <v>0</v>
      </c>
      <c r="G345">
        <v>3</v>
      </c>
      <c r="H345">
        <v>2</v>
      </c>
      <c r="I345" t="s">
        <v>2525</v>
      </c>
      <c r="J345" t="s">
        <v>1724</v>
      </c>
      <c r="K345" s="39">
        <v>40.660390999999997</v>
      </c>
      <c r="L345" s="1">
        <v>49.975504999999998</v>
      </c>
      <c r="M345" s="1" t="s">
        <v>3717</v>
      </c>
      <c r="N345" s="1">
        <v>970.99400000000003</v>
      </c>
      <c r="O345" s="1">
        <f>ABS(Table4[[#This Row],[EndMP]]-Table4[[#This Row],[StartMP]])</f>
        <v>29.006</v>
      </c>
      <c r="P345" s="1" t="str">
        <f>IF( AND( Table4[[#This Row],[Route]]=ClosureLocation!$B$3, ClosureLocation!$B$6 &gt;= Table4[[#This Row],[StartMP]], ClosureLocation!$B$6 &lt;= Table4[[#This Row],[EndMP]]), "Yes", "")</f>
        <v/>
      </c>
      <c r="Q345" s="1" t="str">
        <f>IF( AND( Table4[[#This Row],[Route]]=ClosureLocation!$B$3, ClosureLocation!$B$6 &lt;= Table4[[#This Row],[StartMP]], ClosureLocation!$B$6 &gt;= Table4[[#This Row],[EndMP]]), "Yes", "")</f>
        <v/>
      </c>
      <c r="R345" s="1" t="str">
        <f>IF( OR( Table4[[#This Row],[PrimaryMatch]]="Yes", Table4[[#This Row],[SecondaryMatch]]="Yes"), "Yes", "")</f>
        <v/>
      </c>
    </row>
    <row r="346" spans="1:18" hidden="1" x14ac:dyDescent="0.25">
      <c r="A346" t="s">
        <v>732</v>
      </c>
      <c r="B346" t="s">
        <v>3205</v>
      </c>
      <c r="C346" t="s">
        <v>3206</v>
      </c>
      <c r="D346" t="s">
        <v>3710</v>
      </c>
      <c r="E346" s="1">
        <v>0</v>
      </c>
      <c r="F346" s="1">
        <v>29.006</v>
      </c>
      <c r="G346">
        <v>1</v>
      </c>
      <c r="H346">
        <v>1</v>
      </c>
      <c r="I346" t="s">
        <v>2520</v>
      </c>
      <c r="J346" t="s">
        <v>1724</v>
      </c>
      <c r="K346" s="39">
        <v>40.660227999999996</v>
      </c>
      <c r="L346" s="1">
        <v>49.975504999999998</v>
      </c>
      <c r="M346" s="1" t="s">
        <v>3711</v>
      </c>
      <c r="N346" s="1">
        <v>0</v>
      </c>
      <c r="O346" s="1">
        <f>ABS(Table4[[#This Row],[EndMP]]-Table4[[#This Row],[StartMP]])</f>
        <v>29.006</v>
      </c>
      <c r="P346" s="1" t="str">
        <f>IF( AND( Table4[[#This Row],[Route]]=ClosureLocation!$B$3, ClosureLocation!$B$6 &gt;= Table4[[#This Row],[StartMP]], ClosureLocation!$B$6 &lt;= Table4[[#This Row],[EndMP]]), "Yes", "")</f>
        <v/>
      </c>
      <c r="Q346" s="1" t="str">
        <f>IF( AND( Table4[[#This Row],[Route]]=ClosureLocation!$B$3, ClosureLocation!$B$6 &lt;= Table4[[#This Row],[StartMP]], ClosureLocation!$B$6 &gt;= Table4[[#This Row],[EndMP]]), "Yes", "")</f>
        <v/>
      </c>
      <c r="R346" s="1" t="str">
        <f>IF( OR( Table4[[#This Row],[PrimaryMatch]]="Yes", Table4[[#This Row],[SecondaryMatch]]="Yes"), "Yes", "")</f>
        <v/>
      </c>
    </row>
    <row r="347" spans="1:18" hidden="1" x14ac:dyDescent="0.25">
      <c r="A347" t="s">
        <v>310</v>
      </c>
      <c r="B347" t="s">
        <v>3209</v>
      </c>
      <c r="C347" t="s">
        <v>3210</v>
      </c>
      <c r="D347" t="s">
        <v>3444</v>
      </c>
      <c r="E347" s="1">
        <v>127.715</v>
      </c>
      <c r="F347" s="1">
        <v>101.708</v>
      </c>
      <c r="G347">
        <v>27</v>
      </c>
      <c r="H347">
        <v>40</v>
      </c>
      <c r="I347" t="s">
        <v>2266</v>
      </c>
      <c r="J347" t="s">
        <v>1694</v>
      </c>
      <c r="K347" s="39">
        <v>39.940035000000002</v>
      </c>
      <c r="L347" s="1">
        <v>19.673953999999998</v>
      </c>
      <c r="M347" s="1" t="s">
        <v>3741</v>
      </c>
      <c r="N347" s="1">
        <v>872.28499999999997</v>
      </c>
      <c r="O347" s="1">
        <f>ABS(Table4[[#This Row],[EndMP]]-Table4[[#This Row],[StartMP]])</f>
        <v>26.007000000000005</v>
      </c>
      <c r="P347" s="1" t="str">
        <f>IF( AND( Table4[[#This Row],[Route]]=ClosureLocation!$B$3, ClosureLocation!$B$6 &gt;= Table4[[#This Row],[StartMP]], ClosureLocation!$B$6 &lt;= Table4[[#This Row],[EndMP]]), "Yes", "")</f>
        <v/>
      </c>
      <c r="Q347" s="1" t="str">
        <f>IF( AND( Table4[[#This Row],[Route]]=ClosureLocation!$B$3, ClosureLocation!$B$6 &lt;= Table4[[#This Row],[StartMP]], ClosureLocation!$B$6 &gt;= Table4[[#This Row],[EndMP]]), "Yes", "")</f>
        <v/>
      </c>
      <c r="R347" s="1" t="str">
        <f>IF( OR( Table4[[#This Row],[PrimaryMatch]]="Yes", Table4[[#This Row],[SecondaryMatch]]="Yes"), "Yes", "")</f>
        <v/>
      </c>
    </row>
    <row r="348" spans="1:18" hidden="1" x14ac:dyDescent="0.25">
      <c r="A348" t="s">
        <v>894</v>
      </c>
      <c r="B348" t="s">
        <v>3205</v>
      </c>
      <c r="C348" t="s">
        <v>3206</v>
      </c>
      <c r="D348" t="s">
        <v>3811</v>
      </c>
      <c r="E348" s="1">
        <v>101.973</v>
      </c>
      <c r="F348" s="1">
        <v>138.011</v>
      </c>
      <c r="G348">
        <v>1</v>
      </c>
      <c r="H348">
        <v>1</v>
      </c>
      <c r="I348" t="s">
        <v>2688</v>
      </c>
      <c r="J348" t="s">
        <v>1699</v>
      </c>
      <c r="K348" s="39">
        <v>39.907080000000001</v>
      </c>
      <c r="L348" s="1">
        <v>44.953949000000001</v>
      </c>
      <c r="M348" s="1" t="s">
        <v>3812</v>
      </c>
      <c r="N348" s="1">
        <v>101.973</v>
      </c>
      <c r="O348" s="1">
        <f>ABS(Table4[[#This Row],[EndMP]]-Table4[[#This Row],[StartMP]])</f>
        <v>36.037999999999997</v>
      </c>
      <c r="P348" s="1" t="str">
        <f>IF( AND( Table4[[#This Row],[Route]]=ClosureLocation!$B$3, ClosureLocation!$B$6 &gt;= Table4[[#This Row],[StartMP]], ClosureLocation!$B$6 &lt;= Table4[[#This Row],[EndMP]]), "Yes", "")</f>
        <v/>
      </c>
      <c r="Q348" s="1" t="str">
        <f>IF( AND( Table4[[#This Row],[Route]]=ClosureLocation!$B$3, ClosureLocation!$B$6 &lt;= Table4[[#This Row],[StartMP]], ClosureLocation!$B$6 &gt;= Table4[[#This Row],[EndMP]]), "Yes", "")</f>
        <v/>
      </c>
      <c r="R348" s="1" t="str">
        <f>IF( OR( Table4[[#This Row],[PrimaryMatch]]="Yes", Table4[[#This Row],[SecondaryMatch]]="Yes"), "Yes", "")</f>
        <v/>
      </c>
    </row>
    <row r="349" spans="1:18" hidden="1" x14ac:dyDescent="0.25">
      <c r="A349" t="s">
        <v>1357</v>
      </c>
      <c r="B349" t="s">
        <v>3205</v>
      </c>
      <c r="C349" t="s">
        <v>3222</v>
      </c>
      <c r="D349" t="s">
        <v>4155</v>
      </c>
      <c r="E349" s="1">
        <v>350.76900000000001</v>
      </c>
      <c r="F349" s="1">
        <v>497.22300000000001</v>
      </c>
      <c r="G349">
        <v>2</v>
      </c>
      <c r="H349">
        <v>2</v>
      </c>
      <c r="I349" t="s">
        <v>2993</v>
      </c>
      <c r="J349" t="s">
        <v>1695</v>
      </c>
      <c r="K349" s="39">
        <v>39.883307000000002</v>
      </c>
      <c r="L349" s="1">
        <v>41.462727999999998</v>
      </c>
      <c r="M349" s="58" t="s">
        <v>4157</v>
      </c>
      <c r="N349" s="1">
        <v>350.76900000000001</v>
      </c>
      <c r="O349" s="1">
        <f>ABS(Table4[[#This Row],[EndMP]]-Table4[[#This Row],[StartMP]])</f>
        <v>146.45400000000001</v>
      </c>
      <c r="P349" s="1" t="str">
        <f>IF( AND( Table4[[#This Row],[Route]]=ClosureLocation!$B$3, ClosureLocation!$B$6 &gt;= Table4[[#This Row],[StartMP]], ClosureLocation!$B$6 &lt;= Table4[[#This Row],[EndMP]]), "Yes", "")</f>
        <v/>
      </c>
      <c r="Q349" s="1" t="str">
        <f>IF( AND( Table4[[#This Row],[Route]]=ClosureLocation!$B$3, ClosureLocation!$B$6 &lt;= Table4[[#This Row],[StartMP]], ClosureLocation!$B$6 &gt;= Table4[[#This Row],[EndMP]]), "Yes", "")</f>
        <v/>
      </c>
      <c r="R349" s="1" t="str">
        <f>IF( OR( Table4[[#This Row],[PrimaryMatch]]="Yes", Table4[[#This Row],[SecondaryMatch]]="Yes"), "Yes", "")</f>
        <v/>
      </c>
    </row>
    <row r="350" spans="1:18" hidden="1" x14ac:dyDescent="0.25">
      <c r="A350" t="s">
        <v>1357</v>
      </c>
      <c r="B350" t="s">
        <v>3209</v>
      </c>
      <c r="C350" t="s">
        <v>3226</v>
      </c>
      <c r="D350" t="s">
        <v>4158</v>
      </c>
      <c r="E350" s="1">
        <v>497.22300000000001</v>
      </c>
      <c r="F350" s="1">
        <v>350.76900000000001</v>
      </c>
      <c r="G350">
        <v>1</v>
      </c>
      <c r="H350">
        <v>3</v>
      </c>
      <c r="I350" t="s">
        <v>2994</v>
      </c>
      <c r="J350" t="s">
        <v>1695</v>
      </c>
      <c r="K350" s="39">
        <v>39.883018999999997</v>
      </c>
      <c r="L350" s="1">
        <v>41.462727999999998</v>
      </c>
      <c r="M350" s="58" t="s">
        <v>4159</v>
      </c>
      <c r="N350" s="1">
        <v>502.77699999999999</v>
      </c>
      <c r="O350" s="1">
        <f>ABS(Table4[[#This Row],[EndMP]]-Table4[[#This Row],[StartMP]])</f>
        <v>146.45400000000001</v>
      </c>
      <c r="P350" s="1" t="str">
        <f>IF( AND( Table4[[#This Row],[Route]]=ClosureLocation!$B$3, ClosureLocation!$B$6 &gt;= Table4[[#This Row],[StartMP]], ClosureLocation!$B$6 &lt;= Table4[[#This Row],[EndMP]]), "Yes", "")</f>
        <v/>
      </c>
      <c r="Q350" s="1" t="str">
        <f>IF( AND( Table4[[#This Row],[Route]]=ClosureLocation!$B$3, ClosureLocation!$B$6 &lt;= Table4[[#This Row],[StartMP]], ClosureLocation!$B$6 &gt;= Table4[[#This Row],[EndMP]]), "Yes", "")</f>
        <v/>
      </c>
      <c r="R350" s="1" t="str">
        <f>IF( OR( Table4[[#This Row],[PrimaryMatch]]="Yes", Table4[[#This Row],[SecondaryMatch]]="Yes"), "Yes", "")</f>
        <v/>
      </c>
    </row>
    <row r="351" spans="1:18" hidden="1" x14ac:dyDescent="0.25">
      <c r="A351" t="s">
        <v>714</v>
      </c>
      <c r="B351" t="s">
        <v>3209</v>
      </c>
      <c r="C351" t="s">
        <v>3210</v>
      </c>
      <c r="D351" t="s">
        <v>3694</v>
      </c>
      <c r="E351" s="1">
        <v>173.33699999999999</v>
      </c>
      <c r="F351" s="1">
        <v>171.15199999999999</v>
      </c>
      <c r="G351">
        <v>1</v>
      </c>
      <c r="H351">
        <v>3</v>
      </c>
      <c r="I351" t="s">
        <v>2511</v>
      </c>
      <c r="J351" t="s">
        <v>1699</v>
      </c>
      <c r="K351" s="39">
        <v>39.773626999999998</v>
      </c>
      <c r="L351" s="1">
        <v>29.981324999999998</v>
      </c>
      <c r="M351" s="1" t="s">
        <v>3695</v>
      </c>
      <c r="N351" s="1">
        <v>826.66300000000001</v>
      </c>
      <c r="O351" s="1">
        <f>ABS(Table4[[#This Row],[EndMP]]-Table4[[#This Row],[StartMP]])</f>
        <v>2.1850000000000023</v>
      </c>
      <c r="P351" s="1" t="str">
        <f>IF( AND( Table4[[#This Row],[Route]]=ClosureLocation!$B$3, ClosureLocation!$B$6 &gt;= Table4[[#This Row],[StartMP]], ClosureLocation!$B$6 &lt;= Table4[[#This Row],[EndMP]]), "Yes", "")</f>
        <v/>
      </c>
      <c r="Q351" s="1" t="str">
        <f>IF( AND( Table4[[#This Row],[Route]]=ClosureLocation!$B$3, ClosureLocation!$B$6 &lt;= Table4[[#This Row],[StartMP]], ClosureLocation!$B$6 &gt;= Table4[[#This Row],[EndMP]]), "Yes", "")</f>
        <v/>
      </c>
      <c r="R351" s="1" t="str">
        <f>IF( OR( Table4[[#This Row],[PrimaryMatch]]="Yes", Table4[[#This Row],[SecondaryMatch]]="Yes"), "Yes", "")</f>
        <v/>
      </c>
    </row>
    <row r="352" spans="1:18" hidden="1" x14ac:dyDescent="0.25">
      <c r="A352" t="s">
        <v>894</v>
      </c>
      <c r="B352" t="s">
        <v>3209</v>
      </c>
      <c r="C352" t="s">
        <v>3210</v>
      </c>
      <c r="D352" t="s">
        <v>3814</v>
      </c>
      <c r="E352" s="1">
        <v>138.011</v>
      </c>
      <c r="F352" s="1">
        <v>101.973</v>
      </c>
      <c r="G352">
        <v>2</v>
      </c>
      <c r="H352">
        <v>4</v>
      </c>
      <c r="I352" t="s">
        <v>2691</v>
      </c>
      <c r="J352" t="s">
        <v>1699</v>
      </c>
      <c r="K352" s="39">
        <v>39.714677999999999</v>
      </c>
      <c r="L352" s="1">
        <v>44.850709999999999</v>
      </c>
      <c r="M352" s="1" t="s">
        <v>3816</v>
      </c>
      <c r="N352" s="1">
        <v>861.98900000000003</v>
      </c>
      <c r="O352" s="1">
        <f>ABS(Table4[[#This Row],[EndMP]]-Table4[[#This Row],[StartMP]])</f>
        <v>36.037999999999997</v>
      </c>
      <c r="P352" s="1" t="str">
        <f>IF( AND( Table4[[#This Row],[Route]]=ClosureLocation!$B$3, ClosureLocation!$B$6 &gt;= Table4[[#This Row],[StartMP]], ClosureLocation!$B$6 &lt;= Table4[[#This Row],[EndMP]]), "Yes", "")</f>
        <v/>
      </c>
      <c r="Q352" s="1" t="str">
        <f>IF( AND( Table4[[#This Row],[Route]]=ClosureLocation!$B$3, ClosureLocation!$B$6 &lt;= Table4[[#This Row],[StartMP]], ClosureLocation!$B$6 &gt;= Table4[[#This Row],[EndMP]]), "Yes", "")</f>
        <v/>
      </c>
      <c r="R352" s="1" t="str">
        <f>IF( OR( Table4[[#This Row],[PrimaryMatch]]="Yes", Table4[[#This Row],[SecondaryMatch]]="Yes"), "Yes", "")</f>
        <v/>
      </c>
    </row>
    <row r="353" spans="1:18" hidden="1" x14ac:dyDescent="0.25">
      <c r="A353" t="s">
        <v>1284</v>
      </c>
      <c r="B353" t="s">
        <v>3205</v>
      </c>
      <c r="C353" t="s">
        <v>3206</v>
      </c>
      <c r="D353" t="s">
        <v>4121</v>
      </c>
      <c r="E353" s="1">
        <v>7.8639999999999999</v>
      </c>
      <c r="F353" s="1">
        <v>8.7289999999999992</v>
      </c>
      <c r="G353">
        <v>2</v>
      </c>
      <c r="H353">
        <v>2</v>
      </c>
      <c r="I353" t="s">
        <v>2958</v>
      </c>
      <c r="J353" t="s">
        <v>1702</v>
      </c>
      <c r="K353" s="39">
        <v>39.391845000000004</v>
      </c>
      <c r="L353" s="1">
        <v>24.517665000000001</v>
      </c>
      <c r="M353" s="1" t="s">
        <v>4123</v>
      </c>
      <c r="N353" s="1">
        <v>7.8639999999999999</v>
      </c>
      <c r="O353" s="1">
        <f>ABS(Table4[[#This Row],[EndMP]]-Table4[[#This Row],[StartMP]])</f>
        <v>0.86499999999999932</v>
      </c>
      <c r="P353" s="1" t="str">
        <f>IF( AND( Table4[[#This Row],[Route]]=ClosureLocation!$B$3, ClosureLocation!$B$6 &gt;= Table4[[#This Row],[StartMP]], ClosureLocation!$B$6 &lt;= Table4[[#This Row],[EndMP]]), "Yes", "")</f>
        <v/>
      </c>
      <c r="Q353" s="1" t="str">
        <f>IF( AND( Table4[[#This Row],[Route]]=ClosureLocation!$B$3, ClosureLocation!$B$6 &lt;= Table4[[#This Row],[StartMP]], ClosureLocation!$B$6 &gt;= Table4[[#This Row],[EndMP]]), "Yes", "")</f>
        <v/>
      </c>
      <c r="R353" s="1" t="str">
        <f>IF( OR( Table4[[#This Row],[PrimaryMatch]]="Yes", Table4[[#This Row],[SecondaryMatch]]="Yes"), "Yes", "")</f>
        <v/>
      </c>
    </row>
    <row r="354" spans="1:18" hidden="1" x14ac:dyDescent="0.25">
      <c r="A354" t="s">
        <v>1284</v>
      </c>
      <c r="B354" t="s">
        <v>3209</v>
      </c>
      <c r="C354" t="s">
        <v>3210</v>
      </c>
      <c r="D354" t="s">
        <v>4126</v>
      </c>
      <c r="E354" s="1">
        <v>8.7289999999999992</v>
      </c>
      <c r="F354" s="1">
        <v>7.8639999999999999</v>
      </c>
      <c r="G354">
        <v>3</v>
      </c>
      <c r="H354">
        <v>5</v>
      </c>
      <c r="I354" t="s">
        <v>2963</v>
      </c>
      <c r="J354" t="s">
        <v>1702</v>
      </c>
      <c r="K354" s="39">
        <v>39.390044000000003</v>
      </c>
      <c r="L354" s="1">
        <v>24.517665000000001</v>
      </c>
      <c r="M354" s="1" t="s">
        <v>4129</v>
      </c>
      <c r="N354" s="1">
        <v>991.27099999999996</v>
      </c>
      <c r="O354" s="1">
        <f>ABS(Table4[[#This Row],[EndMP]]-Table4[[#This Row],[StartMP]])</f>
        <v>0.86499999999999932</v>
      </c>
      <c r="P354" s="1" t="str">
        <f>IF( AND( Table4[[#This Row],[Route]]=ClosureLocation!$B$3, ClosureLocation!$B$6 &gt;= Table4[[#This Row],[StartMP]], ClosureLocation!$B$6 &lt;= Table4[[#This Row],[EndMP]]), "Yes", "")</f>
        <v/>
      </c>
      <c r="Q354" s="1" t="str">
        <f>IF( AND( Table4[[#This Row],[Route]]=ClosureLocation!$B$3, ClosureLocation!$B$6 &lt;= Table4[[#This Row],[StartMP]], ClosureLocation!$B$6 &gt;= Table4[[#This Row],[EndMP]]), "Yes", "")</f>
        <v/>
      </c>
      <c r="R354" s="1" t="str">
        <f>IF( OR( Table4[[#This Row],[PrimaryMatch]]="Yes", Table4[[#This Row],[SecondaryMatch]]="Yes"), "Yes", "")</f>
        <v/>
      </c>
    </row>
    <row r="355" spans="1:18" hidden="1" x14ac:dyDescent="0.25">
      <c r="A355" t="s">
        <v>907</v>
      </c>
      <c r="B355" t="s">
        <v>3205</v>
      </c>
      <c r="C355" t="s">
        <v>3226</v>
      </c>
      <c r="D355" t="s">
        <v>3835</v>
      </c>
      <c r="E355" s="1">
        <v>32.369</v>
      </c>
      <c r="F355" s="1">
        <v>54.064</v>
      </c>
      <c r="G355">
        <v>1</v>
      </c>
      <c r="H355">
        <v>2</v>
      </c>
      <c r="I355" t="s">
        <v>2700</v>
      </c>
      <c r="J355" t="s">
        <v>1699</v>
      </c>
      <c r="K355" s="39">
        <v>39.154589000000001</v>
      </c>
      <c r="L355" s="1">
        <v>25.995276</v>
      </c>
      <c r="M355" s="1" t="s">
        <v>3836</v>
      </c>
      <c r="N355" s="1">
        <v>32.369</v>
      </c>
      <c r="O355" s="1">
        <f>ABS(Table4[[#This Row],[EndMP]]-Table4[[#This Row],[StartMP]])</f>
        <v>21.695</v>
      </c>
      <c r="P355" s="1" t="str">
        <f>IF( AND( Table4[[#This Row],[Route]]=ClosureLocation!$B$3, ClosureLocation!$B$6 &gt;= Table4[[#This Row],[StartMP]], ClosureLocation!$B$6 &lt;= Table4[[#This Row],[EndMP]]), "Yes", "")</f>
        <v/>
      </c>
      <c r="Q355" s="1" t="str">
        <f>IF( AND( Table4[[#This Row],[Route]]=ClosureLocation!$B$3, ClosureLocation!$B$6 &lt;= Table4[[#This Row],[StartMP]], ClosureLocation!$B$6 &gt;= Table4[[#This Row],[EndMP]]), "Yes", "")</f>
        <v/>
      </c>
      <c r="R355" s="1" t="str">
        <f>IF( OR( Table4[[#This Row],[PrimaryMatch]]="Yes", Table4[[#This Row],[SecondaryMatch]]="Yes"), "Yes", "")</f>
        <v/>
      </c>
    </row>
    <row r="356" spans="1:18" hidden="1" x14ac:dyDescent="0.25">
      <c r="A356" t="s">
        <v>206</v>
      </c>
      <c r="B356" t="s">
        <v>3205</v>
      </c>
      <c r="C356" t="s">
        <v>3222</v>
      </c>
      <c r="D356" t="s">
        <v>3343</v>
      </c>
      <c r="E356" s="1">
        <v>205.23599999999999</v>
      </c>
      <c r="F356" s="1">
        <v>215.828</v>
      </c>
      <c r="G356">
        <v>5</v>
      </c>
      <c r="H356">
        <v>1</v>
      </c>
      <c r="I356" t="s">
        <v>2149</v>
      </c>
      <c r="J356" t="s">
        <v>1702</v>
      </c>
      <c r="K356" s="39">
        <v>38.909624000000001</v>
      </c>
      <c r="L356" s="1">
        <v>39.88496</v>
      </c>
      <c r="M356" s="1" t="s">
        <v>3348</v>
      </c>
      <c r="N356" s="1">
        <v>205.23599999999999</v>
      </c>
      <c r="O356" s="1">
        <f>ABS(Table4[[#This Row],[EndMP]]-Table4[[#This Row],[StartMP]])</f>
        <v>10.592000000000013</v>
      </c>
      <c r="P356" s="1" t="str">
        <f>IF( AND( Table4[[#This Row],[Route]]=ClosureLocation!$B$3, ClosureLocation!$B$6 &gt;= Table4[[#This Row],[StartMP]], ClosureLocation!$B$6 &lt;= Table4[[#This Row],[EndMP]]), "Yes", "")</f>
        <v/>
      </c>
      <c r="Q356" s="1" t="str">
        <f>IF( AND( Table4[[#This Row],[Route]]=ClosureLocation!$B$3, ClosureLocation!$B$6 &lt;= Table4[[#This Row],[StartMP]], ClosureLocation!$B$6 &gt;= Table4[[#This Row],[EndMP]]), "Yes", "")</f>
        <v/>
      </c>
      <c r="R356" s="1" t="str">
        <f>IF( OR( Table4[[#This Row],[PrimaryMatch]]="Yes", Table4[[#This Row],[SecondaryMatch]]="Yes"), "Yes", "")</f>
        <v/>
      </c>
    </row>
    <row r="357" spans="1:18" hidden="1" x14ac:dyDescent="0.25">
      <c r="A357" t="s">
        <v>907</v>
      </c>
      <c r="B357" t="s">
        <v>3209</v>
      </c>
      <c r="C357" t="s">
        <v>3222</v>
      </c>
      <c r="D357" t="s">
        <v>3833</v>
      </c>
      <c r="E357" s="1">
        <v>54.064</v>
      </c>
      <c r="F357" s="1">
        <v>32.369</v>
      </c>
      <c r="G357">
        <v>1</v>
      </c>
      <c r="H357">
        <v>1</v>
      </c>
      <c r="I357" t="s">
        <v>2701</v>
      </c>
      <c r="J357" t="s">
        <v>1699</v>
      </c>
      <c r="K357" s="39">
        <v>38.900511000000002</v>
      </c>
      <c r="L357" s="1">
        <v>25.921935999999999</v>
      </c>
      <c r="M357" s="1" t="s">
        <v>3834</v>
      </c>
      <c r="N357" s="1">
        <v>945.93600000000004</v>
      </c>
      <c r="O357" s="1">
        <f>ABS(Table4[[#This Row],[EndMP]]-Table4[[#This Row],[StartMP]])</f>
        <v>21.695</v>
      </c>
      <c r="P357" s="1" t="str">
        <f>IF( AND( Table4[[#This Row],[Route]]=ClosureLocation!$B$3, ClosureLocation!$B$6 &gt;= Table4[[#This Row],[StartMP]], ClosureLocation!$B$6 &lt;= Table4[[#This Row],[EndMP]]), "Yes", "")</f>
        <v/>
      </c>
      <c r="Q357" s="1" t="str">
        <f>IF( AND( Table4[[#This Row],[Route]]=ClosureLocation!$B$3, ClosureLocation!$B$6 &lt;= Table4[[#This Row],[StartMP]], ClosureLocation!$B$6 &gt;= Table4[[#This Row],[EndMP]]), "Yes", "")</f>
        <v/>
      </c>
      <c r="R357" s="1" t="str">
        <f>IF( OR( Table4[[#This Row],[PrimaryMatch]]="Yes", Table4[[#This Row],[SecondaryMatch]]="Yes"), "Yes", "")</f>
        <v/>
      </c>
    </row>
    <row r="358" spans="1:18" hidden="1" x14ac:dyDescent="0.25">
      <c r="A358" t="s">
        <v>1045</v>
      </c>
      <c r="B358" t="s">
        <v>3209</v>
      </c>
      <c r="C358" t="s">
        <v>3210</v>
      </c>
      <c r="D358" t="s">
        <v>3942</v>
      </c>
      <c r="E358" s="1">
        <v>22.341000000000001</v>
      </c>
      <c r="F358" s="1">
        <v>0</v>
      </c>
      <c r="G358">
        <v>1</v>
      </c>
      <c r="H358">
        <v>2</v>
      </c>
      <c r="I358" t="s">
        <v>2822</v>
      </c>
      <c r="J358" t="s">
        <v>1689</v>
      </c>
      <c r="K358" s="39">
        <v>38.886293999999999</v>
      </c>
      <c r="L358" s="1">
        <v>33.590820000000001</v>
      </c>
      <c r="M358" s="1" t="s">
        <v>3943</v>
      </c>
      <c r="N358" s="1">
        <v>977.65899999999999</v>
      </c>
      <c r="O358" s="1">
        <f>ABS(Table4[[#This Row],[EndMP]]-Table4[[#This Row],[StartMP]])</f>
        <v>22.341000000000001</v>
      </c>
      <c r="P358" s="1" t="str">
        <f>IF( AND( Table4[[#This Row],[Route]]=ClosureLocation!$B$3, ClosureLocation!$B$6 &gt;= Table4[[#This Row],[StartMP]], ClosureLocation!$B$6 &lt;= Table4[[#This Row],[EndMP]]), "Yes", "")</f>
        <v/>
      </c>
      <c r="Q358" s="1" t="str">
        <f>IF( AND( Table4[[#This Row],[Route]]=ClosureLocation!$B$3, ClosureLocation!$B$6 &lt;= Table4[[#This Row],[StartMP]], ClosureLocation!$B$6 &gt;= Table4[[#This Row],[EndMP]]), "Yes", "")</f>
        <v/>
      </c>
      <c r="R358" s="1" t="str">
        <f>IF( OR( Table4[[#This Row],[PrimaryMatch]]="Yes", Table4[[#This Row],[SecondaryMatch]]="Yes"), "Yes", "")</f>
        <v/>
      </c>
    </row>
    <row r="359" spans="1:18" hidden="1" x14ac:dyDescent="0.25">
      <c r="A359" t="s">
        <v>1045</v>
      </c>
      <c r="B359" t="s">
        <v>3205</v>
      </c>
      <c r="C359" t="s">
        <v>3206</v>
      </c>
      <c r="D359" t="s">
        <v>3940</v>
      </c>
      <c r="E359" s="1">
        <v>0</v>
      </c>
      <c r="F359" s="1">
        <v>22.341000000000001</v>
      </c>
      <c r="G359">
        <v>1</v>
      </c>
      <c r="H359">
        <v>1</v>
      </c>
      <c r="I359" t="s">
        <v>2821</v>
      </c>
      <c r="J359" t="s">
        <v>1689</v>
      </c>
      <c r="K359" s="39">
        <v>38.788916</v>
      </c>
      <c r="L359" s="1">
        <v>33.265833000000001</v>
      </c>
      <c r="M359" s="1" t="s">
        <v>3941</v>
      </c>
      <c r="N359" s="1">
        <v>0</v>
      </c>
      <c r="O359" s="1">
        <f>ABS(Table4[[#This Row],[EndMP]]-Table4[[#This Row],[StartMP]])</f>
        <v>22.341000000000001</v>
      </c>
      <c r="P359" s="1" t="str">
        <f>IF( AND( Table4[[#This Row],[Route]]=ClosureLocation!$B$3, ClosureLocation!$B$6 &gt;= Table4[[#This Row],[StartMP]], ClosureLocation!$B$6 &lt;= Table4[[#This Row],[EndMP]]), "Yes", "")</f>
        <v/>
      </c>
      <c r="Q359" s="1" t="str">
        <f>IF( AND( Table4[[#This Row],[Route]]=ClosureLocation!$B$3, ClosureLocation!$B$6 &lt;= Table4[[#This Row],[StartMP]], ClosureLocation!$B$6 &gt;= Table4[[#This Row],[EndMP]]), "Yes", "")</f>
        <v/>
      </c>
      <c r="R359" s="1" t="str">
        <f>IF( OR( Table4[[#This Row],[PrimaryMatch]]="Yes", Table4[[#This Row],[SecondaryMatch]]="Yes"), "Yes", "")</f>
        <v/>
      </c>
    </row>
    <row r="360" spans="1:18" hidden="1" x14ac:dyDescent="0.25">
      <c r="A360" t="s">
        <v>206</v>
      </c>
      <c r="B360" t="s">
        <v>3209</v>
      </c>
      <c r="C360" t="s">
        <v>3226</v>
      </c>
      <c r="D360" t="s">
        <v>3351</v>
      </c>
      <c r="E360" s="1">
        <v>205.23599999999999</v>
      </c>
      <c r="F360" s="1">
        <v>176.18899999999999</v>
      </c>
      <c r="G360">
        <v>4</v>
      </c>
      <c r="H360">
        <v>5</v>
      </c>
      <c r="I360" t="s">
        <v>2155</v>
      </c>
      <c r="J360" t="s">
        <v>1702</v>
      </c>
      <c r="K360" s="39">
        <v>38.343035999999998</v>
      </c>
      <c r="L360" s="1">
        <v>37.163671000000001</v>
      </c>
      <c r="M360" s="1" t="s">
        <v>3355</v>
      </c>
      <c r="N360" s="1">
        <v>794.76400000000001</v>
      </c>
      <c r="O360" s="1">
        <f>ABS(Table4[[#This Row],[EndMP]]-Table4[[#This Row],[StartMP]])</f>
        <v>29.046999999999997</v>
      </c>
      <c r="P360" s="1" t="str">
        <f>IF( AND( Table4[[#This Row],[Route]]=ClosureLocation!$B$3, ClosureLocation!$B$6 &gt;= Table4[[#This Row],[StartMP]], ClosureLocation!$B$6 &lt;= Table4[[#This Row],[EndMP]]), "Yes", "")</f>
        <v/>
      </c>
      <c r="Q360" s="1" t="str">
        <f>IF( AND( Table4[[#This Row],[Route]]=ClosureLocation!$B$3, ClosureLocation!$B$6 &lt;= Table4[[#This Row],[StartMP]], ClosureLocation!$B$6 &gt;= Table4[[#This Row],[EndMP]]), "Yes", "")</f>
        <v/>
      </c>
      <c r="R360" s="1" t="str">
        <f>IF( OR( Table4[[#This Row],[PrimaryMatch]]="Yes", Table4[[#This Row],[SecondaryMatch]]="Yes"), "Yes", "")</f>
        <v/>
      </c>
    </row>
    <row r="361" spans="1:18" hidden="1" x14ac:dyDescent="0.25">
      <c r="A361" t="s">
        <v>714</v>
      </c>
      <c r="B361" t="s">
        <v>3205</v>
      </c>
      <c r="C361" t="s">
        <v>3206</v>
      </c>
      <c r="D361" t="s">
        <v>3691</v>
      </c>
      <c r="E361" s="1">
        <v>171.15199999999999</v>
      </c>
      <c r="F361" s="1">
        <v>173.33699999999999</v>
      </c>
      <c r="G361">
        <v>2</v>
      </c>
      <c r="H361">
        <v>2</v>
      </c>
      <c r="I361" t="s">
        <v>2510</v>
      </c>
      <c r="J361" t="s">
        <v>1699</v>
      </c>
      <c r="K361" s="39">
        <v>38.022075000000001</v>
      </c>
      <c r="L361" s="1">
        <v>30.032494</v>
      </c>
      <c r="M361" s="1" t="s">
        <v>3693</v>
      </c>
      <c r="N361" s="1">
        <v>171.15199999999999</v>
      </c>
      <c r="O361" s="1">
        <f>ABS(Table4[[#This Row],[EndMP]]-Table4[[#This Row],[StartMP]])</f>
        <v>2.1850000000000023</v>
      </c>
      <c r="P361" s="1" t="str">
        <f>IF( AND( Table4[[#This Row],[Route]]=ClosureLocation!$B$3, ClosureLocation!$B$6 &gt;= Table4[[#This Row],[StartMP]], ClosureLocation!$B$6 &lt;= Table4[[#This Row],[EndMP]]), "Yes", "")</f>
        <v/>
      </c>
      <c r="Q361" s="1" t="str">
        <f>IF( AND( Table4[[#This Row],[Route]]=ClosureLocation!$B$3, ClosureLocation!$B$6 &lt;= Table4[[#This Row],[StartMP]], ClosureLocation!$B$6 &gt;= Table4[[#This Row],[EndMP]]), "Yes", "")</f>
        <v/>
      </c>
      <c r="R361" s="1" t="str">
        <f>IF( OR( Table4[[#This Row],[PrimaryMatch]]="Yes", Table4[[#This Row],[SecondaryMatch]]="Yes"), "Yes", "")</f>
        <v/>
      </c>
    </row>
    <row r="362" spans="1:18" hidden="1" x14ac:dyDescent="0.25">
      <c r="A362" t="s">
        <v>1615</v>
      </c>
      <c r="B362" t="s">
        <v>3205</v>
      </c>
      <c r="C362" t="s">
        <v>3206</v>
      </c>
      <c r="D362" t="s">
        <v>4354</v>
      </c>
      <c r="E362" s="1">
        <v>219.44800000000001</v>
      </c>
      <c r="F362" s="1">
        <v>243.345</v>
      </c>
      <c r="G362">
        <v>1</v>
      </c>
      <c r="H362">
        <v>1</v>
      </c>
      <c r="I362" t="s">
        <v>3149</v>
      </c>
      <c r="J362" t="s">
        <v>1691</v>
      </c>
      <c r="K362" s="39">
        <v>37.979864999999997</v>
      </c>
      <c r="L362" s="1">
        <v>37.816912000000002</v>
      </c>
      <c r="M362" s="58" t="s">
        <v>4355</v>
      </c>
      <c r="N362" s="1">
        <v>219.44800000000001</v>
      </c>
      <c r="O362" s="1">
        <f>ABS(Table4[[#This Row],[EndMP]]-Table4[[#This Row],[StartMP]])</f>
        <v>23.896999999999991</v>
      </c>
      <c r="P362" s="1" t="str">
        <f>IF( AND( Table4[[#This Row],[Route]]=ClosureLocation!$B$3, ClosureLocation!$B$6 &gt;= Table4[[#This Row],[StartMP]], ClosureLocation!$B$6 &lt;= Table4[[#This Row],[EndMP]]), "Yes", "")</f>
        <v/>
      </c>
      <c r="Q362" s="1" t="str">
        <f>IF( AND( Table4[[#This Row],[Route]]=ClosureLocation!$B$3, ClosureLocation!$B$6 &lt;= Table4[[#This Row],[StartMP]], ClosureLocation!$B$6 &gt;= Table4[[#This Row],[EndMP]]), "Yes", "")</f>
        <v/>
      </c>
      <c r="R362" s="1" t="str">
        <f>IF( OR( Table4[[#This Row],[PrimaryMatch]]="Yes", Table4[[#This Row],[SecondaryMatch]]="Yes"), "Yes", "")</f>
        <v/>
      </c>
    </row>
    <row r="363" spans="1:18" hidden="1" x14ac:dyDescent="0.25">
      <c r="A363" t="s">
        <v>1615</v>
      </c>
      <c r="B363" t="s">
        <v>3209</v>
      </c>
      <c r="C363" t="s">
        <v>3210</v>
      </c>
      <c r="D363" t="s">
        <v>4359</v>
      </c>
      <c r="E363" s="1">
        <v>243.345</v>
      </c>
      <c r="F363" s="1">
        <v>219.44800000000001</v>
      </c>
      <c r="G363">
        <v>4</v>
      </c>
      <c r="H363">
        <v>8</v>
      </c>
      <c r="I363" t="s">
        <v>3156</v>
      </c>
      <c r="J363" t="s">
        <v>1691</v>
      </c>
      <c r="K363" s="39">
        <v>37.979863000000002</v>
      </c>
      <c r="L363" s="1">
        <v>37.816912000000002</v>
      </c>
      <c r="M363" s="58" t="s">
        <v>4363</v>
      </c>
      <c r="N363" s="1">
        <v>756.65499999999997</v>
      </c>
      <c r="O363" s="1">
        <f>ABS(Table4[[#This Row],[EndMP]]-Table4[[#This Row],[StartMP]])</f>
        <v>23.896999999999991</v>
      </c>
      <c r="P363" s="1" t="str">
        <f>IF( AND( Table4[[#This Row],[Route]]=ClosureLocation!$B$3, ClosureLocation!$B$6 &gt;= Table4[[#This Row],[StartMP]], ClosureLocation!$B$6 &lt;= Table4[[#This Row],[EndMP]]), "Yes", "")</f>
        <v/>
      </c>
      <c r="Q363" s="1" t="str">
        <f>IF( AND( Table4[[#This Row],[Route]]=ClosureLocation!$B$3, ClosureLocation!$B$6 &lt;= Table4[[#This Row],[StartMP]], ClosureLocation!$B$6 &gt;= Table4[[#This Row],[EndMP]]), "Yes", "")</f>
        <v/>
      </c>
      <c r="R363" s="1" t="str">
        <f>IF( OR( Table4[[#This Row],[PrimaryMatch]]="Yes", Table4[[#This Row],[SecondaryMatch]]="Yes"), "Yes", "")</f>
        <v/>
      </c>
    </row>
    <row r="364" spans="1:18" hidden="1" x14ac:dyDescent="0.25">
      <c r="A364" t="s">
        <v>640</v>
      </c>
      <c r="B364" t="s">
        <v>3205</v>
      </c>
      <c r="C364" t="s">
        <v>3222</v>
      </c>
      <c r="D364" t="s">
        <v>3638</v>
      </c>
      <c r="E364" s="1">
        <v>428.387</v>
      </c>
      <c r="F364" s="1">
        <v>467.58300000000003</v>
      </c>
      <c r="G364">
        <v>14</v>
      </c>
      <c r="H364">
        <v>28</v>
      </c>
      <c r="I364" t="s">
        <v>2457</v>
      </c>
      <c r="J364" t="s">
        <v>1694</v>
      </c>
      <c r="K364" s="39">
        <v>37.964837000000003</v>
      </c>
      <c r="L364" s="1">
        <v>29.598624999999998</v>
      </c>
      <c r="M364" s="58" t="s">
        <v>4937</v>
      </c>
      <c r="N364" s="1">
        <v>428.387</v>
      </c>
      <c r="O364" s="1">
        <f>ABS(Table4[[#This Row],[EndMP]]-Table4[[#This Row],[StartMP]])</f>
        <v>39.196000000000026</v>
      </c>
      <c r="P364" s="1" t="str">
        <f>IF( AND( Table4[[#This Row],[Route]]=ClosureLocation!$B$3, ClosureLocation!$B$6 &gt;= Table4[[#This Row],[StartMP]], ClosureLocation!$B$6 &lt;= Table4[[#This Row],[EndMP]]), "Yes", "")</f>
        <v/>
      </c>
      <c r="Q364" s="1" t="str">
        <f>IF( AND( Table4[[#This Row],[Route]]=ClosureLocation!$B$3, ClosureLocation!$B$6 &lt;= Table4[[#This Row],[StartMP]], ClosureLocation!$B$6 &gt;= Table4[[#This Row],[EndMP]]), "Yes", "")</f>
        <v/>
      </c>
      <c r="R364" s="1" t="str">
        <f>IF( OR( Table4[[#This Row],[PrimaryMatch]]="Yes", Table4[[#This Row],[SecondaryMatch]]="Yes"), "Yes", "")</f>
        <v/>
      </c>
    </row>
    <row r="365" spans="1:18" hidden="1" x14ac:dyDescent="0.25">
      <c r="A365" t="s">
        <v>640</v>
      </c>
      <c r="B365" t="s">
        <v>3209</v>
      </c>
      <c r="C365" t="s">
        <v>3226</v>
      </c>
      <c r="D365" t="s">
        <v>3640</v>
      </c>
      <c r="E365" s="1">
        <v>467.58300000000003</v>
      </c>
      <c r="F365" s="1">
        <v>428.387</v>
      </c>
      <c r="G365">
        <v>1</v>
      </c>
      <c r="H365">
        <v>1</v>
      </c>
      <c r="I365" t="s">
        <v>2458</v>
      </c>
      <c r="J365" t="s">
        <v>1694</v>
      </c>
      <c r="K365" s="39">
        <v>37.718161000000002</v>
      </c>
      <c r="L365" s="1">
        <v>29.591531</v>
      </c>
      <c r="M365" s="58" t="s">
        <v>4938</v>
      </c>
      <c r="N365" s="1">
        <v>532.41700000000003</v>
      </c>
      <c r="O365" s="1">
        <f>ABS(Table4[[#This Row],[EndMP]]-Table4[[#This Row],[StartMP]])</f>
        <v>39.196000000000026</v>
      </c>
      <c r="P365" s="1" t="str">
        <f>IF( AND( Table4[[#This Row],[Route]]=ClosureLocation!$B$3, ClosureLocation!$B$6 &gt;= Table4[[#This Row],[StartMP]], ClosureLocation!$B$6 &lt;= Table4[[#This Row],[EndMP]]), "Yes", "")</f>
        <v/>
      </c>
      <c r="Q365" s="1" t="str">
        <f>IF( AND( Table4[[#This Row],[Route]]=ClosureLocation!$B$3, ClosureLocation!$B$6 &lt;= Table4[[#This Row],[StartMP]], ClosureLocation!$B$6 &gt;= Table4[[#This Row],[EndMP]]), "Yes", "")</f>
        <v/>
      </c>
      <c r="R365" s="1" t="str">
        <f>IF( OR( Table4[[#This Row],[PrimaryMatch]]="Yes", Table4[[#This Row],[SecondaryMatch]]="Yes"), "Yes", "")</f>
        <v/>
      </c>
    </row>
    <row r="366" spans="1:18" hidden="1" x14ac:dyDescent="0.25">
      <c r="A366" t="s">
        <v>640</v>
      </c>
      <c r="B366" t="s">
        <v>3205</v>
      </c>
      <c r="C366" t="s">
        <v>3222</v>
      </c>
      <c r="D366" t="s">
        <v>3638</v>
      </c>
      <c r="E366" s="1">
        <v>366.97</v>
      </c>
      <c r="F366" s="1">
        <v>420.74400000000003</v>
      </c>
      <c r="G366">
        <v>8</v>
      </c>
      <c r="H366">
        <v>22</v>
      </c>
      <c r="I366" t="s">
        <v>2452</v>
      </c>
      <c r="J366" t="s">
        <v>1694</v>
      </c>
      <c r="K366" s="39">
        <v>37.547150000000002</v>
      </c>
      <c r="L366" s="1">
        <v>26.382708000000001</v>
      </c>
      <c r="M366" s="1" t="s">
        <v>4931</v>
      </c>
      <c r="N366" s="1">
        <v>366.97</v>
      </c>
      <c r="O366" s="1">
        <f>ABS(Table4[[#This Row],[EndMP]]-Table4[[#This Row],[StartMP]])</f>
        <v>53.774000000000001</v>
      </c>
      <c r="P366" s="1" t="str">
        <f>IF( AND( Table4[[#This Row],[Route]]=ClosureLocation!$B$3, ClosureLocation!$B$6 &gt;= Table4[[#This Row],[StartMP]], ClosureLocation!$B$6 &lt;= Table4[[#This Row],[EndMP]]), "Yes", "")</f>
        <v/>
      </c>
      <c r="Q366" s="1" t="str">
        <f>IF( AND( Table4[[#This Row],[Route]]=ClosureLocation!$B$3, ClosureLocation!$B$6 &lt;= Table4[[#This Row],[StartMP]], ClosureLocation!$B$6 &gt;= Table4[[#This Row],[EndMP]]), "Yes", "")</f>
        <v/>
      </c>
      <c r="R366" s="1" t="str">
        <f>IF( OR( Table4[[#This Row],[PrimaryMatch]]="Yes", Table4[[#This Row],[SecondaryMatch]]="Yes"), "Yes", "")</f>
        <v/>
      </c>
    </row>
    <row r="367" spans="1:18" hidden="1" x14ac:dyDescent="0.25">
      <c r="A367" t="s">
        <v>917</v>
      </c>
      <c r="B367" t="s">
        <v>3205</v>
      </c>
      <c r="C367" t="s">
        <v>3222</v>
      </c>
      <c r="D367" t="s">
        <v>3837</v>
      </c>
      <c r="E367" s="1">
        <v>31.637</v>
      </c>
      <c r="F367" s="1">
        <v>63.762</v>
      </c>
      <c r="G367">
        <v>10</v>
      </c>
      <c r="H367">
        <v>10</v>
      </c>
      <c r="I367" t="s">
        <v>2713</v>
      </c>
      <c r="J367" t="s">
        <v>1694</v>
      </c>
      <c r="K367" s="39">
        <v>37.395311999999997</v>
      </c>
      <c r="L367" s="1">
        <v>21.537102999999998</v>
      </c>
      <c r="M367" s="1" t="s">
        <v>4960</v>
      </c>
      <c r="N367" s="1">
        <v>31.637</v>
      </c>
      <c r="O367" s="1">
        <f>ABS(Table4[[#This Row],[EndMP]]-Table4[[#This Row],[StartMP]])</f>
        <v>32.125</v>
      </c>
      <c r="P367" s="1" t="str">
        <f>IF( AND( Table4[[#This Row],[Route]]=ClosureLocation!$B$3, ClosureLocation!$B$6 &gt;= Table4[[#This Row],[StartMP]], ClosureLocation!$B$6 &lt;= Table4[[#This Row],[EndMP]]), "Yes", "")</f>
        <v/>
      </c>
      <c r="Q367" s="1" t="str">
        <f>IF( AND( Table4[[#This Row],[Route]]=ClosureLocation!$B$3, ClosureLocation!$B$6 &lt;= Table4[[#This Row],[StartMP]], ClosureLocation!$B$6 &gt;= Table4[[#This Row],[EndMP]]), "Yes", "")</f>
        <v/>
      </c>
      <c r="R367" s="1" t="str">
        <f>IF( OR( Table4[[#This Row],[PrimaryMatch]]="Yes", Table4[[#This Row],[SecondaryMatch]]="Yes"), "Yes", "")</f>
        <v/>
      </c>
    </row>
    <row r="368" spans="1:18" hidden="1" x14ac:dyDescent="0.25">
      <c r="A368" t="s">
        <v>206</v>
      </c>
      <c r="B368" t="s">
        <v>3205</v>
      </c>
      <c r="C368" t="s">
        <v>3222</v>
      </c>
      <c r="D368" t="s">
        <v>3343</v>
      </c>
      <c r="E368" s="1">
        <v>176.18899999999999</v>
      </c>
      <c r="F368" s="1">
        <v>205.23599999999999</v>
      </c>
      <c r="G368">
        <v>4</v>
      </c>
      <c r="H368">
        <v>4</v>
      </c>
      <c r="I368" t="s">
        <v>2148</v>
      </c>
      <c r="J368" t="s">
        <v>1702</v>
      </c>
      <c r="K368" s="39">
        <v>37.172341000000003</v>
      </c>
      <c r="L368" s="1">
        <v>37.184243000000002</v>
      </c>
      <c r="M368" s="1" t="s">
        <v>3347</v>
      </c>
      <c r="N368" s="1">
        <v>176.18899999999999</v>
      </c>
      <c r="O368" s="1">
        <f>ABS(Table4[[#This Row],[EndMP]]-Table4[[#This Row],[StartMP]])</f>
        <v>29.046999999999997</v>
      </c>
      <c r="P368" s="1" t="str">
        <f>IF( AND( Table4[[#This Row],[Route]]=ClosureLocation!$B$3, ClosureLocation!$B$6 &gt;= Table4[[#This Row],[StartMP]], ClosureLocation!$B$6 &lt;= Table4[[#This Row],[EndMP]]), "Yes", "")</f>
        <v/>
      </c>
      <c r="Q368" s="1" t="str">
        <f>IF( AND( Table4[[#This Row],[Route]]=ClosureLocation!$B$3, ClosureLocation!$B$6 &lt;= Table4[[#This Row],[StartMP]], ClosureLocation!$B$6 &gt;= Table4[[#This Row],[EndMP]]), "Yes", "")</f>
        <v/>
      </c>
      <c r="R368" s="1" t="str">
        <f>IF( OR( Table4[[#This Row],[PrimaryMatch]]="Yes", Table4[[#This Row],[SecondaryMatch]]="Yes"), "Yes", "")</f>
        <v/>
      </c>
    </row>
    <row r="369" spans="1:18" hidden="1" x14ac:dyDescent="0.25">
      <c r="A369" t="s">
        <v>640</v>
      </c>
      <c r="B369" t="s">
        <v>3209</v>
      </c>
      <c r="C369" t="s">
        <v>3226</v>
      </c>
      <c r="D369" t="s">
        <v>3640</v>
      </c>
      <c r="E369" s="1">
        <v>420.74400000000003</v>
      </c>
      <c r="F369" s="1">
        <v>1.508</v>
      </c>
      <c r="G369">
        <v>3</v>
      </c>
      <c r="H369">
        <v>3</v>
      </c>
      <c r="I369" t="s">
        <v>2460</v>
      </c>
      <c r="J369" t="s">
        <v>1694</v>
      </c>
      <c r="K369" s="39">
        <v>37.004683999999997</v>
      </c>
      <c r="L369" s="1">
        <v>26.225418000000001</v>
      </c>
      <c r="M369" s="1" t="s">
        <v>4940</v>
      </c>
      <c r="N369" s="1">
        <v>579.25599999999997</v>
      </c>
      <c r="O369" s="1">
        <f>ABS(Table4[[#This Row],[EndMP]]-Table4[[#This Row],[StartMP]])</f>
        <v>419.23600000000005</v>
      </c>
      <c r="P369" s="1" t="str">
        <f>IF( AND( Table4[[#This Row],[Route]]=ClosureLocation!$B$3, ClosureLocation!$B$6 &gt;= Table4[[#This Row],[StartMP]], ClosureLocation!$B$6 &lt;= Table4[[#This Row],[EndMP]]), "Yes", "")</f>
        <v/>
      </c>
      <c r="Q369" s="1" t="str">
        <f>IF( AND( Table4[[#This Row],[Route]]=ClosureLocation!$B$3, ClosureLocation!$B$6 &lt;= Table4[[#This Row],[StartMP]], ClosureLocation!$B$6 &gt;= Table4[[#This Row],[EndMP]]), "Yes", "")</f>
        <v/>
      </c>
      <c r="R369" s="1" t="str">
        <f>IF( OR( Table4[[#This Row],[PrimaryMatch]]="Yes", Table4[[#This Row],[SecondaryMatch]]="Yes"), "Yes", "")</f>
        <v/>
      </c>
    </row>
    <row r="370" spans="1:18" hidden="1" x14ac:dyDescent="0.25">
      <c r="A370" t="s">
        <v>1583</v>
      </c>
      <c r="B370" t="s">
        <v>3209</v>
      </c>
      <c r="C370" t="s">
        <v>3226</v>
      </c>
      <c r="D370" t="s">
        <v>4321</v>
      </c>
      <c r="E370" s="1">
        <v>59.411999999999999</v>
      </c>
      <c r="F370" s="1">
        <v>0</v>
      </c>
      <c r="G370">
        <v>2</v>
      </c>
      <c r="H370">
        <v>4</v>
      </c>
      <c r="I370" t="s">
        <v>3128</v>
      </c>
      <c r="J370" t="s">
        <v>1691</v>
      </c>
      <c r="K370" s="39">
        <v>36.736659000000003</v>
      </c>
      <c r="L370" s="1">
        <v>41.568596999999997</v>
      </c>
      <c r="M370" s="1" t="s">
        <v>4323</v>
      </c>
      <c r="N370" s="1">
        <v>940.58799999999997</v>
      </c>
      <c r="O370" s="1">
        <f>ABS(Table4[[#This Row],[EndMP]]-Table4[[#This Row],[StartMP]])</f>
        <v>59.411999999999999</v>
      </c>
      <c r="P370" s="1" t="str">
        <f>IF( AND( Table4[[#This Row],[Route]]=ClosureLocation!$B$3, ClosureLocation!$B$6 &gt;= Table4[[#This Row],[StartMP]], ClosureLocation!$B$6 &lt;= Table4[[#This Row],[EndMP]]), "Yes", "")</f>
        <v/>
      </c>
      <c r="Q370" s="1" t="str">
        <f>IF( AND( Table4[[#This Row],[Route]]=ClosureLocation!$B$3, ClosureLocation!$B$6 &lt;= Table4[[#This Row],[StartMP]], ClosureLocation!$B$6 &gt;= Table4[[#This Row],[EndMP]]), "Yes", "")</f>
        <v/>
      </c>
      <c r="R370" s="1" t="str">
        <f>IF( OR( Table4[[#This Row],[PrimaryMatch]]="Yes", Table4[[#This Row],[SecondaryMatch]]="Yes"), "Yes", "")</f>
        <v/>
      </c>
    </row>
    <row r="371" spans="1:18" hidden="1" x14ac:dyDescent="0.25">
      <c r="A371" t="s">
        <v>1583</v>
      </c>
      <c r="B371" t="s">
        <v>3205</v>
      </c>
      <c r="C371" t="s">
        <v>3222</v>
      </c>
      <c r="D371" t="s">
        <v>4318</v>
      </c>
      <c r="E371" s="1">
        <v>0</v>
      </c>
      <c r="F371" s="1">
        <v>59.411999999999999</v>
      </c>
      <c r="G371">
        <v>1</v>
      </c>
      <c r="H371">
        <v>1</v>
      </c>
      <c r="I371" t="s">
        <v>3125</v>
      </c>
      <c r="J371" t="s">
        <v>1691</v>
      </c>
      <c r="K371" s="39">
        <v>36.706184999999998</v>
      </c>
      <c r="L371" s="1">
        <v>41.412506999999998</v>
      </c>
      <c r="M371" s="1" t="s">
        <v>4319</v>
      </c>
      <c r="N371" s="1">
        <v>0</v>
      </c>
      <c r="O371" s="1">
        <f>ABS(Table4[[#This Row],[EndMP]]-Table4[[#This Row],[StartMP]])</f>
        <v>59.411999999999999</v>
      </c>
      <c r="P371" s="1" t="str">
        <f>IF( AND( Table4[[#This Row],[Route]]=ClosureLocation!$B$3, ClosureLocation!$B$6 &gt;= Table4[[#This Row],[StartMP]], ClosureLocation!$B$6 &lt;= Table4[[#This Row],[EndMP]]), "Yes", "")</f>
        <v/>
      </c>
      <c r="Q371" s="1" t="str">
        <f>IF( AND( Table4[[#This Row],[Route]]=ClosureLocation!$B$3, ClosureLocation!$B$6 &lt;= Table4[[#This Row],[StartMP]], ClosureLocation!$B$6 &gt;= Table4[[#This Row],[EndMP]]), "Yes", "")</f>
        <v/>
      </c>
      <c r="R371" s="1" t="str">
        <f>IF( OR( Table4[[#This Row],[PrimaryMatch]]="Yes", Table4[[#This Row],[SecondaryMatch]]="Yes"), "Yes", "")</f>
        <v/>
      </c>
    </row>
    <row r="372" spans="1:18" hidden="1" x14ac:dyDescent="0.25">
      <c r="A372" t="s">
        <v>954</v>
      </c>
      <c r="B372" t="s">
        <v>3209</v>
      </c>
      <c r="C372" t="s">
        <v>3210</v>
      </c>
      <c r="D372" t="s">
        <v>3853</v>
      </c>
      <c r="E372" s="1">
        <v>23.891999999999999</v>
      </c>
      <c r="F372" s="1">
        <v>1.58</v>
      </c>
      <c r="G372">
        <v>1</v>
      </c>
      <c r="H372">
        <v>2</v>
      </c>
      <c r="I372" t="s">
        <v>2754</v>
      </c>
      <c r="J372" t="s">
        <v>1689</v>
      </c>
      <c r="K372" s="39">
        <v>36.646648999999996</v>
      </c>
      <c r="L372" s="1">
        <v>35.583846000000001</v>
      </c>
      <c r="M372" s="1" t="s">
        <v>3854</v>
      </c>
      <c r="N372" s="1">
        <v>976.10799999999995</v>
      </c>
      <c r="O372" s="1">
        <f>ABS(Table4[[#This Row],[EndMP]]-Table4[[#This Row],[StartMP]])</f>
        <v>22.311999999999998</v>
      </c>
      <c r="P372" s="1" t="str">
        <f>IF( AND( Table4[[#This Row],[Route]]=ClosureLocation!$B$3, ClosureLocation!$B$6 &gt;= Table4[[#This Row],[StartMP]], ClosureLocation!$B$6 &lt;= Table4[[#This Row],[EndMP]]), "Yes", "")</f>
        <v/>
      </c>
      <c r="Q372" s="1" t="str">
        <f>IF( AND( Table4[[#This Row],[Route]]=ClosureLocation!$B$3, ClosureLocation!$B$6 &lt;= Table4[[#This Row],[StartMP]], ClosureLocation!$B$6 &gt;= Table4[[#This Row],[EndMP]]), "Yes", "")</f>
        <v/>
      </c>
      <c r="R372" s="1" t="str">
        <f>IF( OR( Table4[[#This Row],[PrimaryMatch]]="Yes", Table4[[#This Row],[SecondaryMatch]]="Yes"), "Yes", "")</f>
        <v/>
      </c>
    </row>
    <row r="373" spans="1:18" hidden="1" x14ac:dyDescent="0.25">
      <c r="A373" t="s">
        <v>206</v>
      </c>
      <c r="B373" t="s">
        <v>3209</v>
      </c>
      <c r="C373" t="s">
        <v>3226</v>
      </c>
      <c r="D373" t="s">
        <v>3351</v>
      </c>
      <c r="E373" s="1">
        <v>236.82400000000001</v>
      </c>
      <c r="F373" s="1">
        <v>215.828</v>
      </c>
      <c r="G373">
        <v>2</v>
      </c>
      <c r="H373">
        <v>5</v>
      </c>
      <c r="I373" t="s">
        <v>2153</v>
      </c>
      <c r="J373" t="s">
        <v>1702</v>
      </c>
      <c r="K373" s="39">
        <v>36.486241999999997</v>
      </c>
      <c r="L373" s="1">
        <v>40.856352999999999</v>
      </c>
      <c r="M373" s="1" t="s">
        <v>3353</v>
      </c>
      <c r="N373" s="1">
        <v>763.17600000000004</v>
      </c>
      <c r="O373" s="1">
        <f>ABS(Table4[[#This Row],[EndMP]]-Table4[[#This Row],[StartMP]])</f>
        <v>20.996000000000009</v>
      </c>
      <c r="P373" s="1" t="str">
        <f>IF( AND( Table4[[#This Row],[Route]]=ClosureLocation!$B$3, ClosureLocation!$B$6 &gt;= Table4[[#This Row],[StartMP]], ClosureLocation!$B$6 &lt;= Table4[[#This Row],[EndMP]]), "Yes", "")</f>
        <v/>
      </c>
      <c r="Q373" s="1" t="str">
        <f>IF( AND( Table4[[#This Row],[Route]]=ClosureLocation!$B$3, ClosureLocation!$B$6 &lt;= Table4[[#This Row],[StartMP]], ClosureLocation!$B$6 &gt;= Table4[[#This Row],[EndMP]]), "Yes", "")</f>
        <v/>
      </c>
      <c r="R373" s="1" t="str">
        <f>IF( OR( Table4[[#This Row],[PrimaryMatch]]="Yes", Table4[[#This Row],[SecondaryMatch]]="Yes"), "Yes", "")</f>
        <v/>
      </c>
    </row>
    <row r="374" spans="1:18" hidden="1" x14ac:dyDescent="0.25">
      <c r="A374" t="s">
        <v>1669</v>
      </c>
      <c r="B374" t="s">
        <v>3205</v>
      </c>
      <c r="C374" t="s">
        <v>3206</v>
      </c>
      <c r="D374" t="s">
        <v>4409</v>
      </c>
      <c r="E374" s="1">
        <v>0</v>
      </c>
      <c r="F374" s="1">
        <v>6.4219999999999997</v>
      </c>
      <c r="G374">
        <v>1</v>
      </c>
      <c r="H374">
        <v>1</v>
      </c>
      <c r="I374" t="s">
        <v>3189</v>
      </c>
      <c r="J374" t="s">
        <v>1694</v>
      </c>
      <c r="K374" s="39">
        <v>35.775407999999999</v>
      </c>
      <c r="L374" s="1">
        <v>29.838569</v>
      </c>
      <c r="M374" s="58" t="s">
        <v>5034</v>
      </c>
      <c r="N374" s="1">
        <v>0</v>
      </c>
      <c r="O374" s="1">
        <f>ABS(Table4[[#This Row],[EndMP]]-Table4[[#This Row],[StartMP]])</f>
        <v>6.4219999999999997</v>
      </c>
      <c r="P374" s="1" t="str">
        <f>IF( AND( Table4[[#This Row],[Route]]=ClosureLocation!$B$3, ClosureLocation!$B$6 &gt;= Table4[[#This Row],[StartMP]], ClosureLocation!$B$6 &lt;= Table4[[#This Row],[EndMP]]), "Yes", "")</f>
        <v/>
      </c>
      <c r="Q374" s="1" t="str">
        <f>IF( AND( Table4[[#This Row],[Route]]=ClosureLocation!$B$3, ClosureLocation!$B$6 &lt;= Table4[[#This Row],[StartMP]], ClosureLocation!$B$6 &gt;= Table4[[#This Row],[EndMP]]), "Yes", "")</f>
        <v/>
      </c>
      <c r="R374" s="1" t="str">
        <f>IF( OR( Table4[[#This Row],[PrimaryMatch]]="Yes", Table4[[#This Row],[SecondaryMatch]]="Yes"), "Yes", "")</f>
        <v/>
      </c>
    </row>
    <row r="375" spans="1:18" hidden="1" x14ac:dyDescent="0.25">
      <c r="A375" t="s">
        <v>1669</v>
      </c>
      <c r="B375" t="s">
        <v>3209</v>
      </c>
      <c r="C375" t="s">
        <v>3210</v>
      </c>
      <c r="D375" t="s">
        <v>4410</v>
      </c>
      <c r="E375" s="1">
        <v>6.4219999999999997</v>
      </c>
      <c r="F375" s="1">
        <v>0</v>
      </c>
      <c r="G375">
        <v>1</v>
      </c>
      <c r="H375">
        <v>2</v>
      </c>
      <c r="I375" t="s">
        <v>3190</v>
      </c>
      <c r="J375" t="s">
        <v>1694</v>
      </c>
      <c r="K375" s="39">
        <v>35.775177999999997</v>
      </c>
      <c r="L375" s="1">
        <v>29.838569</v>
      </c>
      <c r="M375" s="58" t="s">
        <v>5035</v>
      </c>
      <c r="N375" s="1">
        <v>993.57799999999997</v>
      </c>
      <c r="O375" s="1">
        <f>ABS(Table4[[#This Row],[EndMP]]-Table4[[#This Row],[StartMP]])</f>
        <v>6.4219999999999997</v>
      </c>
      <c r="P375" s="1" t="str">
        <f>IF( AND( Table4[[#This Row],[Route]]=ClosureLocation!$B$3, ClosureLocation!$B$6 &gt;= Table4[[#This Row],[StartMP]], ClosureLocation!$B$6 &lt;= Table4[[#This Row],[EndMP]]), "Yes", "")</f>
        <v/>
      </c>
      <c r="Q375" s="1" t="str">
        <f>IF( AND( Table4[[#This Row],[Route]]=ClosureLocation!$B$3, ClosureLocation!$B$6 &lt;= Table4[[#This Row],[StartMP]], ClosureLocation!$B$6 &gt;= Table4[[#This Row],[EndMP]]), "Yes", "")</f>
        <v/>
      </c>
      <c r="R375" s="1" t="str">
        <f>IF( OR( Table4[[#This Row],[PrimaryMatch]]="Yes", Table4[[#This Row],[SecondaryMatch]]="Yes"), "Yes", "")</f>
        <v/>
      </c>
    </row>
    <row r="376" spans="1:18" hidden="1" x14ac:dyDescent="0.25">
      <c r="A376" t="s">
        <v>1294</v>
      </c>
      <c r="B376" t="s">
        <v>3209</v>
      </c>
      <c r="C376" t="s">
        <v>3210</v>
      </c>
      <c r="D376" t="s">
        <v>4133</v>
      </c>
      <c r="E376" s="1">
        <v>117.52200000000001</v>
      </c>
      <c r="F376" s="1">
        <v>0</v>
      </c>
      <c r="G376">
        <v>1</v>
      </c>
      <c r="H376">
        <v>2</v>
      </c>
      <c r="I376" t="s">
        <v>2966</v>
      </c>
      <c r="J376" t="s">
        <v>1692</v>
      </c>
      <c r="K376" s="39">
        <v>35.441952000000001</v>
      </c>
      <c r="L376" s="1">
        <v>45.225788999999999</v>
      </c>
      <c r="M376" s="1" t="s">
        <v>4134</v>
      </c>
      <c r="N376" s="1">
        <v>882.47799999999995</v>
      </c>
      <c r="O376" s="1">
        <f>ABS(Table4[[#This Row],[EndMP]]-Table4[[#This Row],[StartMP]])</f>
        <v>117.52200000000001</v>
      </c>
      <c r="P376" s="1" t="str">
        <f>IF( AND( Table4[[#This Row],[Route]]=ClosureLocation!$B$3, ClosureLocation!$B$6 &gt;= Table4[[#This Row],[StartMP]], ClosureLocation!$B$6 &lt;= Table4[[#This Row],[EndMP]]), "Yes", "")</f>
        <v/>
      </c>
      <c r="Q376" s="1" t="str">
        <f>IF( AND( Table4[[#This Row],[Route]]=ClosureLocation!$B$3, ClosureLocation!$B$6 &lt;= Table4[[#This Row],[StartMP]], ClosureLocation!$B$6 &gt;= Table4[[#This Row],[EndMP]]), "Yes", "")</f>
        <v/>
      </c>
      <c r="R376" s="1" t="str">
        <f>IF( OR( Table4[[#This Row],[PrimaryMatch]]="Yes", Table4[[#This Row],[SecondaryMatch]]="Yes"), "Yes", "")</f>
        <v/>
      </c>
    </row>
    <row r="377" spans="1:18" hidden="1" x14ac:dyDescent="0.25">
      <c r="A377" t="s">
        <v>1294</v>
      </c>
      <c r="B377" t="s">
        <v>3205</v>
      </c>
      <c r="C377" t="s">
        <v>3206</v>
      </c>
      <c r="D377" t="s">
        <v>4131</v>
      </c>
      <c r="E377" s="1">
        <v>0</v>
      </c>
      <c r="F377" s="1">
        <v>117.52200000000001</v>
      </c>
      <c r="G377">
        <v>1</v>
      </c>
      <c r="H377">
        <v>1</v>
      </c>
      <c r="I377" t="s">
        <v>2965</v>
      </c>
      <c r="J377" t="s">
        <v>1692</v>
      </c>
      <c r="K377" s="39">
        <v>35.435276000000002</v>
      </c>
      <c r="L377" s="1">
        <v>45.225788999999999</v>
      </c>
      <c r="M377" s="1" t="s">
        <v>4132</v>
      </c>
      <c r="N377" s="1">
        <v>0</v>
      </c>
      <c r="O377" s="1">
        <f>ABS(Table4[[#This Row],[EndMP]]-Table4[[#This Row],[StartMP]])</f>
        <v>117.52200000000001</v>
      </c>
      <c r="P377" s="1" t="str">
        <f>IF( AND( Table4[[#This Row],[Route]]=ClosureLocation!$B$3, ClosureLocation!$B$6 &gt;= Table4[[#This Row],[StartMP]], ClosureLocation!$B$6 &lt;= Table4[[#This Row],[EndMP]]), "Yes", "")</f>
        <v/>
      </c>
      <c r="Q377" s="1" t="str">
        <f>IF( AND( Table4[[#This Row],[Route]]=ClosureLocation!$B$3, ClosureLocation!$B$6 &lt;= Table4[[#This Row],[StartMP]], ClosureLocation!$B$6 &gt;= Table4[[#This Row],[EndMP]]), "Yes", "")</f>
        <v/>
      </c>
      <c r="R377" s="1" t="str">
        <f>IF( OR( Table4[[#This Row],[PrimaryMatch]]="Yes", Table4[[#This Row],[SecondaryMatch]]="Yes"), "Yes", "")</f>
        <v/>
      </c>
    </row>
    <row r="378" spans="1:18" hidden="1" x14ac:dyDescent="0.25">
      <c r="A378" t="s">
        <v>216</v>
      </c>
      <c r="B378" t="s">
        <v>3209</v>
      </c>
      <c r="C378" t="s">
        <v>3206</v>
      </c>
      <c r="D378" t="s">
        <v>3359</v>
      </c>
      <c r="E378" s="1">
        <v>10.412000000000001</v>
      </c>
      <c r="F378" s="1">
        <v>0</v>
      </c>
      <c r="G378">
        <v>1</v>
      </c>
      <c r="H378">
        <v>1</v>
      </c>
      <c r="I378" t="s">
        <v>2159</v>
      </c>
      <c r="J378" t="s">
        <v>1696</v>
      </c>
      <c r="K378" s="39">
        <v>35.095123999999998</v>
      </c>
      <c r="L378" s="1">
        <v>23.630016999999999</v>
      </c>
      <c r="M378" s="1" t="s">
        <v>3360</v>
      </c>
      <c r="N378" s="1">
        <v>989.58799999999997</v>
      </c>
      <c r="O378" s="1">
        <f>ABS(Table4[[#This Row],[EndMP]]-Table4[[#This Row],[StartMP]])</f>
        <v>10.412000000000001</v>
      </c>
      <c r="P378" s="1" t="str">
        <f>IF( AND( Table4[[#This Row],[Route]]=ClosureLocation!$B$3, ClosureLocation!$B$6 &gt;= Table4[[#This Row],[StartMP]], ClosureLocation!$B$6 &lt;= Table4[[#This Row],[EndMP]]), "Yes", "")</f>
        <v/>
      </c>
      <c r="Q378" s="1" t="str">
        <f>IF( AND( Table4[[#This Row],[Route]]=ClosureLocation!$B$3, ClosureLocation!$B$6 &lt;= Table4[[#This Row],[StartMP]], ClosureLocation!$B$6 &gt;= Table4[[#This Row],[EndMP]]), "Yes", "")</f>
        <v/>
      </c>
      <c r="R378" s="1" t="str">
        <f>IF( OR( Table4[[#This Row],[PrimaryMatch]]="Yes", Table4[[#This Row],[SecondaryMatch]]="Yes"), "Yes", "")</f>
        <v/>
      </c>
    </row>
    <row r="379" spans="1:18" hidden="1" x14ac:dyDescent="0.25">
      <c r="A379" t="s">
        <v>216</v>
      </c>
      <c r="B379" t="s">
        <v>3205</v>
      </c>
      <c r="C379" t="s">
        <v>3210</v>
      </c>
      <c r="D379" t="s">
        <v>3361</v>
      </c>
      <c r="E379" s="1">
        <v>0</v>
      </c>
      <c r="F379" s="1">
        <v>10.412000000000001</v>
      </c>
      <c r="G379">
        <v>1</v>
      </c>
      <c r="H379">
        <v>2</v>
      </c>
      <c r="I379" t="s">
        <v>2160</v>
      </c>
      <c r="J379" t="s">
        <v>1696</v>
      </c>
      <c r="K379" s="39">
        <v>34.995057000000003</v>
      </c>
      <c r="L379" s="1">
        <v>23.575738000000001</v>
      </c>
      <c r="M379" s="1" t="s">
        <v>3362</v>
      </c>
      <c r="N379" s="1">
        <v>0</v>
      </c>
      <c r="O379" s="1">
        <f>ABS(Table4[[#This Row],[EndMP]]-Table4[[#This Row],[StartMP]])</f>
        <v>10.412000000000001</v>
      </c>
      <c r="P379" s="1" t="str">
        <f>IF( AND( Table4[[#This Row],[Route]]=ClosureLocation!$B$3, ClosureLocation!$B$6 &gt;= Table4[[#This Row],[StartMP]], ClosureLocation!$B$6 &lt;= Table4[[#This Row],[EndMP]]), "Yes", "")</f>
        <v/>
      </c>
      <c r="Q379" s="1" t="str">
        <f>IF( AND( Table4[[#This Row],[Route]]=ClosureLocation!$B$3, ClosureLocation!$B$6 &lt;= Table4[[#This Row],[StartMP]], ClosureLocation!$B$6 &gt;= Table4[[#This Row],[EndMP]]), "Yes", "")</f>
        <v/>
      </c>
      <c r="R379" s="1" t="str">
        <f>IF( OR( Table4[[#This Row],[PrimaryMatch]]="Yes", Table4[[#This Row],[SecondaryMatch]]="Yes"), "Yes", "")</f>
        <v/>
      </c>
    </row>
    <row r="380" spans="1:18" hidden="1" x14ac:dyDescent="0.25">
      <c r="A380" t="s">
        <v>917</v>
      </c>
      <c r="B380" t="s">
        <v>3205</v>
      </c>
      <c r="C380" t="s">
        <v>3222</v>
      </c>
      <c r="D380" t="s">
        <v>3837</v>
      </c>
      <c r="E380" s="1">
        <v>66.64</v>
      </c>
      <c r="F380" s="1">
        <v>75.462000000000003</v>
      </c>
      <c r="G380">
        <v>12</v>
      </c>
      <c r="H380">
        <v>12</v>
      </c>
      <c r="I380" t="s">
        <v>2715</v>
      </c>
      <c r="J380" t="s">
        <v>1694</v>
      </c>
      <c r="K380" s="39">
        <v>33.799560999999997</v>
      </c>
      <c r="L380" s="1">
        <v>11.504929000000001</v>
      </c>
      <c r="M380" s="1" t="s">
        <v>4961</v>
      </c>
      <c r="N380" s="1">
        <v>66.64</v>
      </c>
      <c r="O380" s="1">
        <f>ABS(Table4[[#This Row],[EndMP]]-Table4[[#This Row],[StartMP]])</f>
        <v>8.8220000000000027</v>
      </c>
      <c r="P380" s="1" t="str">
        <f>IF( AND( Table4[[#This Row],[Route]]=ClosureLocation!$B$3, ClosureLocation!$B$6 &gt;= Table4[[#This Row],[StartMP]], ClosureLocation!$B$6 &lt;= Table4[[#This Row],[EndMP]]), "Yes", "")</f>
        <v/>
      </c>
      <c r="Q380" s="1" t="str">
        <f>IF( AND( Table4[[#This Row],[Route]]=ClosureLocation!$B$3, ClosureLocation!$B$6 &lt;= Table4[[#This Row],[StartMP]], ClosureLocation!$B$6 &gt;= Table4[[#This Row],[EndMP]]), "Yes", "")</f>
        <v/>
      </c>
      <c r="R380" s="1" t="str">
        <f>IF( OR( Table4[[#This Row],[PrimaryMatch]]="Yes", Table4[[#This Row],[SecondaryMatch]]="Yes"), "Yes", "")</f>
        <v/>
      </c>
    </row>
    <row r="381" spans="1:18" hidden="1" x14ac:dyDescent="0.25">
      <c r="A381" t="s">
        <v>954</v>
      </c>
      <c r="B381" t="s">
        <v>3205</v>
      </c>
      <c r="C381" t="s">
        <v>3206</v>
      </c>
      <c r="D381" t="s">
        <v>3851</v>
      </c>
      <c r="E381" s="1">
        <v>1.58</v>
      </c>
      <c r="F381" s="1">
        <v>23.891999999999999</v>
      </c>
      <c r="G381">
        <v>1</v>
      </c>
      <c r="H381">
        <v>1</v>
      </c>
      <c r="I381" t="s">
        <v>2753</v>
      </c>
      <c r="J381" t="s">
        <v>1689</v>
      </c>
      <c r="K381" s="39">
        <v>33.794210999999997</v>
      </c>
      <c r="L381" s="1">
        <v>34.426636000000002</v>
      </c>
      <c r="M381" s="1" t="s">
        <v>3852</v>
      </c>
      <c r="N381" s="1">
        <v>1.58</v>
      </c>
      <c r="O381" s="1">
        <f>ABS(Table4[[#This Row],[EndMP]]-Table4[[#This Row],[StartMP]])</f>
        <v>22.311999999999998</v>
      </c>
      <c r="P381" s="1" t="str">
        <f>IF( AND( Table4[[#This Row],[Route]]=ClosureLocation!$B$3, ClosureLocation!$B$6 &gt;= Table4[[#This Row],[StartMP]], ClosureLocation!$B$6 &lt;= Table4[[#This Row],[EndMP]]), "Yes", "")</f>
        <v/>
      </c>
      <c r="Q381" s="1" t="str">
        <f>IF( AND( Table4[[#This Row],[Route]]=ClosureLocation!$B$3, ClosureLocation!$B$6 &lt;= Table4[[#This Row],[StartMP]], ClosureLocation!$B$6 &gt;= Table4[[#This Row],[EndMP]]), "Yes", "")</f>
        <v/>
      </c>
      <c r="R381" s="1" t="str">
        <f>IF( OR( Table4[[#This Row],[PrimaryMatch]]="Yes", Table4[[#This Row],[SecondaryMatch]]="Yes"), "Yes", "")</f>
        <v/>
      </c>
    </row>
    <row r="382" spans="1:18" hidden="1" x14ac:dyDescent="0.25">
      <c r="A382" t="s">
        <v>917</v>
      </c>
      <c r="B382" t="s">
        <v>3205</v>
      </c>
      <c r="C382" t="s">
        <v>3222</v>
      </c>
      <c r="D382" t="s">
        <v>3837</v>
      </c>
      <c r="E382" s="1">
        <v>125.14100000000001</v>
      </c>
      <c r="F382" s="1">
        <v>148.71100000000001</v>
      </c>
      <c r="G382">
        <v>19</v>
      </c>
      <c r="H382">
        <v>19</v>
      </c>
      <c r="I382" t="s">
        <v>2722</v>
      </c>
      <c r="J382" t="s">
        <v>1694</v>
      </c>
      <c r="K382" s="39">
        <v>33.779907999999999</v>
      </c>
      <c r="L382" s="1">
        <v>7.8627950000000002</v>
      </c>
      <c r="M382" s="1" t="s">
        <v>4972</v>
      </c>
      <c r="N382" s="1">
        <v>125.14100000000001</v>
      </c>
      <c r="O382" s="1">
        <f>ABS(Table4[[#This Row],[EndMP]]-Table4[[#This Row],[StartMP]])</f>
        <v>23.570000000000007</v>
      </c>
      <c r="P382" s="1" t="str">
        <f>IF( AND( Table4[[#This Row],[Route]]=ClosureLocation!$B$3, ClosureLocation!$B$6 &gt;= Table4[[#This Row],[StartMP]], ClosureLocation!$B$6 &lt;= Table4[[#This Row],[EndMP]]), "Yes", "")</f>
        <v/>
      </c>
      <c r="Q382" s="1" t="str">
        <f>IF( AND( Table4[[#This Row],[Route]]=ClosureLocation!$B$3, ClosureLocation!$B$6 &lt;= Table4[[#This Row],[StartMP]], ClosureLocation!$B$6 &gt;= Table4[[#This Row],[EndMP]]), "Yes", "")</f>
        <v/>
      </c>
      <c r="R382" s="1" t="str">
        <f>IF( OR( Table4[[#This Row],[PrimaryMatch]]="Yes", Table4[[#This Row],[SecondaryMatch]]="Yes"), "Yes", "")</f>
        <v/>
      </c>
    </row>
    <row r="383" spans="1:18" hidden="1" x14ac:dyDescent="0.25">
      <c r="A383" t="s">
        <v>206</v>
      </c>
      <c r="B383" t="s">
        <v>3205</v>
      </c>
      <c r="C383" t="s">
        <v>3222</v>
      </c>
      <c r="D383" t="s">
        <v>3343</v>
      </c>
      <c r="E383" s="1">
        <v>215.828</v>
      </c>
      <c r="F383" s="1">
        <v>236.82400000000001</v>
      </c>
      <c r="G383">
        <v>6</v>
      </c>
      <c r="H383">
        <v>2</v>
      </c>
      <c r="I383" t="s">
        <v>2150</v>
      </c>
      <c r="J383" t="s">
        <v>1702</v>
      </c>
      <c r="K383" s="39">
        <v>33.708066000000002</v>
      </c>
      <c r="L383" s="1">
        <v>41.804884000000001</v>
      </c>
      <c r="M383" s="1" t="s">
        <v>3349</v>
      </c>
      <c r="N383" s="1">
        <v>215.828</v>
      </c>
      <c r="O383" s="1">
        <f>ABS(Table4[[#This Row],[EndMP]]-Table4[[#This Row],[StartMP]])</f>
        <v>20.996000000000009</v>
      </c>
      <c r="P383" s="1" t="str">
        <f>IF( AND( Table4[[#This Row],[Route]]=ClosureLocation!$B$3, ClosureLocation!$B$6 &gt;= Table4[[#This Row],[StartMP]], ClosureLocation!$B$6 &lt;= Table4[[#This Row],[EndMP]]), "Yes", "")</f>
        <v/>
      </c>
      <c r="Q383" s="1" t="str">
        <f>IF( AND( Table4[[#This Row],[Route]]=ClosureLocation!$B$3, ClosureLocation!$B$6 &lt;= Table4[[#This Row],[StartMP]], ClosureLocation!$B$6 &gt;= Table4[[#This Row],[EndMP]]), "Yes", "")</f>
        <v/>
      </c>
      <c r="R383" s="1" t="str">
        <f>IF( OR( Table4[[#This Row],[PrimaryMatch]]="Yes", Table4[[#This Row],[SecondaryMatch]]="Yes"), "Yes", "")</f>
        <v/>
      </c>
    </row>
    <row r="384" spans="1:18" hidden="1" x14ac:dyDescent="0.25">
      <c r="A384" t="s">
        <v>1273</v>
      </c>
      <c r="B384" t="s">
        <v>3205</v>
      </c>
      <c r="C384" t="s">
        <v>3222</v>
      </c>
      <c r="D384" t="s">
        <v>4113</v>
      </c>
      <c r="E384" s="1">
        <v>0</v>
      </c>
      <c r="F384" s="1">
        <v>33.840000000000003</v>
      </c>
      <c r="G384">
        <v>1</v>
      </c>
      <c r="H384">
        <v>1</v>
      </c>
      <c r="I384" t="s">
        <v>2953</v>
      </c>
      <c r="J384" t="s">
        <v>1692</v>
      </c>
      <c r="K384" s="39">
        <v>33.639367</v>
      </c>
      <c r="L384" s="1">
        <v>28.974316000000002</v>
      </c>
      <c r="M384" s="1" t="s">
        <v>4114</v>
      </c>
      <c r="N384" s="1">
        <v>0</v>
      </c>
      <c r="O384" s="1">
        <f>ABS(Table4[[#This Row],[EndMP]]-Table4[[#This Row],[StartMP]])</f>
        <v>33.840000000000003</v>
      </c>
      <c r="P384" s="1" t="str">
        <f>IF( AND( Table4[[#This Row],[Route]]=ClosureLocation!$B$3, ClosureLocation!$B$6 &gt;= Table4[[#This Row],[StartMP]], ClosureLocation!$B$6 &lt;= Table4[[#This Row],[EndMP]]), "Yes", "")</f>
        <v/>
      </c>
      <c r="Q384" s="1" t="str">
        <f>IF( AND( Table4[[#This Row],[Route]]=ClosureLocation!$B$3, ClosureLocation!$B$6 &lt;= Table4[[#This Row],[StartMP]], ClosureLocation!$B$6 &gt;= Table4[[#This Row],[EndMP]]), "Yes", "")</f>
        <v/>
      </c>
      <c r="R384" s="1" t="str">
        <f>IF( OR( Table4[[#This Row],[PrimaryMatch]]="Yes", Table4[[#This Row],[SecondaryMatch]]="Yes"), "Yes", "")</f>
        <v/>
      </c>
    </row>
    <row r="385" spans="1:18" hidden="1" x14ac:dyDescent="0.25">
      <c r="A385" t="s">
        <v>1273</v>
      </c>
      <c r="B385" t="s">
        <v>3209</v>
      </c>
      <c r="C385" t="s">
        <v>3226</v>
      </c>
      <c r="D385" t="s">
        <v>4115</v>
      </c>
      <c r="E385" s="1">
        <v>33.840000000000003</v>
      </c>
      <c r="F385" s="1">
        <v>0</v>
      </c>
      <c r="G385">
        <v>1</v>
      </c>
      <c r="H385">
        <v>2</v>
      </c>
      <c r="I385" t="s">
        <v>2954</v>
      </c>
      <c r="J385" t="s">
        <v>1692</v>
      </c>
      <c r="K385" s="39">
        <v>33.637788</v>
      </c>
      <c r="L385" s="1">
        <v>28.980039000000001</v>
      </c>
      <c r="M385" s="1" t="s">
        <v>4116</v>
      </c>
      <c r="N385" s="1">
        <v>966.16</v>
      </c>
      <c r="O385" s="1">
        <f>ABS(Table4[[#This Row],[EndMP]]-Table4[[#This Row],[StartMP]])</f>
        <v>33.840000000000003</v>
      </c>
      <c r="P385" s="1" t="str">
        <f>IF( AND( Table4[[#This Row],[Route]]=ClosureLocation!$B$3, ClosureLocation!$B$6 &gt;= Table4[[#This Row],[StartMP]], ClosureLocation!$B$6 &lt;= Table4[[#This Row],[EndMP]]), "Yes", "")</f>
        <v/>
      </c>
      <c r="Q385" s="1" t="str">
        <f>IF( AND( Table4[[#This Row],[Route]]=ClosureLocation!$B$3, ClosureLocation!$B$6 &lt;= Table4[[#This Row],[StartMP]], ClosureLocation!$B$6 &gt;= Table4[[#This Row],[EndMP]]), "Yes", "")</f>
        <v/>
      </c>
      <c r="R385" s="1" t="str">
        <f>IF( OR( Table4[[#This Row],[PrimaryMatch]]="Yes", Table4[[#This Row],[SecondaryMatch]]="Yes"), "Yes", "")</f>
        <v/>
      </c>
    </row>
    <row r="386" spans="1:18" hidden="1" x14ac:dyDescent="0.25">
      <c r="A386" t="s">
        <v>65</v>
      </c>
      <c r="B386" t="s">
        <v>3205</v>
      </c>
      <c r="C386" t="s">
        <v>3222</v>
      </c>
      <c r="D386" t="s">
        <v>3238</v>
      </c>
      <c r="E386" s="1">
        <v>257.75099999999998</v>
      </c>
      <c r="F386" s="1">
        <v>260.27</v>
      </c>
      <c r="G386">
        <v>2</v>
      </c>
      <c r="H386">
        <v>2</v>
      </c>
      <c r="I386" t="s">
        <v>2065</v>
      </c>
      <c r="J386" t="s">
        <v>1705</v>
      </c>
      <c r="K386" s="39">
        <v>33.166117</v>
      </c>
      <c r="L386" s="1">
        <v>28.481897</v>
      </c>
      <c r="M386" s="1" t="s">
        <v>3240</v>
      </c>
      <c r="N386" s="1">
        <v>257.75099999999998</v>
      </c>
      <c r="O386" s="1">
        <f>ABS(Table4[[#This Row],[EndMP]]-Table4[[#This Row],[StartMP]])</f>
        <v>2.5190000000000055</v>
      </c>
      <c r="P386" s="1" t="str">
        <f>IF( AND( Table4[[#This Row],[Route]]=ClosureLocation!$B$3, ClosureLocation!$B$6 &gt;= Table4[[#This Row],[StartMP]], ClosureLocation!$B$6 &lt;= Table4[[#This Row],[EndMP]]), "Yes", "")</f>
        <v/>
      </c>
      <c r="Q386" s="1" t="str">
        <f>IF( AND( Table4[[#This Row],[Route]]=ClosureLocation!$B$3, ClosureLocation!$B$6 &lt;= Table4[[#This Row],[StartMP]], ClosureLocation!$B$6 &gt;= Table4[[#This Row],[EndMP]]), "Yes", "")</f>
        <v/>
      </c>
      <c r="R386" s="1" t="str">
        <f>IF( OR( Table4[[#This Row],[PrimaryMatch]]="Yes", Table4[[#This Row],[SecondaryMatch]]="Yes"), "Yes", "")</f>
        <v/>
      </c>
    </row>
    <row r="387" spans="1:18" hidden="1" x14ac:dyDescent="0.25">
      <c r="A387" t="s">
        <v>65</v>
      </c>
      <c r="B387" t="s">
        <v>3209</v>
      </c>
      <c r="C387" t="s">
        <v>3226</v>
      </c>
      <c r="D387" t="s">
        <v>3247</v>
      </c>
      <c r="E387" s="1">
        <v>260.27</v>
      </c>
      <c r="F387" s="1">
        <v>257.75099999999998</v>
      </c>
      <c r="G387">
        <v>8</v>
      </c>
      <c r="H387">
        <v>3</v>
      </c>
      <c r="I387" t="s">
        <v>2080</v>
      </c>
      <c r="J387" t="s">
        <v>1705</v>
      </c>
      <c r="K387" s="39">
        <v>33.088341999999997</v>
      </c>
      <c r="L387" s="1">
        <v>28.003834999999999</v>
      </c>
      <c r="M387" s="1" t="s">
        <v>3254</v>
      </c>
      <c r="N387" s="1">
        <v>739.73</v>
      </c>
      <c r="O387" s="1">
        <f>ABS(Table4[[#This Row],[EndMP]]-Table4[[#This Row],[StartMP]])</f>
        <v>2.5190000000000055</v>
      </c>
      <c r="P387" s="1" t="str">
        <f>IF( AND( Table4[[#This Row],[Route]]=ClosureLocation!$B$3, ClosureLocation!$B$6 &gt;= Table4[[#This Row],[StartMP]], ClosureLocation!$B$6 &lt;= Table4[[#This Row],[EndMP]]), "Yes", "")</f>
        <v/>
      </c>
      <c r="Q387" s="1" t="str">
        <f>IF( AND( Table4[[#This Row],[Route]]=ClosureLocation!$B$3, ClosureLocation!$B$6 &lt;= Table4[[#This Row],[StartMP]], ClosureLocation!$B$6 &gt;= Table4[[#This Row],[EndMP]]), "Yes", "")</f>
        <v/>
      </c>
      <c r="R387" s="1" t="str">
        <f>IF( OR( Table4[[#This Row],[PrimaryMatch]]="Yes", Table4[[#This Row],[SecondaryMatch]]="Yes"), "Yes", "")</f>
        <v/>
      </c>
    </row>
    <row r="388" spans="1:18" hidden="1" x14ac:dyDescent="0.25">
      <c r="A388" t="s">
        <v>917</v>
      </c>
      <c r="B388" t="s">
        <v>3205</v>
      </c>
      <c r="C388" t="s">
        <v>3222</v>
      </c>
      <c r="D388" t="s">
        <v>3837</v>
      </c>
      <c r="E388" s="1">
        <v>92</v>
      </c>
      <c r="F388" s="1">
        <v>114.988</v>
      </c>
      <c r="G388">
        <v>17</v>
      </c>
      <c r="H388">
        <v>17</v>
      </c>
      <c r="I388" t="s">
        <v>2720</v>
      </c>
      <c r="J388" t="s">
        <v>1694</v>
      </c>
      <c r="K388" s="39">
        <v>32.902616999999999</v>
      </c>
      <c r="L388" s="1">
        <v>13.324346999999999</v>
      </c>
      <c r="M388" s="1" t="s">
        <v>4970</v>
      </c>
      <c r="N388" s="1">
        <v>92</v>
      </c>
      <c r="O388" s="1">
        <f>ABS(Table4[[#This Row],[EndMP]]-Table4[[#This Row],[StartMP]])</f>
        <v>22.988</v>
      </c>
      <c r="P388" s="1" t="str">
        <f>IF( AND( Table4[[#This Row],[Route]]=ClosureLocation!$B$3, ClosureLocation!$B$6 &gt;= Table4[[#This Row],[StartMP]], ClosureLocation!$B$6 &lt;= Table4[[#This Row],[EndMP]]), "Yes", "")</f>
        <v/>
      </c>
      <c r="Q388" s="1" t="str">
        <f>IF( AND( Table4[[#This Row],[Route]]=ClosureLocation!$B$3, ClosureLocation!$B$6 &lt;= Table4[[#This Row],[StartMP]], ClosureLocation!$B$6 &gt;= Table4[[#This Row],[EndMP]]), "Yes", "")</f>
        <v/>
      </c>
      <c r="R388" s="1" t="str">
        <f>IF( OR( Table4[[#This Row],[PrimaryMatch]]="Yes", Table4[[#This Row],[SecondaryMatch]]="Yes"), "Yes", "")</f>
        <v/>
      </c>
    </row>
    <row r="389" spans="1:18" hidden="1" x14ac:dyDescent="0.25">
      <c r="A389" t="s">
        <v>714</v>
      </c>
      <c r="B389" t="s">
        <v>3205</v>
      </c>
      <c r="C389" t="s">
        <v>3206</v>
      </c>
      <c r="D389" t="s">
        <v>3691</v>
      </c>
      <c r="E389" s="1">
        <v>74.474000000000004</v>
      </c>
      <c r="F389" s="1">
        <v>171.02699999999999</v>
      </c>
      <c r="G389">
        <v>1</v>
      </c>
      <c r="H389">
        <v>1</v>
      </c>
      <c r="I389" t="s">
        <v>2509</v>
      </c>
      <c r="J389" t="s">
        <v>1699</v>
      </c>
      <c r="K389" s="39">
        <v>32.851486000000001</v>
      </c>
      <c r="L389" s="1">
        <v>37.169552000000003</v>
      </c>
      <c r="M389" s="1" t="s">
        <v>3692</v>
      </c>
      <c r="N389" s="1">
        <v>74.474000000000004</v>
      </c>
      <c r="O389" s="1">
        <f>ABS(Table4[[#This Row],[EndMP]]-Table4[[#This Row],[StartMP]])</f>
        <v>96.552999999999983</v>
      </c>
      <c r="P389" s="1" t="str">
        <f>IF( AND( Table4[[#This Row],[Route]]=ClosureLocation!$B$3, ClosureLocation!$B$6 &gt;= Table4[[#This Row],[StartMP]], ClosureLocation!$B$6 &lt;= Table4[[#This Row],[EndMP]]), "Yes", "")</f>
        <v/>
      </c>
      <c r="Q389" s="1" t="str">
        <f>IF( AND( Table4[[#This Row],[Route]]=ClosureLocation!$B$3, ClosureLocation!$B$6 &lt;= Table4[[#This Row],[StartMP]], ClosureLocation!$B$6 &gt;= Table4[[#This Row],[EndMP]]), "Yes", "")</f>
        <v/>
      </c>
      <c r="R389" s="1" t="str">
        <f>IF( OR( Table4[[#This Row],[PrimaryMatch]]="Yes", Table4[[#This Row],[SecondaryMatch]]="Yes"), "Yes", "")</f>
        <v/>
      </c>
    </row>
    <row r="390" spans="1:18" hidden="1" x14ac:dyDescent="0.25">
      <c r="A390" t="s">
        <v>1615</v>
      </c>
      <c r="B390" t="s">
        <v>3209</v>
      </c>
      <c r="C390" t="s">
        <v>3210</v>
      </c>
      <c r="D390" t="s">
        <v>4359</v>
      </c>
      <c r="E390" s="1">
        <v>309.09699999999998</v>
      </c>
      <c r="F390" s="1">
        <v>279.42399999999998</v>
      </c>
      <c r="G390">
        <v>2</v>
      </c>
      <c r="H390">
        <v>6</v>
      </c>
      <c r="I390" t="s">
        <v>3154</v>
      </c>
      <c r="J390" t="s">
        <v>1691</v>
      </c>
      <c r="K390" s="39">
        <v>32.1633</v>
      </c>
      <c r="L390" s="1">
        <v>26.888814</v>
      </c>
      <c r="M390" s="1" t="s">
        <v>4361</v>
      </c>
      <c r="N390" s="1">
        <v>690.90300000000002</v>
      </c>
      <c r="O390" s="1">
        <f>ABS(Table4[[#This Row],[EndMP]]-Table4[[#This Row],[StartMP]])</f>
        <v>29.673000000000002</v>
      </c>
      <c r="P390" s="1" t="str">
        <f>IF( AND( Table4[[#This Row],[Route]]=ClosureLocation!$B$3, ClosureLocation!$B$6 &gt;= Table4[[#This Row],[StartMP]], ClosureLocation!$B$6 &lt;= Table4[[#This Row],[EndMP]]), "Yes", "")</f>
        <v/>
      </c>
      <c r="Q390" s="1" t="str">
        <f>IF( AND( Table4[[#This Row],[Route]]=ClosureLocation!$B$3, ClosureLocation!$B$6 &lt;= Table4[[#This Row],[StartMP]], ClosureLocation!$B$6 &gt;= Table4[[#This Row],[EndMP]]), "Yes", "")</f>
        <v/>
      </c>
      <c r="R390" s="1" t="str">
        <f>IF( OR( Table4[[#This Row],[PrimaryMatch]]="Yes", Table4[[#This Row],[SecondaryMatch]]="Yes"), "Yes", "")</f>
        <v/>
      </c>
    </row>
    <row r="391" spans="1:18" hidden="1" x14ac:dyDescent="0.25">
      <c r="A391" t="s">
        <v>897</v>
      </c>
      <c r="B391" t="s">
        <v>3209</v>
      </c>
      <c r="C391" t="s">
        <v>3210</v>
      </c>
      <c r="D391" t="s">
        <v>3820</v>
      </c>
      <c r="E391" s="1">
        <v>201.636</v>
      </c>
      <c r="F391" s="1">
        <v>176.64</v>
      </c>
      <c r="G391">
        <v>1</v>
      </c>
      <c r="H391">
        <v>3</v>
      </c>
      <c r="I391" t="s">
        <v>2694</v>
      </c>
      <c r="J391" t="s">
        <v>1699</v>
      </c>
      <c r="K391" s="39">
        <v>32.125041000000003</v>
      </c>
      <c r="L391" s="1">
        <v>19.375043999999999</v>
      </c>
      <c r="M391" s="1" t="s">
        <v>3821</v>
      </c>
      <c r="N391" s="1">
        <v>798.36400000000003</v>
      </c>
      <c r="O391" s="1">
        <f>ABS(Table4[[#This Row],[EndMP]]-Table4[[#This Row],[StartMP]])</f>
        <v>24.996000000000009</v>
      </c>
      <c r="P391" s="1" t="str">
        <f>IF( AND( Table4[[#This Row],[Route]]=ClosureLocation!$B$3, ClosureLocation!$B$6 &gt;= Table4[[#This Row],[StartMP]], ClosureLocation!$B$6 &lt;= Table4[[#This Row],[EndMP]]), "Yes", "")</f>
        <v/>
      </c>
      <c r="Q391" s="1" t="str">
        <f>IF( AND( Table4[[#This Row],[Route]]=ClosureLocation!$B$3, ClosureLocation!$B$6 &lt;= Table4[[#This Row],[StartMP]], ClosureLocation!$B$6 &gt;= Table4[[#This Row],[EndMP]]), "Yes", "")</f>
        <v/>
      </c>
      <c r="R391" s="1" t="str">
        <f>IF( OR( Table4[[#This Row],[PrimaryMatch]]="Yes", Table4[[#This Row],[SecondaryMatch]]="Yes"), "Yes", "")</f>
        <v/>
      </c>
    </row>
    <row r="392" spans="1:18" hidden="1" x14ac:dyDescent="0.25">
      <c r="A392" t="s">
        <v>917</v>
      </c>
      <c r="B392" t="s">
        <v>3209</v>
      </c>
      <c r="C392" t="s">
        <v>3226</v>
      </c>
      <c r="D392" t="s">
        <v>3840</v>
      </c>
      <c r="E392" s="1">
        <v>75.22</v>
      </c>
      <c r="F392" s="1">
        <v>66.605999999999995</v>
      </c>
      <c r="G392">
        <v>11</v>
      </c>
      <c r="H392">
        <v>33</v>
      </c>
      <c r="I392" t="s">
        <v>2736</v>
      </c>
      <c r="J392" t="s">
        <v>1694</v>
      </c>
      <c r="K392" s="39">
        <v>31.936904999999999</v>
      </c>
      <c r="L392" s="1">
        <v>11.367533999999999</v>
      </c>
      <c r="M392" s="1" t="s">
        <v>4982</v>
      </c>
      <c r="N392" s="1">
        <v>924.78</v>
      </c>
      <c r="O392" s="1">
        <f>ABS(Table4[[#This Row],[EndMP]]-Table4[[#This Row],[StartMP]])</f>
        <v>8.6140000000000043</v>
      </c>
      <c r="P392" s="1" t="str">
        <f>IF( AND( Table4[[#This Row],[Route]]=ClosureLocation!$B$3, ClosureLocation!$B$6 &gt;= Table4[[#This Row],[StartMP]], ClosureLocation!$B$6 &lt;= Table4[[#This Row],[EndMP]]), "Yes", "")</f>
        <v/>
      </c>
      <c r="Q392" s="1" t="str">
        <f>IF( AND( Table4[[#This Row],[Route]]=ClosureLocation!$B$3, ClosureLocation!$B$6 &lt;= Table4[[#This Row],[StartMP]], ClosureLocation!$B$6 &gt;= Table4[[#This Row],[EndMP]]), "Yes", "")</f>
        <v/>
      </c>
      <c r="R392" s="1" t="str">
        <f>IF( OR( Table4[[#This Row],[PrimaryMatch]]="Yes", Table4[[#This Row],[SecondaryMatch]]="Yes"), "Yes", "")</f>
        <v/>
      </c>
    </row>
    <row r="393" spans="1:18" hidden="1" x14ac:dyDescent="0.25">
      <c r="A393" t="s">
        <v>602</v>
      </c>
      <c r="B393" t="s">
        <v>3209</v>
      </c>
      <c r="C393" t="s">
        <v>3226</v>
      </c>
      <c r="D393" t="s">
        <v>3626</v>
      </c>
      <c r="E393" s="1">
        <v>312.08800000000002</v>
      </c>
      <c r="F393" s="1">
        <v>252.66300000000001</v>
      </c>
      <c r="G393">
        <v>2</v>
      </c>
      <c r="H393">
        <v>9</v>
      </c>
      <c r="I393" t="s">
        <v>2427</v>
      </c>
      <c r="J393" t="s">
        <v>1700</v>
      </c>
      <c r="K393" s="39">
        <v>31.847003999999998</v>
      </c>
      <c r="L393" s="1">
        <v>20.911113</v>
      </c>
      <c r="M393" s="1" t="s">
        <v>3628</v>
      </c>
      <c r="N393" s="1">
        <v>687.91200000000003</v>
      </c>
      <c r="O393" s="1">
        <f>ABS(Table4[[#This Row],[EndMP]]-Table4[[#This Row],[StartMP]])</f>
        <v>59.425000000000011</v>
      </c>
      <c r="P393" s="1" t="str">
        <f>IF( AND( Table4[[#This Row],[Route]]=ClosureLocation!$B$3, ClosureLocation!$B$6 &gt;= Table4[[#This Row],[StartMP]], ClosureLocation!$B$6 &lt;= Table4[[#This Row],[EndMP]]), "Yes", "")</f>
        <v/>
      </c>
      <c r="Q393" s="1" t="str">
        <f>IF( AND( Table4[[#This Row],[Route]]=ClosureLocation!$B$3, ClosureLocation!$B$6 &lt;= Table4[[#This Row],[StartMP]], ClosureLocation!$B$6 &gt;= Table4[[#This Row],[EndMP]]), "Yes", "")</f>
        <v/>
      </c>
      <c r="R393" s="1" t="str">
        <f>IF( OR( Table4[[#This Row],[PrimaryMatch]]="Yes", Table4[[#This Row],[SecondaryMatch]]="Yes"), "Yes", "")</f>
        <v/>
      </c>
    </row>
    <row r="394" spans="1:18" hidden="1" x14ac:dyDescent="0.25">
      <c r="A394" t="s">
        <v>602</v>
      </c>
      <c r="B394" t="s">
        <v>3205</v>
      </c>
      <c r="C394" t="s">
        <v>3222</v>
      </c>
      <c r="D394" t="s">
        <v>3612</v>
      </c>
      <c r="E394" s="1">
        <v>252.66300000000001</v>
      </c>
      <c r="F394" s="1">
        <v>312.06099999999998</v>
      </c>
      <c r="G394">
        <v>14</v>
      </c>
      <c r="H394">
        <v>3</v>
      </c>
      <c r="I394" t="s">
        <v>2421</v>
      </c>
      <c r="J394" t="s">
        <v>1700</v>
      </c>
      <c r="K394" s="39">
        <v>31.768633000000001</v>
      </c>
      <c r="L394" s="1">
        <v>20.829421</v>
      </c>
      <c r="M394" s="1" t="s">
        <v>3622</v>
      </c>
      <c r="N394" s="1">
        <v>252.66300000000001</v>
      </c>
      <c r="O394" s="1">
        <f>ABS(Table4[[#This Row],[EndMP]]-Table4[[#This Row],[StartMP]])</f>
        <v>59.397999999999968</v>
      </c>
      <c r="P394" s="1" t="str">
        <f>IF( AND( Table4[[#This Row],[Route]]=ClosureLocation!$B$3, ClosureLocation!$B$6 &gt;= Table4[[#This Row],[StartMP]], ClosureLocation!$B$6 &lt;= Table4[[#This Row],[EndMP]]), "Yes", "")</f>
        <v/>
      </c>
      <c r="Q394" s="1" t="str">
        <f>IF( AND( Table4[[#This Row],[Route]]=ClosureLocation!$B$3, ClosureLocation!$B$6 &lt;= Table4[[#This Row],[StartMP]], ClosureLocation!$B$6 &gt;= Table4[[#This Row],[EndMP]]), "Yes", "")</f>
        <v/>
      </c>
      <c r="R394" s="1" t="str">
        <f>IF( OR( Table4[[#This Row],[PrimaryMatch]]="Yes", Table4[[#This Row],[SecondaryMatch]]="Yes"), "Yes", "")</f>
        <v/>
      </c>
    </row>
    <row r="395" spans="1:18" hidden="1" x14ac:dyDescent="0.25">
      <c r="A395" t="s">
        <v>126</v>
      </c>
      <c r="B395" t="s">
        <v>3205</v>
      </c>
      <c r="C395" t="s">
        <v>3222</v>
      </c>
      <c r="D395" t="s">
        <v>3275</v>
      </c>
      <c r="E395" s="1">
        <v>19.248999999999999</v>
      </c>
      <c r="F395" s="1">
        <v>33.08</v>
      </c>
      <c r="G395">
        <v>3</v>
      </c>
      <c r="H395">
        <v>1</v>
      </c>
      <c r="I395" t="s">
        <v>2101</v>
      </c>
      <c r="J395" t="s">
        <v>1702</v>
      </c>
      <c r="K395" s="39">
        <v>31.182886</v>
      </c>
      <c r="L395" s="1">
        <v>24.918990999999998</v>
      </c>
      <c r="M395" s="1" t="s">
        <v>454</v>
      </c>
      <c r="N395" s="1">
        <v>19.248999999999999</v>
      </c>
      <c r="O395" s="1">
        <f>ABS(Table4[[#This Row],[EndMP]]-Table4[[#This Row],[StartMP]])</f>
        <v>13.831</v>
      </c>
      <c r="P395" s="1" t="str">
        <f>IF( AND( Table4[[#This Row],[Route]]=ClosureLocation!$B$3, ClosureLocation!$B$6 &gt;= Table4[[#This Row],[StartMP]], ClosureLocation!$B$6 &lt;= Table4[[#This Row],[EndMP]]), "Yes", "")</f>
        <v/>
      </c>
      <c r="Q395" s="1" t="str">
        <f>IF( AND( Table4[[#This Row],[Route]]=ClosureLocation!$B$3, ClosureLocation!$B$6 &lt;= Table4[[#This Row],[StartMP]], ClosureLocation!$B$6 &gt;= Table4[[#This Row],[EndMP]]), "Yes", "")</f>
        <v/>
      </c>
      <c r="R395" s="1" t="str">
        <f>IF( OR( Table4[[#This Row],[PrimaryMatch]]="Yes", Table4[[#This Row],[SecondaryMatch]]="Yes"), "Yes", "")</f>
        <v/>
      </c>
    </row>
    <row r="396" spans="1:18" hidden="1" x14ac:dyDescent="0.25">
      <c r="A396" t="s">
        <v>1022</v>
      </c>
      <c r="B396" t="s">
        <v>3209</v>
      </c>
      <c r="C396" t="s">
        <v>3226</v>
      </c>
      <c r="D396" t="s">
        <v>3916</v>
      </c>
      <c r="E396" s="1">
        <v>104.348</v>
      </c>
      <c r="F396" s="1">
        <v>100.125</v>
      </c>
      <c r="G396">
        <v>1</v>
      </c>
      <c r="H396">
        <v>2</v>
      </c>
      <c r="I396" t="s">
        <v>2806</v>
      </c>
      <c r="J396" t="s">
        <v>1689</v>
      </c>
      <c r="K396" s="39">
        <v>31.139303999999999</v>
      </c>
      <c r="L396" s="1">
        <v>27.966851999999999</v>
      </c>
      <c r="M396" s="1" t="s">
        <v>3917</v>
      </c>
      <c r="N396" s="1">
        <v>895.65200000000004</v>
      </c>
      <c r="O396" s="1">
        <f>ABS(Table4[[#This Row],[EndMP]]-Table4[[#This Row],[StartMP]])</f>
        <v>4.222999999999999</v>
      </c>
      <c r="P396" s="1" t="str">
        <f>IF( AND( Table4[[#This Row],[Route]]=ClosureLocation!$B$3, ClosureLocation!$B$6 &gt;= Table4[[#This Row],[StartMP]], ClosureLocation!$B$6 &lt;= Table4[[#This Row],[EndMP]]), "Yes", "")</f>
        <v/>
      </c>
      <c r="Q396" s="1" t="str">
        <f>IF( AND( Table4[[#This Row],[Route]]=ClosureLocation!$B$3, ClosureLocation!$B$6 &lt;= Table4[[#This Row],[StartMP]], ClosureLocation!$B$6 &gt;= Table4[[#This Row],[EndMP]]), "Yes", "")</f>
        <v/>
      </c>
      <c r="R396" s="1" t="str">
        <f>IF( OR( Table4[[#This Row],[PrimaryMatch]]="Yes", Table4[[#This Row],[SecondaryMatch]]="Yes"), "Yes", "")</f>
        <v/>
      </c>
    </row>
    <row r="397" spans="1:18" hidden="1" x14ac:dyDescent="0.25">
      <c r="A397" t="s">
        <v>1192</v>
      </c>
      <c r="B397" t="s">
        <v>3205</v>
      </c>
      <c r="C397" t="s">
        <v>3206</v>
      </c>
      <c r="D397" t="s">
        <v>4050</v>
      </c>
      <c r="E397" s="1">
        <v>0</v>
      </c>
      <c r="F397" s="1">
        <v>52.02</v>
      </c>
      <c r="G397">
        <v>1</v>
      </c>
      <c r="H397">
        <v>1</v>
      </c>
      <c r="I397" t="s">
        <v>2906</v>
      </c>
      <c r="J397" t="s">
        <v>1695</v>
      </c>
      <c r="K397" s="39">
        <v>31.045601999999999</v>
      </c>
      <c r="L397" s="1">
        <v>32.63382</v>
      </c>
      <c r="M397" s="1" t="s">
        <v>5046</v>
      </c>
      <c r="N397" s="1">
        <v>0</v>
      </c>
      <c r="O397" s="1">
        <f>ABS(Table4[[#This Row],[EndMP]]-Table4[[#This Row],[StartMP]])</f>
        <v>52.02</v>
      </c>
      <c r="P397" s="1" t="str">
        <f>IF( AND( Table4[[#This Row],[Route]]=ClosureLocation!$B$3, ClosureLocation!$B$6 &gt;= Table4[[#This Row],[StartMP]], ClosureLocation!$B$6 &lt;= Table4[[#This Row],[EndMP]]), "Yes", "")</f>
        <v/>
      </c>
      <c r="Q397" s="1" t="str">
        <f>IF( AND( Table4[[#This Row],[Route]]=ClosureLocation!$B$3, ClosureLocation!$B$6 &lt;= Table4[[#This Row],[StartMP]], ClosureLocation!$B$6 &gt;= Table4[[#This Row],[EndMP]]), "Yes", "")</f>
        <v/>
      </c>
      <c r="R397" s="1" t="str">
        <f>IF( OR( Table4[[#This Row],[PrimaryMatch]]="Yes", Table4[[#This Row],[SecondaryMatch]]="Yes"), "Yes", "")</f>
        <v/>
      </c>
    </row>
    <row r="398" spans="1:18" hidden="1" x14ac:dyDescent="0.25">
      <c r="A398" t="s">
        <v>1192</v>
      </c>
      <c r="B398" t="s">
        <v>3209</v>
      </c>
      <c r="C398" t="s">
        <v>3210</v>
      </c>
      <c r="D398" t="s">
        <v>4053</v>
      </c>
      <c r="E398" s="1">
        <v>52.02</v>
      </c>
      <c r="F398" s="1">
        <v>0</v>
      </c>
      <c r="G398">
        <v>3</v>
      </c>
      <c r="H398">
        <v>6</v>
      </c>
      <c r="I398" t="s">
        <v>2911</v>
      </c>
      <c r="J398" t="s">
        <v>1695</v>
      </c>
      <c r="K398" s="39">
        <v>31.045584999999999</v>
      </c>
      <c r="L398" s="1">
        <v>32.63382</v>
      </c>
      <c r="M398" s="1" t="s">
        <v>5047</v>
      </c>
      <c r="N398" s="1">
        <v>947.98</v>
      </c>
      <c r="O398" s="1">
        <f>ABS(Table4[[#This Row],[EndMP]]-Table4[[#This Row],[StartMP]])</f>
        <v>52.02</v>
      </c>
      <c r="P398" s="1" t="str">
        <f>IF( AND( Table4[[#This Row],[Route]]=ClosureLocation!$B$3, ClosureLocation!$B$6 &gt;= Table4[[#This Row],[StartMP]], ClosureLocation!$B$6 &lt;= Table4[[#This Row],[EndMP]]), "Yes", "")</f>
        <v/>
      </c>
      <c r="Q398" s="1" t="str">
        <f>IF( AND( Table4[[#This Row],[Route]]=ClosureLocation!$B$3, ClosureLocation!$B$6 &lt;= Table4[[#This Row],[StartMP]], ClosureLocation!$B$6 &gt;= Table4[[#This Row],[EndMP]]), "Yes", "")</f>
        <v/>
      </c>
      <c r="R398" s="1" t="str">
        <f>IF( OR( Table4[[#This Row],[PrimaryMatch]]="Yes", Table4[[#This Row],[SecondaryMatch]]="Yes"), "Yes", "")</f>
        <v/>
      </c>
    </row>
    <row r="399" spans="1:18" hidden="1" x14ac:dyDescent="0.25">
      <c r="A399" t="s">
        <v>714</v>
      </c>
      <c r="B399" t="s">
        <v>3209</v>
      </c>
      <c r="C399" t="s">
        <v>3210</v>
      </c>
      <c r="D399" t="s">
        <v>3694</v>
      </c>
      <c r="E399" s="1">
        <v>171.02699999999999</v>
      </c>
      <c r="F399" s="1">
        <v>74.474000000000004</v>
      </c>
      <c r="G399">
        <v>2</v>
      </c>
      <c r="H399">
        <v>4</v>
      </c>
      <c r="I399" t="s">
        <v>2512</v>
      </c>
      <c r="J399" t="s">
        <v>1699</v>
      </c>
      <c r="K399" s="39">
        <v>31.037405</v>
      </c>
      <c r="L399" s="1">
        <v>37.177086000000003</v>
      </c>
      <c r="M399" s="1" t="s">
        <v>3696</v>
      </c>
      <c r="N399" s="1">
        <v>828.97299999999996</v>
      </c>
      <c r="O399" s="1">
        <f>ABS(Table4[[#This Row],[EndMP]]-Table4[[#This Row],[StartMP]])</f>
        <v>96.552999999999983</v>
      </c>
      <c r="P399" s="1" t="str">
        <f>IF( AND( Table4[[#This Row],[Route]]=ClosureLocation!$B$3, ClosureLocation!$B$6 &gt;= Table4[[#This Row],[StartMP]], ClosureLocation!$B$6 &lt;= Table4[[#This Row],[EndMP]]), "Yes", "")</f>
        <v/>
      </c>
      <c r="Q399" s="1" t="str">
        <f>IF( AND( Table4[[#This Row],[Route]]=ClosureLocation!$B$3, ClosureLocation!$B$6 &lt;= Table4[[#This Row],[StartMP]], ClosureLocation!$B$6 &gt;= Table4[[#This Row],[EndMP]]), "Yes", "")</f>
        <v/>
      </c>
      <c r="R399" s="1" t="str">
        <f>IF( OR( Table4[[#This Row],[PrimaryMatch]]="Yes", Table4[[#This Row],[SecondaryMatch]]="Yes"), "Yes", "")</f>
        <v/>
      </c>
    </row>
    <row r="400" spans="1:18" hidden="1" x14ac:dyDescent="0.25">
      <c r="A400" t="s">
        <v>1022</v>
      </c>
      <c r="B400" t="s">
        <v>3205</v>
      </c>
      <c r="C400" t="s">
        <v>3222</v>
      </c>
      <c r="D400" t="s">
        <v>3914</v>
      </c>
      <c r="E400" s="1">
        <v>100.125</v>
      </c>
      <c r="F400" s="1">
        <v>104.348</v>
      </c>
      <c r="G400">
        <v>1</v>
      </c>
      <c r="H400">
        <v>1</v>
      </c>
      <c r="I400" t="s">
        <v>2805</v>
      </c>
      <c r="J400" t="s">
        <v>1689</v>
      </c>
      <c r="K400" s="39">
        <v>31.026565999999999</v>
      </c>
      <c r="L400" s="1">
        <v>27.307469000000001</v>
      </c>
      <c r="M400" s="1" t="s">
        <v>3915</v>
      </c>
      <c r="N400" s="1">
        <v>100.125</v>
      </c>
      <c r="O400" s="1">
        <f>ABS(Table4[[#This Row],[EndMP]]-Table4[[#This Row],[StartMP]])</f>
        <v>4.222999999999999</v>
      </c>
      <c r="P400" s="1" t="str">
        <f>IF( AND( Table4[[#This Row],[Route]]=ClosureLocation!$B$3, ClosureLocation!$B$6 &gt;= Table4[[#This Row],[StartMP]], ClosureLocation!$B$6 &lt;= Table4[[#This Row],[EndMP]]), "Yes", "")</f>
        <v/>
      </c>
      <c r="Q400" s="1" t="str">
        <f>IF( AND( Table4[[#This Row],[Route]]=ClosureLocation!$B$3, ClosureLocation!$B$6 &lt;= Table4[[#This Row],[StartMP]], ClosureLocation!$B$6 &gt;= Table4[[#This Row],[EndMP]]), "Yes", "")</f>
        <v/>
      </c>
      <c r="R400" s="1" t="str">
        <f>IF( OR( Table4[[#This Row],[PrimaryMatch]]="Yes", Table4[[#This Row],[SecondaryMatch]]="Yes"), "Yes", "")</f>
        <v/>
      </c>
    </row>
    <row r="401" spans="1:18" hidden="1" x14ac:dyDescent="0.25">
      <c r="A401" t="s">
        <v>126</v>
      </c>
      <c r="B401" t="s">
        <v>3209</v>
      </c>
      <c r="C401" t="s">
        <v>3226</v>
      </c>
      <c r="D401" t="s">
        <v>3276</v>
      </c>
      <c r="E401" s="1">
        <v>33.08</v>
      </c>
      <c r="F401" s="1">
        <v>19.248999999999999</v>
      </c>
      <c r="G401">
        <v>1</v>
      </c>
      <c r="H401">
        <v>2</v>
      </c>
      <c r="I401" t="s">
        <v>2102</v>
      </c>
      <c r="J401" t="s">
        <v>1702</v>
      </c>
      <c r="K401" s="39">
        <v>30.876667000000001</v>
      </c>
      <c r="L401" s="1">
        <v>24.918990999999998</v>
      </c>
      <c r="M401" s="1" t="s">
        <v>454</v>
      </c>
      <c r="N401" s="1">
        <v>966.92</v>
      </c>
      <c r="O401" s="1">
        <f>ABS(Table4[[#This Row],[EndMP]]-Table4[[#This Row],[StartMP]])</f>
        <v>13.831</v>
      </c>
      <c r="P401" s="1" t="str">
        <f>IF( AND( Table4[[#This Row],[Route]]=ClosureLocation!$B$3, ClosureLocation!$B$6 &gt;= Table4[[#This Row],[StartMP]], ClosureLocation!$B$6 &lt;= Table4[[#This Row],[EndMP]]), "Yes", "")</f>
        <v/>
      </c>
      <c r="Q401" s="1" t="str">
        <f>IF( AND( Table4[[#This Row],[Route]]=ClosureLocation!$B$3, ClosureLocation!$B$6 &lt;= Table4[[#This Row],[StartMP]], ClosureLocation!$B$6 &gt;= Table4[[#This Row],[EndMP]]), "Yes", "")</f>
        <v/>
      </c>
      <c r="R401" s="1" t="str">
        <f>IF( OR( Table4[[#This Row],[PrimaryMatch]]="Yes", Table4[[#This Row],[SecondaryMatch]]="Yes"), "Yes", "")</f>
        <v/>
      </c>
    </row>
    <row r="402" spans="1:18" hidden="1" x14ac:dyDescent="0.25">
      <c r="A402" t="s">
        <v>917</v>
      </c>
      <c r="B402" t="s">
        <v>3209</v>
      </c>
      <c r="C402" t="s">
        <v>3226</v>
      </c>
      <c r="D402" t="s">
        <v>3840</v>
      </c>
      <c r="E402" s="1">
        <v>63.686999999999998</v>
      </c>
      <c r="F402" s="1">
        <v>31.637</v>
      </c>
      <c r="G402">
        <v>13</v>
      </c>
      <c r="H402">
        <v>35</v>
      </c>
      <c r="I402" t="s">
        <v>2738</v>
      </c>
      <c r="J402" t="s">
        <v>1694</v>
      </c>
      <c r="K402" s="39">
        <v>30.790258000000001</v>
      </c>
      <c r="L402" s="1">
        <v>21.674786000000001</v>
      </c>
      <c r="M402" s="1" t="s">
        <v>4984</v>
      </c>
      <c r="N402" s="1">
        <v>936.31299999999999</v>
      </c>
      <c r="O402" s="1">
        <f>ABS(Table4[[#This Row],[EndMP]]-Table4[[#This Row],[StartMP]])</f>
        <v>32.049999999999997</v>
      </c>
      <c r="P402" s="1" t="str">
        <f>IF( AND( Table4[[#This Row],[Route]]=ClosureLocation!$B$3, ClosureLocation!$B$6 &gt;= Table4[[#This Row],[StartMP]], ClosureLocation!$B$6 &lt;= Table4[[#This Row],[EndMP]]), "Yes", "")</f>
        <v/>
      </c>
      <c r="Q402" s="1" t="str">
        <f>IF( AND( Table4[[#This Row],[Route]]=ClosureLocation!$B$3, ClosureLocation!$B$6 &lt;= Table4[[#This Row],[StartMP]], ClosureLocation!$B$6 &gt;= Table4[[#This Row],[EndMP]]), "Yes", "")</f>
        <v/>
      </c>
      <c r="R402" s="1" t="str">
        <f>IF( OR( Table4[[#This Row],[PrimaryMatch]]="Yes", Table4[[#This Row],[SecondaryMatch]]="Yes"), "Yes", "")</f>
        <v/>
      </c>
    </row>
    <row r="403" spans="1:18" hidden="1" x14ac:dyDescent="0.25">
      <c r="A403" t="s">
        <v>1261</v>
      </c>
      <c r="B403" t="s">
        <v>3209</v>
      </c>
      <c r="C403" t="s">
        <v>3210</v>
      </c>
      <c r="D403" t="s">
        <v>4106</v>
      </c>
      <c r="E403" s="1">
        <v>62.436</v>
      </c>
      <c r="F403" s="1">
        <v>0</v>
      </c>
      <c r="G403">
        <v>2</v>
      </c>
      <c r="H403">
        <v>2</v>
      </c>
      <c r="I403" t="s">
        <v>2950</v>
      </c>
      <c r="J403" t="s">
        <v>1708</v>
      </c>
      <c r="K403" s="39">
        <v>30.737386999999998</v>
      </c>
      <c r="L403" s="1">
        <v>47.655999000000001</v>
      </c>
      <c r="M403" s="58" t="s">
        <v>4108</v>
      </c>
      <c r="N403" s="1">
        <v>937.56399999999996</v>
      </c>
      <c r="O403" s="1">
        <f>ABS(Table4[[#This Row],[EndMP]]-Table4[[#This Row],[StartMP]])</f>
        <v>62.436</v>
      </c>
      <c r="P403" s="1" t="str">
        <f>IF( AND( Table4[[#This Row],[Route]]=ClosureLocation!$B$3, ClosureLocation!$B$6 &gt;= Table4[[#This Row],[StartMP]], ClosureLocation!$B$6 &lt;= Table4[[#This Row],[EndMP]]), "Yes", "")</f>
        <v/>
      </c>
      <c r="Q403" s="1" t="str">
        <f>IF( AND( Table4[[#This Row],[Route]]=ClosureLocation!$B$3, ClosureLocation!$B$6 &lt;= Table4[[#This Row],[StartMP]], ClosureLocation!$B$6 &gt;= Table4[[#This Row],[EndMP]]), "Yes", "")</f>
        <v/>
      </c>
      <c r="R403" s="1" t="str">
        <f>IF( OR( Table4[[#This Row],[PrimaryMatch]]="Yes", Table4[[#This Row],[SecondaryMatch]]="Yes"), "Yes", "")</f>
        <v/>
      </c>
    </row>
    <row r="404" spans="1:18" hidden="1" x14ac:dyDescent="0.25">
      <c r="A404" t="s">
        <v>1261</v>
      </c>
      <c r="B404" t="s">
        <v>3205</v>
      </c>
      <c r="C404" t="s">
        <v>3206</v>
      </c>
      <c r="D404" t="s">
        <v>4103</v>
      </c>
      <c r="E404" s="1">
        <v>0</v>
      </c>
      <c r="F404" s="1">
        <v>62.436</v>
      </c>
      <c r="G404">
        <v>1</v>
      </c>
      <c r="H404">
        <v>1</v>
      </c>
      <c r="I404" t="s">
        <v>2947</v>
      </c>
      <c r="J404" t="s">
        <v>1708</v>
      </c>
      <c r="K404" s="39">
        <v>30.737373999999999</v>
      </c>
      <c r="L404" s="1">
        <v>47.655999000000001</v>
      </c>
      <c r="M404" s="58" t="s">
        <v>4104</v>
      </c>
      <c r="N404" s="1">
        <v>0</v>
      </c>
      <c r="O404" s="1">
        <f>ABS(Table4[[#This Row],[EndMP]]-Table4[[#This Row],[StartMP]])</f>
        <v>62.436</v>
      </c>
      <c r="P404" s="1" t="str">
        <f>IF( AND( Table4[[#This Row],[Route]]=ClosureLocation!$B$3, ClosureLocation!$B$6 &gt;= Table4[[#This Row],[StartMP]], ClosureLocation!$B$6 &lt;= Table4[[#This Row],[EndMP]]), "Yes", "")</f>
        <v/>
      </c>
      <c r="Q404" s="1" t="str">
        <f>IF( AND( Table4[[#This Row],[Route]]=ClosureLocation!$B$3, ClosureLocation!$B$6 &lt;= Table4[[#This Row],[StartMP]], ClosureLocation!$B$6 &gt;= Table4[[#This Row],[EndMP]]), "Yes", "")</f>
        <v/>
      </c>
      <c r="R404" s="1" t="str">
        <f>IF( OR( Table4[[#This Row],[PrimaryMatch]]="Yes", Table4[[#This Row],[SecondaryMatch]]="Yes"), "Yes", "")</f>
        <v/>
      </c>
    </row>
    <row r="405" spans="1:18" hidden="1" x14ac:dyDescent="0.25">
      <c r="A405" t="s">
        <v>1072</v>
      </c>
      <c r="B405" t="s">
        <v>3209</v>
      </c>
      <c r="C405" t="s">
        <v>3226</v>
      </c>
      <c r="D405" t="s">
        <v>3969</v>
      </c>
      <c r="E405" s="1">
        <v>26.273</v>
      </c>
      <c r="F405" s="1">
        <v>0</v>
      </c>
      <c r="G405">
        <v>3</v>
      </c>
      <c r="H405">
        <v>6</v>
      </c>
      <c r="I405" t="s">
        <v>2845</v>
      </c>
      <c r="J405" t="s">
        <v>1689</v>
      </c>
      <c r="K405" s="39">
        <v>30.663052</v>
      </c>
      <c r="L405" s="1">
        <v>32.424486000000002</v>
      </c>
      <c r="M405" s="1" t="s">
        <v>3972</v>
      </c>
      <c r="N405" s="1">
        <v>973.72699999999998</v>
      </c>
      <c r="O405" s="1">
        <f>ABS(Table4[[#This Row],[EndMP]]-Table4[[#This Row],[StartMP]])</f>
        <v>26.273</v>
      </c>
      <c r="P405" s="1" t="str">
        <f>IF( AND( Table4[[#This Row],[Route]]=ClosureLocation!$B$3, ClosureLocation!$B$6 &gt;= Table4[[#This Row],[StartMP]], ClosureLocation!$B$6 &lt;= Table4[[#This Row],[EndMP]]), "Yes", "")</f>
        <v/>
      </c>
      <c r="Q405" s="1" t="str">
        <f>IF( AND( Table4[[#This Row],[Route]]=ClosureLocation!$B$3, ClosureLocation!$B$6 &lt;= Table4[[#This Row],[StartMP]], ClosureLocation!$B$6 &gt;= Table4[[#This Row],[EndMP]]), "Yes", "")</f>
        <v/>
      </c>
      <c r="R405" s="1" t="str">
        <f>IF( OR( Table4[[#This Row],[PrimaryMatch]]="Yes", Table4[[#This Row],[SecondaryMatch]]="Yes"), "Yes", "")</f>
        <v/>
      </c>
    </row>
    <row r="406" spans="1:18" hidden="1" x14ac:dyDescent="0.25">
      <c r="A406" t="s">
        <v>897</v>
      </c>
      <c r="B406" t="s">
        <v>3205</v>
      </c>
      <c r="C406" t="s">
        <v>3206</v>
      </c>
      <c r="D406" t="s">
        <v>3817</v>
      </c>
      <c r="E406" s="1">
        <v>176.64</v>
      </c>
      <c r="F406" s="1">
        <v>201.636</v>
      </c>
      <c r="G406">
        <v>2</v>
      </c>
      <c r="H406">
        <v>2</v>
      </c>
      <c r="I406" t="s">
        <v>2693</v>
      </c>
      <c r="J406" t="s">
        <v>1699</v>
      </c>
      <c r="K406" s="39">
        <v>30.580278</v>
      </c>
      <c r="L406" s="1">
        <v>33.324511999999999</v>
      </c>
      <c r="M406" s="1" t="s">
        <v>3819</v>
      </c>
      <c r="N406" s="1">
        <v>176.64</v>
      </c>
      <c r="O406" s="1">
        <f>ABS(Table4[[#This Row],[EndMP]]-Table4[[#This Row],[StartMP]])</f>
        <v>24.996000000000009</v>
      </c>
      <c r="P406" s="1" t="str">
        <f>IF( AND( Table4[[#This Row],[Route]]=ClosureLocation!$B$3, ClosureLocation!$B$6 &gt;= Table4[[#This Row],[StartMP]], ClosureLocation!$B$6 &lt;= Table4[[#This Row],[EndMP]]), "Yes", "")</f>
        <v/>
      </c>
      <c r="Q406" s="1" t="str">
        <f>IF( AND( Table4[[#This Row],[Route]]=ClosureLocation!$B$3, ClosureLocation!$B$6 &lt;= Table4[[#This Row],[StartMP]], ClosureLocation!$B$6 &gt;= Table4[[#This Row],[EndMP]]), "Yes", "")</f>
        <v/>
      </c>
      <c r="R406" s="1" t="str">
        <f>IF( OR( Table4[[#This Row],[PrimaryMatch]]="Yes", Table4[[#This Row],[SecondaryMatch]]="Yes"), "Yes", "")</f>
        <v/>
      </c>
    </row>
    <row r="407" spans="1:18" hidden="1" x14ac:dyDescent="0.25">
      <c r="A407" t="s">
        <v>1072</v>
      </c>
      <c r="B407" t="s">
        <v>3205</v>
      </c>
      <c r="C407" t="s">
        <v>3222</v>
      </c>
      <c r="D407" t="s">
        <v>3965</v>
      </c>
      <c r="E407" s="1">
        <v>0</v>
      </c>
      <c r="F407" s="1">
        <v>26.273</v>
      </c>
      <c r="G407">
        <v>1</v>
      </c>
      <c r="H407">
        <v>1</v>
      </c>
      <c r="I407" t="s">
        <v>2840</v>
      </c>
      <c r="J407" t="s">
        <v>1689</v>
      </c>
      <c r="K407" s="39">
        <v>30.54429</v>
      </c>
      <c r="L407" s="1">
        <v>32.40728</v>
      </c>
      <c r="M407" s="1" t="s">
        <v>3966</v>
      </c>
      <c r="N407" s="1">
        <v>0</v>
      </c>
      <c r="O407" s="1">
        <f>ABS(Table4[[#This Row],[EndMP]]-Table4[[#This Row],[StartMP]])</f>
        <v>26.273</v>
      </c>
      <c r="P407" s="1" t="str">
        <f>IF( AND( Table4[[#This Row],[Route]]=ClosureLocation!$B$3, ClosureLocation!$B$6 &gt;= Table4[[#This Row],[StartMP]], ClosureLocation!$B$6 &lt;= Table4[[#This Row],[EndMP]]), "Yes", "")</f>
        <v/>
      </c>
      <c r="Q407" s="1" t="str">
        <f>IF( AND( Table4[[#This Row],[Route]]=ClosureLocation!$B$3, ClosureLocation!$B$6 &lt;= Table4[[#This Row],[StartMP]], ClosureLocation!$B$6 &gt;= Table4[[#This Row],[EndMP]]), "Yes", "")</f>
        <v/>
      </c>
      <c r="R407" s="1" t="str">
        <f>IF( OR( Table4[[#This Row],[PrimaryMatch]]="Yes", Table4[[#This Row],[SecondaryMatch]]="Yes"), "Yes", "")</f>
        <v/>
      </c>
    </row>
    <row r="408" spans="1:18" hidden="1" x14ac:dyDescent="0.25">
      <c r="A408" t="s">
        <v>1615</v>
      </c>
      <c r="B408" t="s">
        <v>3205</v>
      </c>
      <c r="C408" t="s">
        <v>3206</v>
      </c>
      <c r="D408" t="s">
        <v>4354</v>
      </c>
      <c r="E408" s="1">
        <v>279.42399999999998</v>
      </c>
      <c r="F408" s="1">
        <v>309.09699999999998</v>
      </c>
      <c r="G408">
        <v>3</v>
      </c>
      <c r="H408">
        <v>3</v>
      </c>
      <c r="I408" t="s">
        <v>3151</v>
      </c>
      <c r="J408" t="s">
        <v>1691</v>
      </c>
      <c r="K408" s="39">
        <v>30.352791</v>
      </c>
      <c r="L408" s="1">
        <v>26.89283</v>
      </c>
      <c r="M408" s="1" t="s">
        <v>4357</v>
      </c>
      <c r="N408" s="1">
        <v>279.42399999999998</v>
      </c>
      <c r="O408" s="1">
        <f>ABS(Table4[[#This Row],[EndMP]]-Table4[[#This Row],[StartMP]])</f>
        <v>29.673000000000002</v>
      </c>
      <c r="P408" s="1" t="str">
        <f>IF( AND( Table4[[#This Row],[Route]]=ClosureLocation!$B$3, ClosureLocation!$B$6 &gt;= Table4[[#This Row],[StartMP]], ClosureLocation!$B$6 &lt;= Table4[[#This Row],[EndMP]]), "Yes", "")</f>
        <v/>
      </c>
      <c r="Q408" s="1" t="str">
        <f>IF( AND( Table4[[#This Row],[Route]]=ClosureLocation!$B$3, ClosureLocation!$B$6 &lt;= Table4[[#This Row],[StartMP]], ClosureLocation!$B$6 &gt;= Table4[[#This Row],[EndMP]]), "Yes", "")</f>
        <v/>
      </c>
      <c r="R408" s="1" t="str">
        <f>IF( OR( Table4[[#This Row],[PrimaryMatch]]="Yes", Table4[[#This Row],[SecondaryMatch]]="Yes"), "Yes", "")</f>
        <v/>
      </c>
    </row>
    <row r="409" spans="1:18" hidden="1" x14ac:dyDescent="0.25">
      <c r="A409" t="s">
        <v>917</v>
      </c>
      <c r="B409" t="s">
        <v>3209</v>
      </c>
      <c r="C409" t="s">
        <v>3226</v>
      </c>
      <c r="D409" t="s">
        <v>3840</v>
      </c>
      <c r="E409" s="1">
        <v>148.71100000000001</v>
      </c>
      <c r="F409" s="1">
        <v>125.03700000000001</v>
      </c>
      <c r="G409">
        <v>4</v>
      </c>
      <c r="H409">
        <v>26</v>
      </c>
      <c r="I409" t="s">
        <v>2729</v>
      </c>
      <c r="J409" t="s">
        <v>1694</v>
      </c>
      <c r="K409" s="39">
        <v>30.159348000000001</v>
      </c>
      <c r="L409" s="1">
        <v>7.3200070000000004</v>
      </c>
      <c r="M409" s="1" t="s">
        <v>4975</v>
      </c>
      <c r="N409" s="1">
        <v>851.28899999999999</v>
      </c>
      <c r="O409" s="1">
        <f>ABS(Table4[[#This Row],[EndMP]]-Table4[[#This Row],[StartMP]])</f>
        <v>23.674000000000007</v>
      </c>
      <c r="P409" s="1" t="str">
        <f>IF( AND( Table4[[#This Row],[Route]]=ClosureLocation!$B$3, ClosureLocation!$B$6 &gt;= Table4[[#This Row],[StartMP]], ClosureLocation!$B$6 &lt;= Table4[[#This Row],[EndMP]]), "Yes", "")</f>
        <v/>
      </c>
      <c r="Q409" s="1" t="str">
        <f>IF( AND( Table4[[#This Row],[Route]]=ClosureLocation!$B$3, ClosureLocation!$B$6 &lt;= Table4[[#This Row],[StartMP]], ClosureLocation!$B$6 &gt;= Table4[[#This Row],[EndMP]]), "Yes", "")</f>
        <v/>
      </c>
      <c r="R409" s="1" t="str">
        <f>IF( OR( Table4[[#This Row],[PrimaryMatch]]="Yes", Table4[[#This Row],[SecondaryMatch]]="Yes"), "Yes", "")</f>
        <v/>
      </c>
    </row>
    <row r="410" spans="1:18" hidden="1" x14ac:dyDescent="0.25">
      <c r="A410" t="s">
        <v>252</v>
      </c>
      <c r="B410" t="s">
        <v>3209</v>
      </c>
      <c r="C410" t="s">
        <v>3226</v>
      </c>
      <c r="D410" t="s">
        <v>3398</v>
      </c>
      <c r="E410" s="1">
        <v>238.23599999999999</v>
      </c>
      <c r="F410" s="1">
        <v>226.63</v>
      </c>
      <c r="G410">
        <v>4</v>
      </c>
      <c r="H410">
        <v>8</v>
      </c>
      <c r="I410" t="s">
        <v>2186</v>
      </c>
      <c r="J410" t="s">
        <v>1702</v>
      </c>
      <c r="K410" s="39">
        <v>30.114422999999999</v>
      </c>
      <c r="L410" s="1">
        <v>24.704730999999999</v>
      </c>
      <c r="M410" s="1" t="s">
        <v>3400</v>
      </c>
      <c r="N410" s="1">
        <v>761.76400000000001</v>
      </c>
      <c r="O410" s="1">
        <f>ABS(Table4[[#This Row],[EndMP]]-Table4[[#This Row],[StartMP]])</f>
        <v>11.605999999999995</v>
      </c>
      <c r="P410" s="1" t="str">
        <f>IF( AND( Table4[[#This Row],[Route]]=ClosureLocation!$B$3, ClosureLocation!$B$6 &gt;= Table4[[#This Row],[StartMP]], ClosureLocation!$B$6 &lt;= Table4[[#This Row],[EndMP]]), "Yes", "")</f>
        <v/>
      </c>
      <c r="Q410" s="1" t="str">
        <f>IF( AND( Table4[[#This Row],[Route]]=ClosureLocation!$B$3, ClosureLocation!$B$6 &lt;= Table4[[#This Row],[StartMP]], ClosureLocation!$B$6 &gt;= Table4[[#This Row],[EndMP]]), "Yes", "")</f>
        <v/>
      </c>
      <c r="R410" s="1" t="str">
        <f>IF( OR( Table4[[#This Row],[PrimaryMatch]]="Yes", Table4[[#This Row],[SecondaryMatch]]="Yes"), "Yes", "")</f>
        <v/>
      </c>
    </row>
    <row r="411" spans="1:18" hidden="1" x14ac:dyDescent="0.25">
      <c r="A411" t="s">
        <v>252</v>
      </c>
      <c r="B411" t="s">
        <v>3205</v>
      </c>
      <c r="C411" t="s">
        <v>3222</v>
      </c>
      <c r="D411" t="s">
        <v>3393</v>
      </c>
      <c r="E411" s="1">
        <v>226.63</v>
      </c>
      <c r="F411" s="1">
        <v>238.23599999999999</v>
      </c>
      <c r="G411">
        <v>4</v>
      </c>
      <c r="H411">
        <v>2</v>
      </c>
      <c r="I411" t="s">
        <v>2180</v>
      </c>
      <c r="J411" t="s">
        <v>1702</v>
      </c>
      <c r="K411" s="39">
        <v>30.113795</v>
      </c>
      <c r="L411" s="1">
        <v>24.704730999999999</v>
      </c>
      <c r="M411" s="1" t="s">
        <v>3397</v>
      </c>
      <c r="N411" s="1">
        <v>226.63</v>
      </c>
      <c r="O411" s="1">
        <f>ABS(Table4[[#This Row],[EndMP]]-Table4[[#This Row],[StartMP]])</f>
        <v>11.605999999999995</v>
      </c>
      <c r="P411" s="1" t="str">
        <f>IF( AND( Table4[[#This Row],[Route]]=ClosureLocation!$B$3, ClosureLocation!$B$6 &gt;= Table4[[#This Row],[StartMP]], ClosureLocation!$B$6 &lt;= Table4[[#This Row],[EndMP]]), "Yes", "")</f>
        <v/>
      </c>
      <c r="Q411" s="1" t="str">
        <f>IF( AND( Table4[[#This Row],[Route]]=ClosureLocation!$B$3, ClosureLocation!$B$6 &lt;= Table4[[#This Row],[StartMP]], ClosureLocation!$B$6 &gt;= Table4[[#This Row],[EndMP]]), "Yes", "")</f>
        <v/>
      </c>
      <c r="R411" s="1" t="str">
        <f>IF( OR( Table4[[#This Row],[PrimaryMatch]]="Yes", Table4[[#This Row],[SecondaryMatch]]="Yes"), "Yes", "")</f>
        <v/>
      </c>
    </row>
    <row r="412" spans="1:18" hidden="1" x14ac:dyDescent="0.25">
      <c r="A412" t="s">
        <v>776</v>
      </c>
      <c r="B412" t="s">
        <v>3209</v>
      </c>
      <c r="C412" t="s">
        <v>3226</v>
      </c>
      <c r="D412" t="s">
        <v>3749</v>
      </c>
      <c r="E412" s="1">
        <v>352.07400000000001</v>
      </c>
      <c r="F412" s="1">
        <v>289.37700000000001</v>
      </c>
      <c r="G412">
        <v>11</v>
      </c>
      <c r="H412">
        <v>64</v>
      </c>
      <c r="I412" t="s">
        <v>2610</v>
      </c>
      <c r="J412" t="s">
        <v>1694</v>
      </c>
      <c r="K412" s="39">
        <v>29.942848000000001</v>
      </c>
      <c r="L412" s="1">
        <v>3.791839</v>
      </c>
      <c r="M412" s="1" t="s">
        <v>4505</v>
      </c>
      <c r="N412" s="1">
        <v>647.92600000000004</v>
      </c>
      <c r="O412" s="1">
        <f>ABS(Table4[[#This Row],[EndMP]]-Table4[[#This Row],[StartMP]])</f>
        <v>62.697000000000003</v>
      </c>
      <c r="P412" s="1" t="str">
        <f>IF( AND( Table4[[#This Row],[Route]]=ClosureLocation!$B$3, ClosureLocation!$B$6 &gt;= Table4[[#This Row],[StartMP]], ClosureLocation!$B$6 &lt;= Table4[[#This Row],[EndMP]]), "Yes", "")</f>
        <v/>
      </c>
      <c r="Q412" s="1" t="str">
        <f>IF( AND( Table4[[#This Row],[Route]]=ClosureLocation!$B$3, ClosureLocation!$B$6 &lt;= Table4[[#This Row],[StartMP]], ClosureLocation!$B$6 &gt;= Table4[[#This Row],[EndMP]]), "Yes", "")</f>
        <v/>
      </c>
      <c r="R412" s="1" t="str">
        <f>IF( OR( Table4[[#This Row],[PrimaryMatch]]="Yes", Table4[[#This Row],[SecondaryMatch]]="Yes"), "Yes", "")</f>
        <v/>
      </c>
    </row>
    <row r="413" spans="1:18" hidden="1" x14ac:dyDescent="0.25">
      <c r="A413" t="s">
        <v>1380</v>
      </c>
      <c r="B413" t="s">
        <v>3209</v>
      </c>
      <c r="C413" t="s">
        <v>3206</v>
      </c>
      <c r="D413" t="s">
        <v>4165</v>
      </c>
      <c r="E413" s="1">
        <v>1.673</v>
      </c>
      <c r="F413" s="1">
        <v>0</v>
      </c>
      <c r="H413">
        <v>1</v>
      </c>
      <c r="I413" t="s">
        <v>2999</v>
      </c>
      <c r="J413" t="s">
        <v>1692</v>
      </c>
      <c r="K413" s="39">
        <v>29.729604999999999</v>
      </c>
      <c r="L413" s="1">
        <v>22.473742000000001</v>
      </c>
      <c r="M413" s="1" t="s">
        <v>3804</v>
      </c>
      <c r="N413" s="1">
        <v>998.327</v>
      </c>
      <c r="O413" s="1">
        <f>ABS(Table4[[#This Row],[EndMP]]-Table4[[#This Row],[StartMP]])</f>
        <v>1.673</v>
      </c>
      <c r="P413" s="1" t="str">
        <f>IF( AND( Table4[[#This Row],[Route]]=ClosureLocation!$B$3, ClosureLocation!$B$6 &gt;= Table4[[#This Row],[StartMP]], ClosureLocation!$B$6 &lt;= Table4[[#This Row],[EndMP]]), "Yes", "")</f>
        <v/>
      </c>
      <c r="Q413" s="1" t="str">
        <f>IF( AND( Table4[[#This Row],[Route]]=ClosureLocation!$B$3, ClosureLocation!$B$6 &lt;= Table4[[#This Row],[StartMP]], ClosureLocation!$B$6 &gt;= Table4[[#This Row],[EndMP]]), "Yes", "")</f>
        <v/>
      </c>
      <c r="R413" s="1" t="str">
        <f>IF( OR( Table4[[#This Row],[PrimaryMatch]]="Yes", Table4[[#This Row],[SecondaryMatch]]="Yes"), "Yes", "")</f>
        <v/>
      </c>
    </row>
    <row r="414" spans="1:18" hidden="1" x14ac:dyDescent="0.25">
      <c r="A414" t="s">
        <v>1380</v>
      </c>
      <c r="B414" t="s">
        <v>3205</v>
      </c>
      <c r="C414" t="s">
        <v>3210</v>
      </c>
      <c r="D414" t="s">
        <v>4166</v>
      </c>
      <c r="E414" s="1">
        <v>0</v>
      </c>
      <c r="F414" s="1">
        <v>1.673</v>
      </c>
      <c r="G414">
        <v>1</v>
      </c>
      <c r="H414">
        <v>2</v>
      </c>
      <c r="I414" t="s">
        <v>2998</v>
      </c>
      <c r="J414" t="s">
        <v>1692</v>
      </c>
      <c r="K414" s="39">
        <v>29.729427000000001</v>
      </c>
      <c r="L414" s="1">
        <v>22.473742000000001</v>
      </c>
      <c r="M414" s="1" t="s">
        <v>3810</v>
      </c>
      <c r="N414" s="1">
        <v>0</v>
      </c>
      <c r="O414" s="1">
        <f>ABS(Table4[[#This Row],[EndMP]]-Table4[[#This Row],[StartMP]])</f>
        <v>1.673</v>
      </c>
      <c r="P414" s="1" t="str">
        <f>IF( AND( Table4[[#This Row],[Route]]=ClosureLocation!$B$3, ClosureLocation!$B$6 &gt;= Table4[[#This Row],[StartMP]], ClosureLocation!$B$6 &lt;= Table4[[#This Row],[EndMP]]), "Yes", "")</f>
        <v/>
      </c>
      <c r="Q414" s="1" t="str">
        <f>IF( AND( Table4[[#This Row],[Route]]=ClosureLocation!$B$3, ClosureLocation!$B$6 &lt;= Table4[[#This Row],[StartMP]], ClosureLocation!$B$6 &gt;= Table4[[#This Row],[EndMP]]), "Yes", "")</f>
        <v/>
      </c>
      <c r="R414" s="1" t="str">
        <f>IF( OR( Table4[[#This Row],[PrimaryMatch]]="Yes", Table4[[#This Row],[SecondaryMatch]]="Yes"), "Yes", "")</f>
        <v/>
      </c>
    </row>
    <row r="415" spans="1:18" hidden="1" x14ac:dyDescent="0.25">
      <c r="A415" t="s">
        <v>310</v>
      </c>
      <c r="B415" t="s">
        <v>3205</v>
      </c>
      <c r="C415" t="s">
        <v>3206</v>
      </c>
      <c r="D415" t="s">
        <v>3427</v>
      </c>
      <c r="E415" s="1">
        <v>278</v>
      </c>
      <c r="F415" s="1">
        <v>298.87900000000002</v>
      </c>
      <c r="G415">
        <v>33</v>
      </c>
      <c r="H415">
        <v>24</v>
      </c>
      <c r="I415" t="s">
        <v>2239</v>
      </c>
      <c r="J415" t="s">
        <v>1694</v>
      </c>
      <c r="K415" s="39">
        <v>29.492018000000002</v>
      </c>
      <c r="L415" s="1">
        <v>3.0374129999999999</v>
      </c>
      <c r="M415" s="58" t="s">
        <v>4895</v>
      </c>
      <c r="N415" s="1">
        <v>278</v>
      </c>
      <c r="O415" s="1">
        <f>ABS(Table4[[#This Row],[EndMP]]-Table4[[#This Row],[StartMP]])</f>
        <v>20.879000000000019</v>
      </c>
      <c r="P415" s="1" t="str">
        <f>IF( AND( Table4[[#This Row],[Route]]=ClosureLocation!$B$3, ClosureLocation!$B$6 &gt;= Table4[[#This Row],[StartMP]], ClosureLocation!$B$6 &lt;= Table4[[#This Row],[EndMP]]), "Yes", "")</f>
        <v/>
      </c>
      <c r="Q415" s="1" t="str">
        <f>IF( AND( Table4[[#This Row],[Route]]=ClosureLocation!$B$3, ClosureLocation!$B$6 &lt;= Table4[[#This Row],[StartMP]], ClosureLocation!$B$6 &gt;= Table4[[#This Row],[EndMP]]), "Yes", "")</f>
        <v/>
      </c>
      <c r="R415" s="1" t="str">
        <f>IF( OR( Table4[[#This Row],[PrimaryMatch]]="Yes", Table4[[#This Row],[SecondaryMatch]]="Yes"), "Yes", "")</f>
        <v/>
      </c>
    </row>
    <row r="416" spans="1:18" hidden="1" x14ac:dyDescent="0.25">
      <c r="A416" t="s">
        <v>310</v>
      </c>
      <c r="B416" t="s">
        <v>3209</v>
      </c>
      <c r="C416" t="s">
        <v>3210</v>
      </c>
      <c r="D416" t="s">
        <v>3444</v>
      </c>
      <c r="E416" s="1">
        <v>184</v>
      </c>
      <c r="F416" s="1">
        <v>139.20099999999999</v>
      </c>
      <c r="G416">
        <v>24</v>
      </c>
      <c r="H416">
        <v>18</v>
      </c>
      <c r="I416" t="s">
        <v>2263</v>
      </c>
      <c r="J416" t="s">
        <v>1700</v>
      </c>
      <c r="K416" s="39">
        <v>29.387391000000001</v>
      </c>
      <c r="L416" s="1">
        <v>10.979511</v>
      </c>
      <c r="M416" s="1" t="s">
        <v>3460</v>
      </c>
      <c r="N416" s="1">
        <v>816</v>
      </c>
      <c r="O416" s="1">
        <f>ABS(Table4[[#This Row],[EndMP]]-Table4[[#This Row],[StartMP]])</f>
        <v>44.799000000000007</v>
      </c>
      <c r="P416" s="1" t="str">
        <f>IF( AND( Table4[[#This Row],[Route]]=ClosureLocation!$B$3, ClosureLocation!$B$6 &gt;= Table4[[#This Row],[StartMP]], ClosureLocation!$B$6 &lt;= Table4[[#This Row],[EndMP]]), "Yes", "")</f>
        <v/>
      </c>
      <c r="Q416" s="1" t="str">
        <f>IF( AND( Table4[[#This Row],[Route]]=ClosureLocation!$B$3, ClosureLocation!$B$6 &lt;= Table4[[#This Row],[StartMP]], ClosureLocation!$B$6 &gt;= Table4[[#This Row],[EndMP]]), "Yes", "")</f>
        <v/>
      </c>
      <c r="R416" s="1" t="str">
        <f>IF( OR( Table4[[#This Row],[PrimaryMatch]]="Yes", Table4[[#This Row],[SecondaryMatch]]="Yes"), "Yes", "")</f>
        <v/>
      </c>
    </row>
    <row r="417" spans="1:18" hidden="1" x14ac:dyDescent="0.25">
      <c r="A417" t="s">
        <v>1493</v>
      </c>
      <c r="B417" t="s">
        <v>3205</v>
      </c>
      <c r="C417" t="s">
        <v>3206</v>
      </c>
      <c r="D417" t="s">
        <v>4252</v>
      </c>
      <c r="E417" s="1">
        <v>181.971</v>
      </c>
      <c r="F417" s="1">
        <v>182.989</v>
      </c>
      <c r="G417">
        <v>2</v>
      </c>
      <c r="H417">
        <v>2</v>
      </c>
      <c r="I417" t="s">
        <v>3071</v>
      </c>
      <c r="J417" t="s">
        <v>1693</v>
      </c>
      <c r="K417" s="39">
        <v>29.136033000000001</v>
      </c>
      <c r="L417" s="1">
        <v>34.809511000000001</v>
      </c>
      <c r="M417" s="1" t="s">
        <v>4254</v>
      </c>
      <c r="N417" s="1">
        <v>181.971</v>
      </c>
      <c r="O417" s="1">
        <f>ABS(Table4[[#This Row],[EndMP]]-Table4[[#This Row],[StartMP]])</f>
        <v>1.0180000000000007</v>
      </c>
      <c r="P417" s="1" t="str">
        <f>IF( AND( Table4[[#This Row],[Route]]=ClosureLocation!$B$3, ClosureLocation!$B$6 &gt;= Table4[[#This Row],[StartMP]], ClosureLocation!$B$6 &lt;= Table4[[#This Row],[EndMP]]), "Yes", "")</f>
        <v/>
      </c>
      <c r="Q417" s="1" t="str">
        <f>IF( AND( Table4[[#This Row],[Route]]=ClosureLocation!$B$3, ClosureLocation!$B$6 &lt;= Table4[[#This Row],[StartMP]], ClosureLocation!$B$6 &gt;= Table4[[#This Row],[EndMP]]), "Yes", "")</f>
        <v/>
      </c>
      <c r="R417" s="1" t="str">
        <f>IF( OR( Table4[[#This Row],[PrimaryMatch]]="Yes", Table4[[#This Row],[SecondaryMatch]]="Yes"), "Yes", "")</f>
        <v/>
      </c>
    </row>
    <row r="418" spans="1:18" hidden="1" x14ac:dyDescent="0.25">
      <c r="A418" t="s">
        <v>310</v>
      </c>
      <c r="B418" t="s">
        <v>3205</v>
      </c>
      <c r="C418" t="s">
        <v>3206</v>
      </c>
      <c r="D418" t="s">
        <v>3427</v>
      </c>
      <c r="E418" s="1">
        <v>138.85</v>
      </c>
      <c r="F418" s="1">
        <v>183.934</v>
      </c>
      <c r="G418">
        <v>12</v>
      </c>
      <c r="H418">
        <v>1</v>
      </c>
      <c r="I418" t="s">
        <v>2218</v>
      </c>
      <c r="J418" t="s">
        <v>1700</v>
      </c>
      <c r="K418" s="39">
        <v>28.715437000000001</v>
      </c>
      <c r="L418" s="1">
        <v>10.574218</v>
      </c>
      <c r="M418" s="1" t="s">
        <v>3429</v>
      </c>
      <c r="N418" s="1">
        <v>138.85</v>
      </c>
      <c r="O418" s="1">
        <f>ABS(Table4[[#This Row],[EndMP]]-Table4[[#This Row],[StartMP]])</f>
        <v>45.084000000000003</v>
      </c>
      <c r="P418" s="1" t="str">
        <f>IF( AND( Table4[[#This Row],[Route]]=ClosureLocation!$B$3, ClosureLocation!$B$6 &gt;= Table4[[#This Row],[StartMP]], ClosureLocation!$B$6 &lt;= Table4[[#This Row],[EndMP]]), "Yes", "")</f>
        <v/>
      </c>
      <c r="Q418" s="1" t="str">
        <f>IF( AND( Table4[[#This Row],[Route]]=ClosureLocation!$B$3, ClosureLocation!$B$6 &lt;= Table4[[#This Row],[StartMP]], ClosureLocation!$B$6 &gt;= Table4[[#This Row],[EndMP]]), "Yes", "")</f>
        <v/>
      </c>
      <c r="R418" s="1" t="str">
        <f>IF( OR( Table4[[#This Row],[PrimaryMatch]]="Yes", Table4[[#This Row],[SecondaryMatch]]="Yes"), "Yes", "")</f>
        <v/>
      </c>
    </row>
    <row r="419" spans="1:18" hidden="1" x14ac:dyDescent="0.25">
      <c r="A419" t="s">
        <v>776</v>
      </c>
      <c r="B419" t="s">
        <v>3205</v>
      </c>
      <c r="C419" t="s">
        <v>3222</v>
      </c>
      <c r="D419" t="s">
        <v>3748</v>
      </c>
      <c r="E419" s="1">
        <v>289.37700000000001</v>
      </c>
      <c r="F419" s="1">
        <v>352.12900000000002</v>
      </c>
      <c r="G419">
        <v>37</v>
      </c>
      <c r="H419">
        <v>37</v>
      </c>
      <c r="I419" t="s">
        <v>2582</v>
      </c>
      <c r="J419" t="s">
        <v>1694</v>
      </c>
      <c r="K419" s="39">
        <v>28.662542999999999</v>
      </c>
      <c r="L419" s="1">
        <v>2.4543789999999999</v>
      </c>
      <c r="M419" s="1" t="s">
        <v>4481</v>
      </c>
      <c r="N419" s="1">
        <v>289.37700000000001</v>
      </c>
      <c r="O419" s="1">
        <f>ABS(Table4[[#This Row],[EndMP]]-Table4[[#This Row],[StartMP]])</f>
        <v>62.75200000000001</v>
      </c>
      <c r="P419" s="1" t="str">
        <f>IF( AND( Table4[[#This Row],[Route]]=ClosureLocation!$B$3, ClosureLocation!$B$6 &gt;= Table4[[#This Row],[StartMP]], ClosureLocation!$B$6 &lt;= Table4[[#This Row],[EndMP]]), "Yes", "")</f>
        <v/>
      </c>
      <c r="Q419" s="1" t="str">
        <f>IF( AND( Table4[[#This Row],[Route]]=ClosureLocation!$B$3, ClosureLocation!$B$6 &lt;= Table4[[#This Row],[StartMP]], ClosureLocation!$B$6 &gt;= Table4[[#This Row],[EndMP]]), "Yes", "")</f>
        <v/>
      </c>
      <c r="R419" s="1" t="str">
        <f>IF( OR( Table4[[#This Row],[PrimaryMatch]]="Yes", Table4[[#This Row],[SecondaryMatch]]="Yes"), "Yes", "")</f>
        <v/>
      </c>
    </row>
    <row r="420" spans="1:18" hidden="1" x14ac:dyDescent="0.25">
      <c r="A420" t="s">
        <v>1493</v>
      </c>
      <c r="B420" t="s">
        <v>3209</v>
      </c>
      <c r="C420" t="s">
        <v>3210</v>
      </c>
      <c r="D420" t="s">
        <v>4262</v>
      </c>
      <c r="E420" s="1">
        <v>182.989</v>
      </c>
      <c r="F420" s="1">
        <v>181.971</v>
      </c>
      <c r="G420">
        <v>9</v>
      </c>
      <c r="H420">
        <v>20</v>
      </c>
      <c r="I420" t="s">
        <v>4271</v>
      </c>
      <c r="J420" t="s">
        <v>1693</v>
      </c>
      <c r="K420" s="39">
        <v>28.661086999999998</v>
      </c>
      <c r="L420" s="1">
        <v>35.027247000000003</v>
      </c>
      <c r="M420" s="1" t="s">
        <v>4272</v>
      </c>
      <c r="N420" s="1">
        <v>817.01099999999997</v>
      </c>
      <c r="O420" s="1">
        <f>ABS(Table4[[#This Row],[EndMP]]-Table4[[#This Row],[StartMP]])</f>
        <v>1.0180000000000007</v>
      </c>
      <c r="P420" s="1" t="str">
        <f>IF( AND( Table4[[#This Row],[Route]]=ClosureLocation!$B$3, ClosureLocation!$B$6 &gt;= Table4[[#This Row],[StartMP]], ClosureLocation!$B$6 &lt;= Table4[[#This Row],[EndMP]]), "Yes", "")</f>
        <v/>
      </c>
      <c r="Q420" s="1" t="str">
        <f>IF( AND( Table4[[#This Row],[Route]]=ClosureLocation!$B$3, ClosureLocation!$B$6 &lt;= Table4[[#This Row],[StartMP]], ClosureLocation!$B$6 &gt;= Table4[[#This Row],[EndMP]]), "Yes", "")</f>
        <v/>
      </c>
      <c r="R420" s="1" t="str">
        <f>IF( OR( Table4[[#This Row],[PrimaryMatch]]="Yes", Table4[[#This Row],[SecondaryMatch]]="Yes"), "Yes", "")</f>
        <v/>
      </c>
    </row>
    <row r="421" spans="1:18" hidden="1" x14ac:dyDescent="0.25">
      <c r="A421" t="s">
        <v>575</v>
      </c>
      <c r="B421" t="s">
        <v>3209</v>
      </c>
      <c r="C421" t="s">
        <v>3226</v>
      </c>
      <c r="D421" t="s">
        <v>3596</v>
      </c>
      <c r="E421" s="1">
        <v>486.92399999999998</v>
      </c>
      <c r="F421" s="1">
        <v>470.88499999999999</v>
      </c>
      <c r="G421">
        <v>1</v>
      </c>
      <c r="H421">
        <v>2</v>
      </c>
      <c r="I421" t="s">
        <v>2397</v>
      </c>
      <c r="J421" t="s">
        <v>1707</v>
      </c>
      <c r="K421" s="39">
        <v>28.658864999999999</v>
      </c>
      <c r="L421" s="1">
        <v>39.455734</v>
      </c>
      <c r="M421" s="58" t="s">
        <v>4923</v>
      </c>
      <c r="N421" s="1">
        <v>513.07600000000002</v>
      </c>
      <c r="O421" s="1">
        <f>ABS(Table4[[#This Row],[EndMP]]-Table4[[#This Row],[StartMP]])</f>
        <v>16.038999999999987</v>
      </c>
      <c r="P421" s="1" t="str">
        <f>IF( AND( Table4[[#This Row],[Route]]=ClosureLocation!$B$3, ClosureLocation!$B$6 &gt;= Table4[[#This Row],[StartMP]], ClosureLocation!$B$6 &lt;= Table4[[#This Row],[EndMP]]), "Yes", "")</f>
        <v/>
      </c>
      <c r="Q421" s="1" t="str">
        <f>IF( AND( Table4[[#This Row],[Route]]=ClosureLocation!$B$3, ClosureLocation!$B$6 &lt;= Table4[[#This Row],[StartMP]], ClosureLocation!$B$6 &gt;= Table4[[#This Row],[EndMP]]), "Yes", "")</f>
        <v/>
      </c>
      <c r="R421" s="1" t="str">
        <f>IF( OR( Table4[[#This Row],[PrimaryMatch]]="Yes", Table4[[#This Row],[SecondaryMatch]]="Yes"), "Yes", "")</f>
        <v/>
      </c>
    </row>
    <row r="422" spans="1:18" hidden="1" x14ac:dyDescent="0.25">
      <c r="A422" t="s">
        <v>575</v>
      </c>
      <c r="B422" t="s">
        <v>3205</v>
      </c>
      <c r="C422" t="s">
        <v>3222</v>
      </c>
      <c r="D422" t="s">
        <v>3593</v>
      </c>
      <c r="E422" s="1">
        <v>470.88499999999999</v>
      </c>
      <c r="F422" s="1">
        <v>486.92399999999998</v>
      </c>
      <c r="G422">
        <v>3</v>
      </c>
      <c r="H422">
        <v>1</v>
      </c>
      <c r="I422" t="s">
        <v>2396</v>
      </c>
      <c r="J422" t="s">
        <v>1707</v>
      </c>
      <c r="K422" s="39">
        <v>28.510466000000001</v>
      </c>
      <c r="L422" s="1">
        <v>39.359844000000002</v>
      </c>
      <c r="M422" s="58" t="s">
        <v>4922</v>
      </c>
      <c r="N422" s="1">
        <v>470.88499999999999</v>
      </c>
      <c r="O422" s="1">
        <f>ABS(Table4[[#This Row],[EndMP]]-Table4[[#This Row],[StartMP]])</f>
        <v>16.038999999999987</v>
      </c>
      <c r="P422" s="1" t="str">
        <f>IF( AND( Table4[[#This Row],[Route]]=ClosureLocation!$B$3, ClosureLocation!$B$6 &gt;= Table4[[#This Row],[StartMP]], ClosureLocation!$B$6 &lt;= Table4[[#This Row],[EndMP]]), "Yes", "")</f>
        <v/>
      </c>
      <c r="Q422" s="1" t="str">
        <f>IF( AND( Table4[[#This Row],[Route]]=ClosureLocation!$B$3, ClosureLocation!$B$6 &lt;= Table4[[#This Row],[StartMP]], ClosureLocation!$B$6 &gt;= Table4[[#This Row],[EndMP]]), "Yes", "")</f>
        <v/>
      </c>
      <c r="R422" s="1" t="str">
        <f>IF( OR( Table4[[#This Row],[PrimaryMatch]]="Yes", Table4[[#This Row],[SecondaryMatch]]="Yes"), "Yes", "")</f>
        <v/>
      </c>
    </row>
    <row r="423" spans="1:18" hidden="1" x14ac:dyDescent="0.25">
      <c r="A423" t="s">
        <v>485</v>
      </c>
      <c r="B423" t="s">
        <v>3205</v>
      </c>
      <c r="C423" t="s">
        <v>3222</v>
      </c>
      <c r="D423" t="s">
        <v>3543</v>
      </c>
      <c r="E423" s="1">
        <v>178.048</v>
      </c>
      <c r="F423" s="1">
        <v>224.71799999999999</v>
      </c>
      <c r="H423">
        <v>1</v>
      </c>
      <c r="I423" t="s">
        <v>2346</v>
      </c>
      <c r="J423" t="s">
        <v>1707</v>
      </c>
      <c r="K423" s="39">
        <v>28.263369999999998</v>
      </c>
      <c r="L423" s="1">
        <v>48.457532</v>
      </c>
      <c r="M423" s="58" t="s">
        <v>4914</v>
      </c>
      <c r="N423" s="1">
        <v>178.048</v>
      </c>
      <c r="O423" s="1">
        <f>ABS(Table4[[#This Row],[EndMP]]-Table4[[#This Row],[StartMP]])</f>
        <v>46.669999999999987</v>
      </c>
      <c r="P423" s="1" t="str">
        <f>IF( AND( Table4[[#This Row],[Route]]=ClosureLocation!$B$3, ClosureLocation!$B$6 &gt;= Table4[[#This Row],[StartMP]], ClosureLocation!$B$6 &lt;= Table4[[#This Row],[EndMP]]), "Yes", "")</f>
        <v/>
      </c>
      <c r="Q423" s="1" t="str">
        <f>IF( AND( Table4[[#This Row],[Route]]=ClosureLocation!$B$3, ClosureLocation!$B$6 &lt;= Table4[[#This Row],[StartMP]], ClosureLocation!$B$6 &gt;= Table4[[#This Row],[EndMP]]), "Yes", "")</f>
        <v/>
      </c>
      <c r="R423" s="1" t="str">
        <f>IF( OR( Table4[[#This Row],[PrimaryMatch]]="Yes", Table4[[#This Row],[SecondaryMatch]]="Yes"), "Yes", "")</f>
        <v/>
      </c>
    </row>
    <row r="424" spans="1:18" hidden="1" x14ac:dyDescent="0.25">
      <c r="A424" t="s">
        <v>485</v>
      </c>
      <c r="B424" t="s">
        <v>3209</v>
      </c>
      <c r="C424" t="s">
        <v>3226</v>
      </c>
      <c r="D424" t="s">
        <v>3548</v>
      </c>
      <c r="E424" s="1">
        <v>224.71799999999999</v>
      </c>
      <c r="F424" s="1">
        <v>178.048</v>
      </c>
      <c r="H424">
        <v>2</v>
      </c>
      <c r="I424" t="s">
        <v>2347</v>
      </c>
      <c r="J424" t="s">
        <v>1707</v>
      </c>
      <c r="K424" s="39">
        <v>28.151253000000001</v>
      </c>
      <c r="L424" s="1">
        <v>48.370486</v>
      </c>
      <c r="M424" s="58" t="s">
        <v>4915</v>
      </c>
      <c r="N424" s="1">
        <v>775.28200000000004</v>
      </c>
      <c r="O424" s="1">
        <f>ABS(Table4[[#This Row],[EndMP]]-Table4[[#This Row],[StartMP]])</f>
        <v>46.669999999999987</v>
      </c>
      <c r="P424" s="1" t="str">
        <f>IF( AND( Table4[[#This Row],[Route]]=ClosureLocation!$B$3, ClosureLocation!$B$6 &gt;= Table4[[#This Row],[StartMP]], ClosureLocation!$B$6 &lt;= Table4[[#This Row],[EndMP]]), "Yes", "")</f>
        <v/>
      </c>
      <c r="Q424" s="1" t="str">
        <f>IF( AND( Table4[[#This Row],[Route]]=ClosureLocation!$B$3, ClosureLocation!$B$6 &lt;= Table4[[#This Row],[StartMP]], ClosureLocation!$B$6 &gt;= Table4[[#This Row],[EndMP]]), "Yes", "")</f>
        <v/>
      </c>
      <c r="R424" s="1" t="str">
        <f>IF( OR( Table4[[#This Row],[PrimaryMatch]]="Yes", Table4[[#This Row],[SecondaryMatch]]="Yes"), "Yes", "")</f>
        <v/>
      </c>
    </row>
    <row r="425" spans="1:18" hidden="1" x14ac:dyDescent="0.25">
      <c r="A425" t="s">
        <v>917</v>
      </c>
      <c r="B425" t="s">
        <v>3209</v>
      </c>
      <c r="C425" t="s">
        <v>3226</v>
      </c>
      <c r="D425" t="s">
        <v>3840</v>
      </c>
      <c r="E425" s="1">
        <v>114.988</v>
      </c>
      <c r="F425" s="1">
        <v>92</v>
      </c>
      <c r="G425">
        <v>6</v>
      </c>
      <c r="H425">
        <v>28</v>
      </c>
      <c r="I425" t="s">
        <v>2731</v>
      </c>
      <c r="J425" t="s">
        <v>1694</v>
      </c>
      <c r="K425" s="39">
        <v>28.001463000000001</v>
      </c>
      <c r="L425" s="1">
        <v>13.021024000000001</v>
      </c>
      <c r="M425" s="1" t="s">
        <v>4977</v>
      </c>
      <c r="N425" s="1">
        <v>885.01199999999994</v>
      </c>
      <c r="O425" s="1">
        <f>ABS(Table4[[#This Row],[EndMP]]-Table4[[#This Row],[StartMP]])</f>
        <v>22.988</v>
      </c>
      <c r="P425" s="1" t="str">
        <f>IF( AND( Table4[[#This Row],[Route]]=ClosureLocation!$B$3, ClosureLocation!$B$6 &gt;= Table4[[#This Row],[StartMP]], ClosureLocation!$B$6 &lt;= Table4[[#This Row],[EndMP]]), "Yes", "")</f>
        <v/>
      </c>
      <c r="Q425" s="1" t="str">
        <f>IF( AND( Table4[[#This Row],[Route]]=ClosureLocation!$B$3, ClosureLocation!$B$6 &lt;= Table4[[#This Row],[StartMP]], ClosureLocation!$B$6 &gt;= Table4[[#This Row],[EndMP]]), "Yes", "")</f>
        <v/>
      </c>
      <c r="R425" s="1" t="str">
        <f>IF( OR( Table4[[#This Row],[PrimaryMatch]]="Yes", Table4[[#This Row],[SecondaryMatch]]="Yes"), "Yes", "")</f>
        <v/>
      </c>
    </row>
    <row r="426" spans="1:18" hidden="1" x14ac:dyDescent="0.25">
      <c r="A426" t="s">
        <v>292</v>
      </c>
      <c r="B426" t="s">
        <v>3209</v>
      </c>
      <c r="C426" t="s">
        <v>3226</v>
      </c>
      <c r="D426" t="s">
        <v>3415</v>
      </c>
      <c r="E426" s="1">
        <v>376.714</v>
      </c>
      <c r="F426" s="1">
        <v>312.43</v>
      </c>
      <c r="G426">
        <v>3</v>
      </c>
      <c r="H426">
        <v>5</v>
      </c>
      <c r="I426" t="s">
        <v>2201</v>
      </c>
      <c r="J426" t="s">
        <v>1702</v>
      </c>
      <c r="K426" s="39">
        <v>27.964825999999999</v>
      </c>
      <c r="L426" s="1">
        <v>17.230710999999999</v>
      </c>
      <c r="M426" s="1" t="s">
        <v>3417</v>
      </c>
      <c r="N426" s="1">
        <v>623.28599999999994</v>
      </c>
      <c r="O426" s="1">
        <f>ABS(Table4[[#This Row],[EndMP]]-Table4[[#This Row],[StartMP]])</f>
        <v>64.283999999999992</v>
      </c>
      <c r="P426" s="1" t="str">
        <f>IF( AND( Table4[[#This Row],[Route]]=ClosureLocation!$B$3, ClosureLocation!$B$6 &gt;= Table4[[#This Row],[StartMP]], ClosureLocation!$B$6 &lt;= Table4[[#This Row],[EndMP]]), "Yes", "")</f>
        <v/>
      </c>
      <c r="Q426" s="1" t="str">
        <f>IF( AND( Table4[[#This Row],[Route]]=ClosureLocation!$B$3, ClosureLocation!$B$6 &lt;= Table4[[#This Row],[StartMP]], ClosureLocation!$B$6 &gt;= Table4[[#This Row],[EndMP]]), "Yes", "")</f>
        <v/>
      </c>
      <c r="R426" s="1" t="str">
        <f>IF( OR( Table4[[#This Row],[PrimaryMatch]]="Yes", Table4[[#This Row],[SecondaryMatch]]="Yes"), "Yes", "")</f>
        <v/>
      </c>
    </row>
    <row r="427" spans="1:18" hidden="1" x14ac:dyDescent="0.25">
      <c r="A427" t="s">
        <v>292</v>
      </c>
      <c r="B427" t="s">
        <v>3205</v>
      </c>
      <c r="C427" t="s">
        <v>3222</v>
      </c>
      <c r="D427" t="s">
        <v>3411</v>
      </c>
      <c r="E427" s="1">
        <v>312.43</v>
      </c>
      <c r="F427" s="1">
        <v>376.714</v>
      </c>
      <c r="G427">
        <v>2</v>
      </c>
      <c r="H427">
        <v>2</v>
      </c>
      <c r="I427" t="s">
        <v>2194</v>
      </c>
      <c r="J427" t="s">
        <v>1702</v>
      </c>
      <c r="K427" s="39">
        <v>27.949871999999999</v>
      </c>
      <c r="L427" s="1">
        <v>17.230710999999999</v>
      </c>
      <c r="M427" s="1" t="s">
        <v>3413</v>
      </c>
      <c r="N427" s="1">
        <v>312.43</v>
      </c>
      <c r="O427" s="1">
        <f>ABS(Table4[[#This Row],[EndMP]]-Table4[[#This Row],[StartMP]])</f>
        <v>64.283999999999992</v>
      </c>
      <c r="P427" s="1" t="str">
        <f>IF( AND( Table4[[#This Row],[Route]]=ClosureLocation!$B$3, ClosureLocation!$B$6 &gt;= Table4[[#This Row],[StartMP]], ClosureLocation!$B$6 &lt;= Table4[[#This Row],[EndMP]]), "Yes", "")</f>
        <v/>
      </c>
      <c r="Q427" s="1" t="str">
        <f>IF( AND( Table4[[#This Row],[Route]]=ClosureLocation!$B$3, ClosureLocation!$B$6 &lt;= Table4[[#This Row],[StartMP]], ClosureLocation!$B$6 &gt;= Table4[[#This Row],[EndMP]]), "Yes", "")</f>
        <v/>
      </c>
      <c r="R427" s="1" t="str">
        <f>IF( OR( Table4[[#This Row],[PrimaryMatch]]="Yes", Table4[[#This Row],[SecondaryMatch]]="Yes"), "Yes", "")</f>
        <v/>
      </c>
    </row>
    <row r="428" spans="1:18" hidden="1" x14ac:dyDescent="0.25">
      <c r="A428" t="s">
        <v>310</v>
      </c>
      <c r="B428" t="s">
        <v>3209</v>
      </c>
      <c r="C428" t="s">
        <v>3210</v>
      </c>
      <c r="D428" t="s">
        <v>3444</v>
      </c>
      <c r="E428" s="1">
        <v>298.20999999999998</v>
      </c>
      <c r="F428" s="1">
        <v>278.06700000000001</v>
      </c>
      <c r="G428">
        <v>1</v>
      </c>
      <c r="H428">
        <v>25</v>
      </c>
      <c r="I428" t="s">
        <v>2240</v>
      </c>
      <c r="J428" t="s">
        <v>1694</v>
      </c>
      <c r="K428" s="39">
        <v>27.914162999999999</v>
      </c>
      <c r="L428" s="1">
        <v>2.2177449999999999</v>
      </c>
      <c r="M428" s="58" t="s">
        <v>4896</v>
      </c>
      <c r="N428" s="1">
        <v>701.79</v>
      </c>
      <c r="O428" s="1">
        <f>ABS(Table4[[#This Row],[EndMP]]-Table4[[#This Row],[StartMP]])</f>
        <v>20.142999999999972</v>
      </c>
      <c r="P428" s="1" t="str">
        <f>IF( AND( Table4[[#This Row],[Route]]=ClosureLocation!$B$3, ClosureLocation!$B$6 &gt;= Table4[[#This Row],[StartMP]], ClosureLocation!$B$6 &lt;= Table4[[#This Row],[EndMP]]), "Yes", "")</f>
        <v/>
      </c>
      <c r="Q428" s="1" t="str">
        <f>IF( AND( Table4[[#This Row],[Route]]=ClosureLocation!$B$3, ClosureLocation!$B$6 &lt;= Table4[[#This Row],[StartMP]], ClosureLocation!$B$6 &gt;= Table4[[#This Row],[EndMP]]), "Yes", "")</f>
        <v/>
      </c>
      <c r="R428" s="1" t="str">
        <f>IF( OR( Table4[[#This Row],[PrimaryMatch]]="Yes", Table4[[#This Row],[SecondaryMatch]]="Yes"), "Yes", "")</f>
        <v/>
      </c>
    </row>
    <row r="429" spans="1:18" hidden="1" x14ac:dyDescent="0.25">
      <c r="A429" t="s">
        <v>745</v>
      </c>
      <c r="B429" t="s">
        <v>3205</v>
      </c>
      <c r="C429" t="s">
        <v>3222</v>
      </c>
      <c r="D429" t="s">
        <v>3726</v>
      </c>
      <c r="E429" s="1">
        <v>28.693000000000001</v>
      </c>
      <c r="F429" s="1">
        <v>36.622</v>
      </c>
      <c r="G429">
        <v>1</v>
      </c>
      <c r="H429">
        <v>1</v>
      </c>
      <c r="I429" t="s">
        <v>2532</v>
      </c>
      <c r="J429" t="s">
        <v>1693</v>
      </c>
      <c r="K429" s="39">
        <v>27.276596000000001</v>
      </c>
      <c r="L429" s="1">
        <v>20.681725</v>
      </c>
      <c r="M429" s="1" t="s">
        <v>3727</v>
      </c>
      <c r="N429" s="1">
        <v>28.693000000000001</v>
      </c>
      <c r="O429" s="1">
        <f>ABS(Table4[[#This Row],[EndMP]]-Table4[[#This Row],[StartMP]])</f>
        <v>7.9289999999999985</v>
      </c>
      <c r="P429" s="1" t="str">
        <f>IF( AND( Table4[[#This Row],[Route]]=ClosureLocation!$B$3, ClosureLocation!$B$6 &gt;= Table4[[#This Row],[StartMP]], ClosureLocation!$B$6 &lt;= Table4[[#This Row],[EndMP]]), "Yes", "")</f>
        <v/>
      </c>
      <c r="Q429" s="1" t="str">
        <f>IF( AND( Table4[[#This Row],[Route]]=ClosureLocation!$B$3, ClosureLocation!$B$6 &lt;= Table4[[#This Row],[StartMP]], ClosureLocation!$B$6 &gt;= Table4[[#This Row],[EndMP]]), "Yes", "")</f>
        <v/>
      </c>
      <c r="R429" s="1" t="str">
        <f>IF( OR( Table4[[#This Row],[PrimaryMatch]]="Yes", Table4[[#This Row],[SecondaryMatch]]="Yes"), "Yes", "")</f>
        <v/>
      </c>
    </row>
    <row r="430" spans="1:18" hidden="1" x14ac:dyDescent="0.25">
      <c r="A430" t="s">
        <v>1308</v>
      </c>
      <c r="B430" t="s">
        <v>3205</v>
      </c>
      <c r="C430" t="s">
        <v>3206</v>
      </c>
      <c r="D430" t="s">
        <v>4145</v>
      </c>
      <c r="E430" s="1">
        <v>0</v>
      </c>
      <c r="F430" s="1">
        <v>33.661000000000001</v>
      </c>
      <c r="G430">
        <v>1</v>
      </c>
      <c r="H430">
        <v>1</v>
      </c>
      <c r="I430" t="s">
        <v>2973</v>
      </c>
      <c r="J430" t="s">
        <v>1695</v>
      </c>
      <c r="K430" s="39">
        <v>27.201559</v>
      </c>
      <c r="L430" s="1">
        <v>36.655906000000002</v>
      </c>
      <c r="M430" s="58" t="s">
        <v>4146</v>
      </c>
      <c r="N430" s="1">
        <v>0</v>
      </c>
      <c r="O430" s="1">
        <f>ABS(Table4[[#This Row],[EndMP]]-Table4[[#This Row],[StartMP]])</f>
        <v>33.661000000000001</v>
      </c>
      <c r="P430" s="1" t="str">
        <f>IF( AND( Table4[[#This Row],[Route]]=ClosureLocation!$B$3, ClosureLocation!$B$6 &gt;= Table4[[#This Row],[StartMP]], ClosureLocation!$B$6 &lt;= Table4[[#This Row],[EndMP]]), "Yes", "")</f>
        <v/>
      </c>
      <c r="Q430" s="1" t="str">
        <f>IF( AND( Table4[[#This Row],[Route]]=ClosureLocation!$B$3, ClosureLocation!$B$6 &lt;= Table4[[#This Row],[StartMP]], ClosureLocation!$B$6 &gt;= Table4[[#This Row],[EndMP]]), "Yes", "")</f>
        <v/>
      </c>
      <c r="R430" s="1" t="str">
        <f>IF( OR( Table4[[#This Row],[PrimaryMatch]]="Yes", Table4[[#This Row],[SecondaryMatch]]="Yes"), "Yes", "")</f>
        <v/>
      </c>
    </row>
    <row r="431" spans="1:18" hidden="1" x14ac:dyDescent="0.25">
      <c r="A431" t="s">
        <v>1308</v>
      </c>
      <c r="B431" t="s">
        <v>3209</v>
      </c>
      <c r="C431" t="s">
        <v>3210</v>
      </c>
      <c r="D431" t="s">
        <v>4147</v>
      </c>
      <c r="E431" s="1">
        <v>33.661000000000001</v>
      </c>
      <c r="F431" s="1">
        <v>0</v>
      </c>
      <c r="G431">
        <v>1</v>
      </c>
      <c r="H431">
        <v>2</v>
      </c>
      <c r="I431" t="s">
        <v>2974</v>
      </c>
      <c r="J431" t="s">
        <v>1695</v>
      </c>
      <c r="K431" s="39">
        <v>27.200175999999999</v>
      </c>
      <c r="L431" s="1">
        <v>36.661628999999998</v>
      </c>
      <c r="M431" s="58" t="s">
        <v>4148</v>
      </c>
      <c r="N431" s="1">
        <v>966.33900000000006</v>
      </c>
      <c r="O431" s="1">
        <f>ABS(Table4[[#This Row],[EndMP]]-Table4[[#This Row],[StartMP]])</f>
        <v>33.661000000000001</v>
      </c>
      <c r="P431" s="1" t="str">
        <f>IF( AND( Table4[[#This Row],[Route]]=ClosureLocation!$B$3, ClosureLocation!$B$6 &gt;= Table4[[#This Row],[StartMP]], ClosureLocation!$B$6 &lt;= Table4[[#This Row],[EndMP]]), "Yes", "")</f>
        <v/>
      </c>
      <c r="Q431" s="1" t="str">
        <f>IF( AND( Table4[[#This Row],[Route]]=ClosureLocation!$B$3, ClosureLocation!$B$6 &lt;= Table4[[#This Row],[StartMP]], ClosureLocation!$B$6 &gt;= Table4[[#This Row],[EndMP]]), "Yes", "")</f>
        <v/>
      </c>
      <c r="R431" s="1" t="str">
        <f>IF( OR( Table4[[#This Row],[PrimaryMatch]]="Yes", Table4[[#This Row],[SecondaryMatch]]="Yes"), "Yes", "")</f>
        <v/>
      </c>
    </row>
    <row r="432" spans="1:18" hidden="1" x14ac:dyDescent="0.25">
      <c r="A432" t="s">
        <v>1158</v>
      </c>
      <c r="B432" t="s">
        <v>3209</v>
      </c>
      <c r="C432" t="s">
        <v>3210</v>
      </c>
      <c r="D432" t="s">
        <v>4021</v>
      </c>
      <c r="E432" s="1">
        <v>41.892000000000003</v>
      </c>
      <c r="F432" s="1">
        <v>25.754000000000001</v>
      </c>
      <c r="G432">
        <v>1</v>
      </c>
      <c r="H432">
        <v>2</v>
      </c>
      <c r="I432" t="s">
        <v>2881</v>
      </c>
      <c r="J432" t="s">
        <v>1724</v>
      </c>
      <c r="K432" s="39">
        <v>27.095072999999999</v>
      </c>
      <c r="L432" s="1">
        <v>17.033740999999999</v>
      </c>
      <c r="M432" s="1" t="s">
        <v>4022</v>
      </c>
      <c r="N432" s="1">
        <v>958.10799999999995</v>
      </c>
      <c r="O432" s="1">
        <f>ABS(Table4[[#This Row],[EndMP]]-Table4[[#This Row],[StartMP]])</f>
        <v>16.138000000000002</v>
      </c>
      <c r="P432" s="1" t="str">
        <f>IF( AND( Table4[[#This Row],[Route]]=ClosureLocation!$B$3, ClosureLocation!$B$6 &gt;= Table4[[#This Row],[StartMP]], ClosureLocation!$B$6 &lt;= Table4[[#This Row],[EndMP]]), "Yes", "")</f>
        <v/>
      </c>
      <c r="Q432" s="1" t="str">
        <f>IF( AND( Table4[[#This Row],[Route]]=ClosureLocation!$B$3, ClosureLocation!$B$6 &lt;= Table4[[#This Row],[StartMP]], ClosureLocation!$B$6 &gt;= Table4[[#This Row],[EndMP]]), "Yes", "")</f>
        <v/>
      </c>
      <c r="R432" s="1" t="str">
        <f>IF( OR( Table4[[#This Row],[PrimaryMatch]]="Yes", Table4[[#This Row],[SecondaryMatch]]="Yes"), "Yes", "")</f>
        <v/>
      </c>
    </row>
    <row r="433" spans="1:18" hidden="1" x14ac:dyDescent="0.25">
      <c r="A433" t="s">
        <v>1158</v>
      </c>
      <c r="B433" t="s">
        <v>3205</v>
      </c>
      <c r="C433" t="s">
        <v>3206</v>
      </c>
      <c r="D433" t="s">
        <v>4018</v>
      </c>
      <c r="E433" s="1">
        <v>25.754000000000001</v>
      </c>
      <c r="F433" s="1">
        <v>41.892000000000003</v>
      </c>
      <c r="G433">
        <v>3</v>
      </c>
      <c r="H433">
        <v>1</v>
      </c>
      <c r="I433" t="s">
        <v>2880</v>
      </c>
      <c r="J433" t="s">
        <v>1724</v>
      </c>
      <c r="K433" s="39">
        <v>27.029727999999999</v>
      </c>
      <c r="L433" s="1">
        <v>17.033740999999999</v>
      </c>
      <c r="M433" s="1" t="s">
        <v>4020</v>
      </c>
      <c r="N433" s="1">
        <v>25.754000000000001</v>
      </c>
      <c r="O433" s="1">
        <f>ABS(Table4[[#This Row],[EndMP]]-Table4[[#This Row],[StartMP]])</f>
        <v>16.138000000000002</v>
      </c>
      <c r="P433" s="1" t="str">
        <f>IF( AND( Table4[[#This Row],[Route]]=ClosureLocation!$B$3, ClosureLocation!$B$6 &gt;= Table4[[#This Row],[StartMP]], ClosureLocation!$B$6 &lt;= Table4[[#This Row],[EndMP]]), "Yes", "")</f>
        <v/>
      </c>
      <c r="Q433" s="1" t="str">
        <f>IF( AND( Table4[[#This Row],[Route]]=ClosureLocation!$B$3, ClosureLocation!$B$6 &lt;= Table4[[#This Row],[StartMP]], ClosureLocation!$B$6 &gt;= Table4[[#This Row],[EndMP]]), "Yes", "")</f>
        <v/>
      </c>
      <c r="R433" s="1" t="str">
        <f>IF( OR( Table4[[#This Row],[PrimaryMatch]]="Yes", Table4[[#This Row],[SecondaryMatch]]="Yes"), "Yes", "")</f>
        <v/>
      </c>
    </row>
    <row r="434" spans="1:18" hidden="1" x14ac:dyDescent="0.25">
      <c r="A434" t="s">
        <v>745</v>
      </c>
      <c r="B434" t="s">
        <v>3209</v>
      </c>
      <c r="C434" t="s">
        <v>3226</v>
      </c>
      <c r="D434" t="s">
        <v>3731</v>
      </c>
      <c r="E434" s="1">
        <v>36.622</v>
      </c>
      <c r="F434" s="1">
        <v>28.693000000000001</v>
      </c>
      <c r="G434">
        <v>4</v>
      </c>
      <c r="H434">
        <v>8</v>
      </c>
      <c r="I434" t="s">
        <v>2539</v>
      </c>
      <c r="J434" t="s">
        <v>1693</v>
      </c>
      <c r="K434" s="39">
        <v>26.806736999999998</v>
      </c>
      <c r="L434" s="1">
        <v>20.650929000000001</v>
      </c>
      <c r="M434" s="1" t="s">
        <v>3735</v>
      </c>
      <c r="N434" s="1">
        <v>963.37800000000004</v>
      </c>
      <c r="O434" s="1">
        <f>ABS(Table4[[#This Row],[EndMP]]-Table4[[#This Row],[StartMP]])</f>
        <v>7.9289999999999985</v>
      </c>
      <c r="P434" s="1" t="str">
        <f>IF( AND( Table4[[#This Row],[Route]]=ClosureLocation!$B$3, ClosureLocation!$B$6 &gt;= Table4[[#This Row],[StartMP]], ClosureLocation!$B$6 &lt;= Table4[[#This Row],[EndMP]]), "Yes", "")</f>
        <v/>
      </c>
      <c r="Q434" s="1" t="str">
        <f>IF( AND( Table4[[#This Row],[Route]]=ClosureLocation!$B$3, ClosureLocation!$B$6 &lt;= Table4[[#This Row],[StartMP]], ClosureLocation!$B$6 &gt;= Table4[[#This Row],[EndMP]]), "Yes", "")</f>
        <v/>
      </c>
      <c r="R434" s="1" t="str">
        <f>IF( OR( Table4[[#This Row],[PrimaryMatch]]="Yes", Table4[[#This Row],[SecondaryMatch]]="Yes"), "Yes", "")</f>
        <v/>
      </c>
    </row>
    <row r="435" spans="1:18" hidden="1" x14ac:dyDescent="0.25">
      <c r="A435" t="s">
        <v>602</v>
      </c>
      <c r="B435" t="s">
        <v>3209</v>
      </c>
      <c r="C435" t="s">
        <v>3226</v>
      </c>
      <c r="D435" t="s">
        <v>3626</v>
      </c>
      <c r="E435" s="1">
        <v>217.23</v>
      </c>
      <c r="F435" s="1">
        <v>216.77</v>
      </c>
      <c r="G435">
        <v>8</v>
      </c>
      <c r="H435">
        <v>5</v>
      </c>
      <c r="I435" t="s">
        <v>2433</v>
      </c>
      <c r="J435" t="s">
        <v>1700</v>
      </c>
      <c r="K435" s="39">
        <v>26.679192</v>
      </c>
      <c r="L435" s="1">
        <v>20.417197999999999</v>
      </c>
      <c r="M435" s="1" t="s">
        <v>3632</v>
      </c>
      <c r="N435" s="1">
        <v>782.77</v>
      </c>
      <c r="O435" s="1">
        <f>ABS(Table4[[#This Row],[EndMP]]-Table4[[#This Row],[StartMP]])</f>
        <v>0.45999999999997954</v>
      </c>
      <c r="P435" s="1" t="str">
        <f>IF( AND( Table4[[#This Row],[Route]]=ClosureLocation!$B$3, ClosureLocation!$B$6 &gt;= Table4[[#This Row],[StartMP]], ClosureLocation!$B$6 &lt;= Table4[[#This Row],[EndMP]]), "Yes", "")</f>
        <v/>
      </c>
      <c r="Q435" s="1" t="str">
        <f>IF( AND( Table4[[#This Row],[Route]]=ClosureLocation!$B$3, ClosureLocation!$B$6 &lt;= Table4[[#This Row],[StartMP]], ClosureLocation!$B$6 &gt;= Table4[[#This Row],[EndMP]]), "Yes", "")</f>
        <v/>
      </c>
      <c r="R435" s="1" t="str">
        <f>IF( OR( Table4[[#This Row],[PrimaryMatch]]="Yes", Table4[[#This Row],[SecondaryMatch]]="Yes"), "Yes", "")</f>
        <v/>
      </c>
    </row>
    <row r="436" spans="1:18" hidden="1" x14ac:dyDescent="0.25">
      <c r="A436" t="s">
        <v>602</v>
      </c>
      <c r="B436" t="s">
        <v>3205</v>
      </c>
      <c r="C436" t="s">
        <v>3222</v>
      </c>
      <c r="D436" t="s">
        <v>3612</v>
      </c>
      <c r="E436" s="1">
        <v>216.77</v>
      </c>
      <c r="F436" s="1">
        <v>217.23</v>
      </c>
      <c r="G436">
        <v>11</v>
      </c>
      <c r="H436">
        <v>4</v>
      </c>
      <c r="I436" t="s">
        <v>2418</v>
      </c>
      <c r="J436" t="s">
        <v>1700</v>
      </c>
      <c r="K436" s="39">
        <v>26.679093999999999</v>
      </c>
      <c r="L436" s="1">
        <v>20.417197999999999</v>
      </c>
      <c r="M436" s="1" t="s">
        <v>3620</v>
      </c>
      <c r="N436" s="1">
        <v>216.77</v>
      </c>
      <c r="O436" s="1">
        <f>ABS(Table4[[#This Row],[EndMP]]-Table4[[#This Row],[StartMP]])</f>
        <v>0.45999999999997954</v>
      </c>
      <c r="P436" s="1" t="str">
        <f>IF( AND( Table4[[#This Row],[Route]]=ClosureLocation!$B$3, ClosureLocation!$B$6 &gt;= Table4[[#This Row],[StartMP]], ClosureLocation!$B$6 &lt;= Table4[[#This Row],[EndMP]]), "Yes", "")</f>
        <v/>
      </c>
      <c r="Q436" s="1" t="str">
        <f>IF( AND( Table4[[#This Row],[Route]]=ClosureLocation!$B$3, ClosureLocation!$B$6 &lt;= Table4[[#This Row],[StartMP]], ClosureLocation!$B$6 &gt;= Table4[[#This Row],[EndMP]]), "Yes", "")</f>
        <v/>
      </c>
      <c r="R436" s="1" t="str">
        <f>IF( OR( Table4[[#This Row],[PrimaryMatch]]="Yes", Table4[[#This Row],[SecondaryMatch]]="Yes"), "Yes", "")</f>
        <v/>
      </c>
    </row>
    <row r="437" spans="1:18" hidden="1" x14ac:dyDescent="0.25">
      <c r="A437" t="s">
        <v>1129</v>
      </c>
      <c r="B437" t="s">
        <v>3205</v>
      </c>
      <c r="C437" t="s">
        <v>3222</v>
      </c>
      <c r="D437" t="s">
        <v>3999</v>
      </c>
      <c r="E437" s="1">
        <v>13.138</v>
      </c>
      <c r="F437" s="1">
        <v>27.802</v>
      </c>
      <c r="G437">
        <v>2</v>
      </c>
      <c r="H437">
        <v>2</v>
      </c>
      <c r="I437" t="s">
        <v>2865</v>
      </c>
      <c r="J437" t="s">
        <v>1689</v>
      </c>
      <c r="K437" s="39">
        <v>26.621075000000001</v>
      </c>
      <c r="L437" s="1">
        <v>23.175996000000001</v>
      </c>
      <c r="M437" s="1" t="s">
        <v>4001</v>
      </c>
      <c r="N437" s="1">
        <v>13.138</v>
      </c>
      <c r="O437" s="1">
        <f>ABS(Table4[[#This Row],[EndMP]]-Table4[[#This Row],[StartMP]])</f>
        <v>14.664</v>
      </c>
      <c r="P437" s="1" t="str">
        <f>IF( AND( Table4[[#This Row],[Route]]=ClosureLocation!$B$3, ClosureLocation!$B$6 &gt;= Table4[[#This Row],[StartMP]], ClosureLocation!$B$6 &lt;= Table4[[#This Row],[EndMP]]), "Yes", "")</f>
        <v/>
      </c>
      <c r="Q437" s="1" t="str">
        <f>IF( AND( Table4[[#This Row],[Route]]=ClosureLocation!$B$3, ClosureLocation!$B$6 &lt;= Table4[[#This Row],[StartMP]], ClosureLocation!$B$6 &gt;= Table4[[#This Row],[EndMP]]), "Yes", "")</f>
        <v/>
      </c>
      <c r="R437" s="1" t="str">
        <f>IF( OR( Table4[[#This Row],[PrimaryMatch]]="Yes", Table4[[#This Row],[SecondaryMatch]]="Yes"), "Yes", "")</f>
        <v/>
      </c>
    </row>
    <row r="438" spans="1:18" hidden="1" x14ac:dyDescent="0.25">
      <c r="A438" t="s">
        <v>1471</v>
      </c>
      <c r="B438" t="s">
        <v>3209</v>
      </c>
      <c r="C438" t="s">
        <v>3210</v>
      </c>
      <c r="D438" t="s">
        <v>4237</v>
      </c>
      <c r="E438" s="1">
        <v>31.257000000000001</v>
      </c>
      <c r="F438" s="1">
        <v>26.829000000000001</v>
      </c>
      <c r="G438">
        <v>3</v>
      </c>
      <c r="H438">
        <v>9</v>
      </c>
      <c r="I438" t="s">
        <v>3056</v>
      </c>
      <c r="J438" t="s">
        <v>1695</v>
      </c>
      <c r="K438" s="39">
        <v>26.510634</v>
      </c>
      <c r="L438" s="1">
        <v>15.764075</v>
      </c>
      <c r="M438" s="1" t="s">
        <v>5022</v>
      </c>
      <c r="N438" s="1">
        <v>968.74300000000005</v>
      </c>
      <c r="O438" s="1">
        <f>ABS(Table4[[#This Row],[EndMP]]-Table4[[#This Row],[StartMP]])</f>
        <v>4.4280000000000008</v>
      </c>
      <c r="P438" s="1" t="str">
        <f>IF( AND( Table4[[#This Row],[Route]]=ClosureLocation!$B$3, ClosureLocation!$B$6 &gt;= Table4[[#This Row],[StartMP]], ClosureLocation!$B$6 &lt;= Table4[[#This Row],[EndMP]]), "Yes", "")</f>
        <v/>
      </c>
      <c r="Q438" s="1" t="str">
        <f>IF( AND( Table4[[#This Row],[Route]]=ClosureLocation!$B$3, ClosureLocation!$B$6 &lt;= Table4[[#This Row],[StartMP]], ClosureLocation!$B$6 &gt;= Table4[[#This Row],[EndMP]]), "Yes", "")</f>
        <v/>
      </c>
      <c r="R438" s="1" t="str">
        <f>IF( OR( Table4[[#This Row],[PrimaryMatch]]="Yes", Table4[[#This Row],[SecondaryMatch]]="Yes"), "Yes", "")</f>
        <v/>
      </c>
    </row>
    <row r="439" spans="1:18" hidden="1" x14ac:dyDescent="0.25">
      <c r="A439" t="s">
        <v>1471</v>
      </c>
      <c r="B439" t="s">
        <v>3205</v>
      </c>
      <c r="C439" t="s">
        <v>3206</v>
      </c>
      <c r="D439" t="s">
        <v>4236</v>
      </c>
      <c r="E439" s="1">
        <v>26.829000000000001</v>
      </c>
      <c r="F439" s="1">
        <v>31.257000000000001</v>
      </c>
      <c r="G439">
        <v>4</v>
      </c>
      <c r="H439">
        <v>4</v>
      </c>
      <c r="I439" t="s">
        <v>3051</v>
      </c>
      <c r="J439" t="s">
        <v>1695</v>
      </c>
      <c r="K439" s="39">
        <v>26.509291000000001</v>
      </c>
      <c r="L439" s="1">
        <v>15.764075</v>
      </c>
      <c r="M439" s="1" t="s">
        <v>5017</v>
      </c>
      <c r="N439" s="1">
        <v>26.829000000000001</v>
      </c>
      <c r="O439" s="1">
        <f>ABS(Table4[[#This Row],[EndMP]]-Table4[[#This Row],[StartMP]])</f>
        <v>4.4280000000000008</v>
      </c>
      <c r="P439" s="1" t="str">
        <f>IF( AND( Table4[[#This Row],[Route]]=ClosureLocation!$B$3, ClosureLocation!$B$6 &gt;= Table4[[#This Row],[StartMP]], ClosureLocation!$B$6 &lt;= Table4[[#This Row],[EndMP]]), "Yes", "")</f>
        <v/>
      </c>
      <c r="Q439" s="1" t="str">
        <f>IF( AND( Table4[[#This Row],[Route]]=ClosureLocation!$B$3, ClosureLocation!$B$6 &lt;= Table4[[#This Row],[StartMP]], ClosureLocation!$B$6 &gt;= Table4[[#This Row],[EndMP]]), "Yes", "")</f>
        <v/>
      </c>
      <c r="R439" s="1" t="str">
        <f>IF( OR( Table4[[#This Row],[PrimaryMatch]]="Yes", Table4[[#This Row],[SecondaryMatch]]="Yes"), "Yes", "")</f>
        <v/>
      </c>
    </row>
    <row r="440" spans="1:18" hidden="1" x14ac:dyDescent="0.25">
      <c r="A440" t="s">
        <v>1129</v>
      </c>
      <c r="B440" t="s">
        <v>3209</v>
      </c>
      <c r="C440" t="s">
        <v>3226</v>
      </c>
      <c r="D440" t="s">
        <v>4002</v>
      </c>
      <c r="E440" s="1">
        <v>27.802</v>
      </c>
      <c r="F440" s="1">
        <v>13.138</v>
      </c>
      <c r="G440">
        <v>1</v>
      </c>
      <c r="H440">
        <v>3</v>
      </c>
      <c r="I440" t="s">
        <v>2866</v>
      </c>
      <c r="J440" t="s">
        <v>1689</v>
      </c>
      <c r="K440" s="39">
        <v>26.468444999999999</v>
      </c>
      <c r="L440" s="1">
        <v>23.084790000000002</v>
      </c>
      <c r="M440" s="1" t="s">
        <v>4003</v>
      </c>
      <c r="N440" s="1">
        <v>972.19799999999998</v>
      </c>
      <c r="O440" s="1">
        <f>ABS(Table4[[#This Row],[EndMP]]-Table4[[#This Row],[StartMP]])</f>
        <v>14.664</v>
      </c>
      <c r="P440" s="1" t="str">
        <f>IF( AND( Table4[[#This Row],[Route]]=ClosureLocation!$B$3, ClosureLocation!$B$6 &gt;= Table4[[#This Row],[StartMP]], ClosureLocation!$B$6 &lt;= Table4[[#This Row],[EndMP]]), "Yes", "")</f>
        <v/>
      </c>
      <c r="Q440" s="1" t="str">
        <f>IF( AND( Table4[[#This Row],[Route]]=ClosureLocation!$B$3, ClosureLocation!$B$6 &lt;= Table4[[#This Row],[StartMP]], ClosureLocation!$B$6 &gt;= Table4[[#This Row],[EndMP]]), "Yes", "")</f>
        <v/>
      </c>
      <c r="R440" s="1" t="str">
        <f>IF( OR( Table4[[#This Row],[PrimaryMatch]]="Yes", Table4[[#This Row],[SecondaryMatch]]="Yes"), "Yes", "")</f>
        <v/>
      </c>
    </row>
    <row r="441" spans="1:18" hidden="1" x14ac:dyDescent="0.25">
      <c r="A441" t="s">
        <v>981</v>
      </c>
      <c r="B441" t="s">
        <v>3205</v>
      </c>
      <c r="C441" t="s">
        <v>3206</v>
      </c>
      <c r="D441" t="s">
        <v>3873</v>
      </c>
      <c r="E441" s="1">
        <v>184.88</v>
      </c>
      <c r="F441" s="1">
        <v>190.08500000000001</v>
      </c>
      <c r="G441">
        <v>1</v>
      </c>
      <c r="H441">
        <v>1</v>
      </c>
      <c r="I441" t="s">
        <v>2769</v>
      </c>
      <c r="J441" t="s">
        <v>1704</v>
      </c>
      <c r="K441" s="39">
        <v>26.379377000000002</v>
      </c>
      <c r="L441" s="1">
        <v>23.973748000000001</v>
      </c>
      <c r="M441" s="1" t="s">
        <v>3874</v>
      </c>
      <c r="N441" s="1">
        <v>184.88</v>
      </c>
      <c r="O441" s="1">
        <f>ABS(Table4[[#This Row],[EndMP]]-Table4[[#This Row],[StartMP]])</f>
        <v>5.2050000000000125</v>
      </c>
      <c r="P441" s="1" t="str">
        <f>IF( AND( Table4[[#This Row],[Route]]=ClosureLocation!$B$3, ClosureLocation!$B$6 &gt;= Table4[[#This Row],[StartMP]], ClosureLocation!$B$6 &lt;= Table4[[#This Row],[EndMP]]), "Yes", "")</f>
        <v/>
      </c>
      <c r="Q441" s="1" t="str">
        <f>IF( AND( Table4[[#This Row],[Route]]=ClosureLocation!$B$3, ClosureLocation!$B$6 &lt;= Table4[[#This Row],[StartMP]], ClosureLocation!$B$6 &gt;= Table4[[#This Row],[EndMP]]), "Yes", "")</f>
        <v/>
      </c>
      <c r="R441" s="1" t="str">
        <f>IF( OR( Table4[[#This Row],[PrimaryMatch]]="Yes", Table4[[#This Row],[SecondaryMatch]]="Yes"), "Yes", "")</f>
        <v/>
      </c>
    </row>
    <row r="442" spans="1:18" hidden="1" x14ac:dyDescent="0.25">
      <c r="A442" t="s">
        <v>50</v>
      </c>
      <c r="B442" t="s">
        <v>3209</v>
      </c>
      <c r="C442" t="s">
        <v>3226</v>
      </c>
      <c r="D442" t="s">
        <v>3233</v>
      </c>
      <c r="E442" s="1">
        <v>159.57300000000001</v>
      </c>
      <c r="F442" s="1">
        <v>159.184</v>
      </c>
      <c r="H442">
        <v>2</v>
      </c>
      <c r="I442" t="s">
        <v>2063</v>
      </c>
      <c r="J442" t="s">
        <v>1724</v>
      </c>
      <c r="K442" s="39">
        <v>26.274560000000001</v>
      </c>
      <c r="L442" s="1">
        <v>19.594922</v>
      </c>
      <c r="M442" s="1" t="s">
        <v>3237</v>
      </c>
      <c r="N442" s="1">
        <v>840.42700000000002</v>
      </c>
      <c r="O442" s="1">
        <f>ABS(Table4[[#This Row],[EndMP]]-Table4[[#This Row],[StartMP]])</f>
        <v>0.38900000000001</v>
      </c>
      <c r="P442" s="1" t="str">
        <f>IF( AND( Table4[[#This Row],[Route]]=ClosureLocation!$B$3, ClosureLocation!$B$6 &gt;= Table4[[#This Row],[StartMP]], ClosureLocation!$B$6 &lt;= Table4[[#This Row],[EndMP]]), "Yes", "")</f>
        <v/>
      </c>
      <c r="Q442" s="1" t="str">
        <f>IF( AND( Table4[[#This Row],[Route]]=ClosureLocation!$B$3, ClosureLocation!$B$6 &lt;= Table4[[#This Row],[StartMP]], ClosureLocation!$B$6 &gt;= Table4[[#This Row],[EndMP]]), "Yes", "")</f>
        <v/>
      </c>
      <c r="R442" s="1" t="str">
        <f>IF( OR( Table4[[#This Row],[PrimaryMatch]]="Yes", Table4[[#This Row],[SecondaryMatch]]="Yes"), "Yes", "")</f>
        <v/>
      </c>
    </row>
    <row r="443" spans="1:18" hidden="1" x14ac:dyDescent="0.25">
      <c r="A443" t="s">
        <v>50</v>
      </c>
      <c r="B443" t="s">
        <v>3205</v>
      </c>
      <c r="C443" t="s">
        <v>3222</v>
      </c>
      <c r="D443" t="s">
        <v>3230</v>
      </c>
      <c r="E443" s="1">
        <v>159.184</v>
      </c>
      <c r="F443" s="1">
        <v>159.57300000000001</v>
      </c>
      <c r="H443">
        <v>1</v>
      </c>
      <c r="I443" t="s">
        <v>2060</v>
      </c>
      <c r="J443" t="s">
        <v>1724</v>
      </c>
      <c r="K443" s="39">
        <v>26.192484</v>
      </c>
      <c r="L443" s="1">
        <v>19.562066000000002</v>
      </c>
      <c r="M443" s="1" t="s">
        <v>3231</v>
      </c>
      <c r="N443" s="1">
        <v>159.184</v>
      </c>
      <c r="O443" s="1">
        <f>ABS(Table4[[#This Row],[EndMP]]-Table4[[#This Row],[StartMP]])</f>
        <v>0.38900000000001</v>
      </c>
      <c r="P443" s="1" t="str">
        <f>IF( AND( Table4[[#This Row],[Route]]=ClosureLocation!$B$3, ClosureLocation!$B$6 &gt;= Table4[[#This Row],[StartMP]], ClosureLocation!$B$6 &lt;= Table4[[#This Row],[EndMP]]), "Yes", "")</f>
        <v/>
      </c>
      <c r="Q443" s="1" t="str">
        <f>IF( AND( Table4[[#This Row],[Route]]=ClosureLocation!$B$3, ClosureLocation!$B$6 &lt;= Table4[[#This Row],[StartMP]], ClosureLocation!$B$6 &gt;= Table4[[#This Row],[EndMP]]), "Yes", "")</f>
        <v/>
      </c>
      <c r="R443" s="1" t="str">
        <f>IF( OR( Table4[[#This Row],[PrimaryMatch]]="Yes", Table4[[#This Row],[SecondaryMatch]]="Yes"), "Yes", "")</f>
        <v/>
      </c>
    </row>
    <row r="444" spans="1:18" hidden="1" x14ac:dyDescent="0.25">
      <c r="A444" t="s">
        <v>849</v>
      </c>
      <c r="B444" t="s">
        <v>3209</v>
      </c>
      <c r="C444" t="s">
        <v>3210</v>
      </c>
      <c r="D444" t="s">
        <v>3767</v>
      </c>
      <c r="E444" s="1">
        <v>0.26400000000000001</v>
      </c>
      <c r="F444" s="1">
        <v>0</v>
      </c>
      <c r="G444">
        <v>1</v>
      </c>
      <c r="H444">
        <v>2</v>
      </c>
      <c r="I444" t="s">
        <v>2667</v>
      </c>
      <c r="J444" t="s">
        <v>1699</v>
      </c>
      <c r="K444" s="39">
        <v>26.126725</v>
      </c>
      <c r="L444" s="1">
        <v>19.840906</v>
      </c>
      <c r="M444" s="1" t="s">
        <v>3768</v>
      </c>
      <c r="N444" s="1">
        <v>999.73599999999999</v>
      </c>
      <c r="O444" s="1">
        <f>ABS(Table4[[#This Row],[EndMP]]-Table4[[#This Row],[StartMP]])</f>
        <v>0.26400000000000001</v>
      </c>
      <c r="P444" s="1" t="str">
        <f>IF( AND( Table4[[#This Row],[Route]]=ClosureLocation!$B$3, ClosureLocation!$B$6 &gt;= Table4[[#This Row],[StartMP]], ClosureLocation!$B$6 &lt;= Table4[[#This Row],[EndMP]]), "Yes", "")</f>
        <v/>
      </c>
      <c r="Q444" s="1" t="str">
        <f>IF( AND( Table4[[#This Row],[Route]]=ClosureLocation!$B$3, ClosureLocation!$B$6 &lt;= Table4[[#This Row],[StartMP]], ClosureLocation!$B$6 &gt;= Table4[[#This Row],[EndMP]]), "Yes", "")</f>
        <v/>
      </c>
      <c r="R444" s="1" t="str">
        <f>IF( OR( Table4[[#This Row],[PrimaryMatch]]="Yes", Table4[[#This Row],[SecondaryMatch]]="Yes"), "Yes", "")</f>
        <v/>
      </c>
    </row>
    <row r="445" spans="1:18" hidden="1" x14ac:dyDescent="0.25">
      <c r="A445" t="s">
        <v>849</v>
      </c>
      <c r="B445" t="s">
        <v>3205</v>
      </c>
      <c r="C445" t="s">
        <v>3206</v>
      </c>
      <c r="D445" t="s">
        <v>3765</v>
      </c>
      <c r="E445" s="1">
        <v>0</v>
      </c>
      <c r="F445" s="1">
        <v>0.26400000000000001</v>
      </c>
      <c r="G445">
        <v>1</v>
      </c>
      <c r="H445">
        <v>1</v>
      </c>
      <c r="I445" t="s">
        <v>2666</v>
      </c>
      <c r="J445" t="s">
        <v>1699</v>
      </c>
      <c r="K445" s="39">
        <v>25.907420999999999</v>
      </c>
      <c r="L445" s="1">
        <v>19.724698</v>
      </c>
      <c r="M445" s="1" t="s">
        <v>3766</v>
      </c>
      <c r="N445" s="1">
        <v>0</v>
      </c>
      <c r="O445" s="1">
        <f>ABS(Table4[[#This Row],[EndMP]]-Table4[[#This Row],[StartMP]])</f>
        <v>0.26400000000000001</v>
      </c>
      <c r="P445" s="1" t="str">
        <f>IF( AND( Table4[[#This Row],[Route]]=ClosureLocation!$B$3, ClosureLocation!$B$6 &gt;= Table4[[#This Row],[StartMP]], ClosureLocation!$B$6 &lt;= Table4[[#This Row],[EndMP]]), "Yes", "")</f>
        <v/>
      </c>
      <c r="Q445" s="1" t="str">
        <f>IF( AND( Table4[[#This Row],[Route]]=ClosureLocation!$B$3, ClosureLocation!$B$6 &lt;= Table4[[#This Row],[StartMP]], ClosureLocation!$B$6 &gt;= Table4[[#This Row],[EndMP]]), "Yes", "")</f>
        <v/>
      </c>
      <c r="R445" s="1" t="str">
        <f>IF( OR( Table4[[#This Row],[PrimaryMatch]]="Yes", Table4[[#This Row],[SecondaryMatch]]="Yes"), "Yes", "")</f>
        <v/>
      </c>
    </row>
    <row r="446" spans="1:18" hidden="1" x14ac:dyDescent="0.25">
      <c r="A446" t="s">
        <v>981</v>
      </c>
      <c r="B446" t="s">
        <v>3209</v>
      </c>
      <c r="C446" t="s">
        <v>3210</v>
      </c>
      <c r="D446" t="s">
        <v>3878</v>
      </c>
      <c r="E446" s="1">
        <v>190.08500000000001</v>
      </c>
      <c r="F446" s="1">
        <v>184.88</v>
      </c>
      <c r="G446">
        <v>5</v>
      </c>
      <c r="H446">
        <v>2</v>
      </c>
      <c r="I446" t="s">
        <v>2778</v>
      </c>
      <c r="J446" t="s">
        <v>1704</v>
      </c>
      <c r="K446" s="39">
        <v>25.723839000000002</v>
      </c>
      <c r="L446" s="1">
        <v>23.616461000000001</v>
      </c>
      <c r="M446" s="1" t="s">
        <v>3882</v>
      </c>
      <c r="N446" s="1">
        <v>809.91499999999996</v>
      </c>
      <c r="O446" s="1">
        <f>ABS(Table4[[#This Row],[EndMP]]-Table4[[#This Row],[StartMP]])</f>
        <v>5.2050000000000125</v>
      </c>
      <c r="P446" s="1" t="str">
        <f>IF( AND( Table4[[#This Row],[Route]]=ClosureLocation!$B$3, ClosureLocation!$B$6 &gt;= Table4[[#This Row],[StartMP]], ClosureLocation!$B$6 &lt;= Table4[[#This Row],[EndMP]]), "Yes", "")</f>
        <v/>
      </c>
      <c r="Q446" s="1" t="str">
        <f>IF( AND( Table4[[#This Row],[Route]]=ClosureLocation!$B$3, ClosureLocation!$B$6 &lt;= Table4[[#This Row],[StartMP]], ClosureLocation!$B$6 &gt;= Table4[[#This Row],[EndMP]]), "Yes", "")</f>
        <v/>
      </c>
      <c r="R446" s="1" t="str">
        <f>IF( OR( Table4[[#This Row],[PrimaryMatch]]="Yes", Table4[[#This Row],[SecondaryMatch]]="Yes"), "Yes", "")</f>
        <v/>
      </c>
    </row>
    <row r="447" spans="1:18" hidden="1" x14ac:dyDescent="0.25">
      <c r="A447" t="s">
        <v>454</v>
      </c>
      <c r="B447" t="s">
        <v>3209</v>
      </c>
      <c r="C447" t="s">
        <v>3226</v>
      </c>
      <c r="D447" t="s">
        <v>3532</v>
      </c>
      <c r="E447" s="1">
        <v>21.763999999999999</v>
      </c>
      <c r="F447" s="1">
        <v>0</v>
      </c>
      <c r="G447">
        <v>9</v>
      </c>
      <c r="H447">
        <v>5</v>
      </c>
      <c r="I447" t="s">
        <v>2329</v>
      </c>
      <c r="J447" t="s">
        <v>1701</v>
      </c>
      <c r="K447" s="39">
        <v>25.646554999999999</v>
      </c>
      <c r="L447" s="1">
        <v>26.187608000000001</v>
      </c>
      <c r="M447" s="1" t="s">
        <v>3538</v>
      </c>
      <c r="N447" s="1">
        <v>978.23599999999999</v>
      </c>
      <c r="O447" s="1">
        <f>ABS(Table4[[#This Row],[EndMP]]-Table4[[#This Row],[StartMP]])</f>
        <v>21.763999999999999</v>
      </c>
      <c r="P447" s="1" t="str">
        <f>IF( AND( Table4[[#This Row],[Route]]=ClosureLocation!$B$3, ClosureLocation!$B$6 &gt;= Table4[[#This Row],[StartMP]], ClosureLocation!$B$6 &lt;= Table4[[#This Row],[EndMP]]), "Yes", "")</f>
        <v/>
      </c>
      <c r="Q447" s="1" t="str">
        <f>IF( AND( Table4[[#This Row],[Route]]=ClosureLocation!$B$3, ClosureLocation!$B$6 &lt;= Table4[[#This Row],[StartMP]], ClosureLocation!$B$6 &gt;= Table4[[#This Row],[EndMP]]), "Yes", "")</f>
        <v/>
      </c>
      <c r="R447" s="1" t="str">
        <f>IF( OR( Table4[[#This Row],[PrimaryMatch]]="Yes", Table4[[#This Row],[SecondaryMatch]]="Yes"), "Yes", "")</f>
        <v/>
      </c>
    </row>
    <row r="448" spans="1:18" hidden="1" x14ac:dyDescent="0.25">
      <c r="A448" t="s">
        <v>966</v>
      </c>
      <c r="B448" t="s">
        <v>3209</v>
      </c>
      <c r="C448" t="s">
        <v>3210</v>
      </c>
      <c r="D448" t="s">
        <v>3866</v>
      </c>
      <c r="E448" s="1">
        <v>50.756</v>
      </c>
      <c r="F448" s="1">
        <v>20.545000000000002</v>
      </c>
      <c r="G448">
        <v>4</v>
      </c>
      <c r="H448">
        <v>6</v>
      </c>
      <c r="I448" t="s">
        <v>2766</v>
      </c>
      <c r="J448" t="s">
        <v>1700</v>
      </c>
      <c r="K448" s="39">
        <v>25.462937</v>
      </c>
      <c r="L448" s="1">
        <v>34.213166000000001</v>
      </c>
      <c r="M448" s="1" t="s">
        <v>3870</v>
      </c>
      <c r="N448" s="1">
        <v>949.24400000000003</v>
      </c>
      <c r="O448" s="1">
        <f>ABS(Table4[[#This Row],[EndMP]]-Table4[[#This Row],[StartMP]])</f>
        <v>30.210999999999999</v>
      </c>
      <c r="P448" s="1" t="str">
        <f>IF( AND( Table4[[#This Row],[Route]]=ClosureLocation!$B$3, ClosureLocation!$B$6 &gt;= Table4[[#This Row],[StartMP]], ClosureLocation!$B$6 &lt;= Table4[[#This Row],[EndMP]]), "Yes", "")</f>
        <v/>
      </c>
      <c r="Q448" s="1" t="str">
        <f>IF( AND( Table4[[#This Row],[Route]]=ClosureLocation!$B$3, ClosureLocation!$B$6 &lt;= Table4[[#This Row],[StartMP]], ClosureLocation!$B$6 &gt;= Table4[[#This Row],[EndMP]]), "Yes", "")</f>
        <v/>
      </c>
      <c r="R448" s="1" t="str">
        <f>IF( OR( Table4[[#This Row],[PrimaryMatch]]="Yes", Table4[[#This Row],[SecondaryMatch]]="Yes"), "Yes", "")</f>
        <v/>
      </c>
    </row>
    <row r="449" spans="1:18" hidden="1" x14ac:dyDescent="0.25">
      <c r="A449" t="s">
        <v>454</v>
      </c>
      <c r="B449" t="s">
        <v>3205</v>
      </c>
      <c r="C449" t="s">
        <v>3222</v>
      </c>
      <c r="D449" t="s">
        <v>3525</v>
      </c>
      <c r="E449" s="1">
        <v>0</v>
      </c>
      <c r="F449" s="1">
        <v>21.763999999999999</v>
      </c>
      <c r="G449">
        <v>1</v>
      </c>
      <c r="H449">
        <v>7</v>
      </c>
      <c r="I449" t="s">
        <v>2331</v>
      </c>
      <c r="J449" t="s">
        <v>1701</v>
      </c>
      <c r="K449" s="39">
        <v>24.935915000000001</v>
      </c>
      <c r="L449" s="1">
        <v>25.815628</v>
      </c>
      <c r="M449" s="1" t="s">
        <v>3526</v>
      </c>
      <c r="N449" s="1">
        <v>0</v>
      </c>
      <c r="O449" s="1">
        <f>ABS(Table4[[#This Row],[EndMP]]-Table4[[#This Row],[StartMP]])</f>
        <v>21.763999999999999</v>
      </c>
      <c r="P449" s="1" t="str">
        <f>IF( AND( Table4[[#This Row],[Route]]=ClosureLocation!$B$3, ClosureLocation!$B$6 &gt;= Table4[[#This Row],[StartMP]], ClosureLocation!$B$6 &lt;= Table4[[#This Row],[EndMP]]), "Yes", "")</f>
        <v/>
      </c>
      <c r="Q449" s="1" t="str">
        <f>IF( AND( Table4[[#This Row],[Route]]=ClosureLocation!$B$3, ClosureLocation!$B$6 &lt;= Table4[[#This Row],[StartMP]], ClosureLocation!$B$6 &gt;= Table4[[#This Row],[EndMP]]), "Yes", "")</f>
        <v/>
      </c>
      <c r="R449" s="1" t="str">
        <f>IF( OR( Table4[[#This Row],[PrimaryMatch]]="Yes", Table4[[#This Row],[SecondaryMatch]]="Yes"), "Yes", "")</f>
        <v/>
      </c>
    </row>
    <row r="450" spans="1:18" hidden="1" x14ac:dyDescent="0.25">
      <c r="A450" t="s">
        <v>966</v>
      </c>
      <c r="B450" t="s">
        <v>3205</v>
      </c>
      <c r="C450" t="s">
        <v>3206</v>
      </c>
      <c r="D450" t="s">
        <v>3861</v>
      </c>
      <c r="E450" s="1">
        <v>20.545000000000002</v>
      </c>
      <c r="F450" s="1">
        <v>50.756</v>
      </c>
      <c r="G450">
        <v>1</v>
      </c>
      <c r="H450">
        <v>1</v>
      </c>
      <c r="I450" t="s">
        <v>2759</v>
      </c>
      <c r="J450" t="s">
        <v>1700</v>
      </c>
      <c r="K450" s="39">
        <v>24.551392</v>
      </c>
      <c r="L450" s="1">
        <v>34.390844999999999</v>
      </c>
      <c r="M450" s="1" t="s">
        <v>3862</v>
      </c>
      <c r="N450" s="1">
        <v>20.545000000000002</v>
      </c>
      <c r="O450" s="1">
        <f>ABS(Table4[[#This Row],[EndMP]]-Table4[[#This Row],[StartMP]])</f>
        <v>30.210999999999999</v>
      </c>
      <c r="P450" s="1" t="str">
        <f>IF( AND( Table4[[#This Row],[Route]]=ClosureLocation!$B$3, ClosureLocation!$B$6 &gt;= Table4[[#This Row],[StartMP]], ClosureLocation!$B$6 &lt;= Table4[[#This Row],[EndMP]]), "Yes", "")</f>
        <v/>
      </c>
      <c r="Q450" s="1" t="str">
        <f>IF( AND( Table4[[#This Row],[Route]]=ClosureLocation!$B$3, ClosureLocation!$B$6 &lt;= Table4[[#This Row],[StartMP]], ClosureLocation!$B$6 &gt;= Table4[[#This Row],[EndMP]]), "Yes", "")</f>
        <v/>
      </c>
      <c r="R450" s="1" t="str">
        <f>IF( OR( Table4[[#This Row],[PrimaryMatch]]="Yes", Table4[[#This Row],[SecondaryMatch]]="Yes"), "Yes", "")</f>
        <v/>
      </c>
    </row>
    <row r="451" spans="1:18" hidden="1" x14ac:dyDescent="0.25">
      <c r="A451" t="s">
        <v>252</v>
      </c>
      <c r="B451" t="s">
        <v>3209</v>
      </c>
      <c r="C451" t="s">
        <v>3226</v>
      </c>
      <c r="D451" t="s">
        <v>3398</v>
      </c>
      <c r="E451" s="1">
        <v>212.70699999999999</v>
      </c>
      <c r="F451" s="1">
        <v>174.649</v>
      </c>
      <c r="G451">
        <v>5</v>
      </c>
      <c r="H451">
        <v>3</v>
      </c>
      <c r="I451" t="s">
        <v>2187</v>
      </c>
      <c r="J451" t="s">
        <v>1702</v>
      </c>
      <c r="K451" s="39">
        <v>24.451927999999999</v>
      </c>
      <c r="L451" s="1">
        <v>30.606275</v>
      </c>
      <c r="M451" s="1" t="s">
        <v>3401</v>
      </c>
      <c r="N451" s="1">
        <v>787.29300000000001</v>
      </c>
      <c r="O451" s="1">
        <f>ABS(Table4[[#This Row],[EndMP]]-Table4[[#This Row],[StartMP]])</f>
        <v>38.057999999999993</v>
      </c>
      <c r="P451" s="1" t="str">
        <f>IF( AND( Table4[[#This Row],[Route]]=ClosureLocation!$B$3, ClosureLocation!$B$6 &gt;= Table4[[#This Row],[StartMP]], ClosureLocation!$B$6 &lt;= Table4[[#This Row],[EndMP]]), "Yes", "")</f>
        <v/>
      </c>
      <c r="Q451" s="1" t="str">
        <f>IF( AND( Table4[[#This Row],[Route]]=ClosureLocation!$B$3, ClosureLocation!$B$6 &lt;= Table4[[#This Row],[StartMP]], ClosureLocation!$B$6 &gt;= Table4[[#This Row],[EndMP]]), "Yes", "")</f>
        <v/>
      </c>
      <c r="R451" s="1" t="str">
        <f>IF( OR( Table4[[#This Row],[PrimaryMatch]]="Yes", Table4[[#This Row],[SecondaryMatch]]="Yes"), "Yes", "")</f>
        <v/>
      </c>
    </row>
    <row r="452" spans="1:18" hidden="1" x14ac:dyDescent="0.25">
      <c r="A452" t="s">
        <v>454</v>
      </c>
      <c r="B452" t="s">
        <v>3209</v>
      </c>
      <c r="C452" t="s">
        <v>3226</v>
      </c>
      <c r="D452" t="s">
        <v>3532</v>
      </c>
      <c r="E452" s="1">
        <v>20.317</v>
      </c>
      <c r="F452" s="1">
        <v>0.39500000000000002</v>
      </c>
      <c r="G452">
        <v>10</v>
      </c>
      <c r="H452">
        <v>6</v>
      </c>
      <c r="I452" t="s">
        <v>2339</v>
      </c>
      <c r="J452" t="s">
        <v>1701</v>
      </c>
      <c r="K452" s="39">
        <v>24.350003999999998</v>
      </c>
      <c r="L452" s="1">
        <v>13.637419</v>
      </c>
      <c r="M452" s="1" t="s">
        <v>126</v>
      </c>
      <c r="N452" s="1">
        <v>979.68299999999999</v>
      </c>
      <c r="O452" s="1">
        <f>ABS(Table4[[#This Row],[EndMP]]-Table4[[#This Row],[StartMP]])</f>
        <v>19.922000000000001</v>
      </c>
      <c r="P452" s="1" t="str">
        <f>IF( AND( Table4[[#This Row],[Route]]=ClosureLocation!$B$3, ClosureLocation!$B$6 &gt;= Table4[[#This Row],[StartMP]], ClosureLocation!$B$6 &lt;= Table4[[#This Row],[EndMP]]), "Yes", "")</f>
        <v/>
      </c>
      <c r="Q452" s="1" t="str">
        <f>IF( AND( Table4[[#This Row],[Route]]=ClosureLocation!$B$3, ClosureLocation!$B$6 &lt;= Table4[[#This Row],[StartMP]], ClosureLocation!$B$6 &gt;= Table4[[#This Row],[EndMP]]), "Yes", "")</f>
        <v/>
      </c>
      <c r="R452" s="1" t="str">
        <f>IF( OR( Table4[[#This Row],[PrimaryMatch]]="Yes", Table4[[#This Row],[SecondaryMatch]]="Yes"), "Yes", "")</f>
        <v/>
      </c>
    </row>
    <row r="453" spans="1:18" hidden="1" x14ac:dyDescent="0.25">
      <c r="A453" t="s">
        <v>252</v>
      </c>
      <c r="B453" t="s">
        <v>3205</v>
      </c>
      <c r="C453" t="s">
        <v>3222</v>
      </c>
      <c r="D453" t="s">
        <v>3393</v>
      </c>
      <c r="E453" s="1">
        <v>174.649</v>
      </c>
      <c r="F453" s="1">
        <v>212.70699999999999</v>
      </c>
      <c r="G453">
        <v>2</v>
      </c>
      <c r="H453">
        <v>2</v>
      </c>
      <c r="I453" t="s">
        <v>2178</v>
      </c>
      <c r="J453" t="s">
        <v>1702</v>
      </c>
      <c r="K453" s="39">
        <v>24.246317000000001</v>
      </c>
      <c r="L453" s="1">
        <v>30.169233999999999</v>
      </c>
      <c r="M453" s="1" t="s">
        <v>3395</v>
      </c>
      <c r="N453" s="1">
        <v>174.649</v>
      </c>
      <c r="O453" s="1">
        <f>ABS(Table4[[#This Row],[EndMP]]-Table4[[#This Row],[StartMP]])</f>
        <v>38.057999999999993</v>
      </c>
      <c r="P453" s="1" t="str">
        <f>IF( AND( Table4[[#This Row],[Route]]=ClosureLocation!$B$3, ClosureLocation!$B$6 &gt;= Table4[[#This Row],[StartMP]], ClosureLocation!$B$6 &lt;= Table4[[#This Row],[EndMP]]), "Yes", "")</f>
        <v/>
      </c>
      <c r="Q453" s="1" t="str">
        <f>IF( AND( Table4[[#This Row],[Route]]=ClosureLocation!$B$3, ClosureLocation!$B$6 &lt;= Table4[[#This Row],[StartMP]], ClosureLocation!$B$6 &gt;= Table4[[#This Row],[EndMP]]), "Yes", "")</f>
        <v/>
      </c>
      <c r="R453" s="1" t="str">
        <f>IF( OR( Table4[[#This Row],[PrimaryMatch]]="Yes", Table4[[#This Row],[SecondaryMatch]]="Yes"), "Yes", "")</f>
        <v/>
      </c>
    </row>
    <row r="454" spans="1:18" hidden="1" x14ac:dyDescent="0.25">
      <c r="A454" t="s">
        <v>170</v>
      </c>
      <c r="B454" t="s">
        <v>3209</v>
      </c>
      <c r="C454" t="s">
        <v>3226</v>
      </c>
      <c r="D454" t="s">
        <v>3319</v>
      </c>
      <c r="E454" s="1">
        <v>62.371000000000002</v>
      </c>
      <c r="F454" s="1">
        <v>6.4000000000000001E-2</v>
      </c>
      <c r="G454">
        <v>3</v>
      </c>
      <c r="H454">
        <v>6</v>
      </c>
      <c r="I454" t="s">
        <v>2132</v>
      </c>
      <c r="J454" t="s">
        <v>1696</v>
      </c>
      <c r="K454" s="39">
        <v>24.084782000000001</v>
      </c>
      <c r="L454" s="1">
        <v>41.318902999999999</v>
      </c>
      <c r="M454" s="1" t="s">
        <v>3322</v>
      </c>
      <c r="N454" s="1">
        <v>937.62900000000002</v>
      </c>
      <c r="O454" s="1">
        <f>ABS(Table4[[#This Row],[EndMP]]-Table4[[#This Row],[StartMP]])</f>
        <v>62.307000000000002</v>
      </c>
      <c r="P454" s="1" t="str">
        <f>IF( AND( Table4[[#This Row],[Route]]=ClosureLocation!$B$3, ClosureLocation!$B$6 &gt;= Table4[[#This Row],[StartMP]], ClosureLocation!$B$6 &lt;= Table4[[#This Row],[EndMP]]), "Yes", "")</f>
        <v/>
      </c>
      <c r="Q454" s="1" t="str">
        <f>IF( AND( Table4[[#This Row],[Route]]=ClosureLocation!$B$3, ClosureLocation!$B$6 &lt;= Table4[[#This Row],[StartMP]], ClosureLocation!$B$6 &gt;= Table4[[#This Row],[EndMP]]), "Yes", "")</f>
        <v/>
      </c>
      <c r="R454" s="1" t="str">
        <f>IF( OR( Table4[[#This Row],[PrimaryMatch]]="Yes", Table4[[#This Row],[SecondaryMatch]]="Yes"), "Yes", "")</f>
        <v/>
      </c>
    </row>
    <row r="455" spans="1:18" hidden="1" x14ac:dyDescent="0.25">
      <c r="A455" t="s">
        <v>428</v>
      </c>
      <c r="B455" t="s">
        <v>3205</v>
      </c>
      <c r="C455" t="s">
        <v>3222</v>
      </c>
      <c r="D455" t="s">
        <v>3499</v>
      </c>
      <c r="E455" s="1">
        <v>1.306</v>
      </c>
      <c r="F455" s="1">
        <v>1.69</v>
      </c>
      <c r="G455">
        <v>1</v>
      </c>
      <c r="H455">
        <v>1</v>
      </c>
      <c r="I455" t="s">
        <v>2312</v>
      </c>
      <c r="J455" t="s">
        <v>1690</v>
      </c>
      <c r="K455" s="39">
        <v>24.007504000000001</v>
      </c>
      <c r="L455" s="1">
        <v>15.281465000000001</v>
      </c>
      <c r="M455" s="1" t="s">
        <v>3500</v>
      </c>
      <c r="N455" s="1">
        <v>1.306</v>
      </c>
      <c r="O455" s="1">
        <f>ABS(Table4[[#This Row],[EndMP]]-Table4[[#This Row],[StartMP]])</f>
        <v>0.3839999999999999</v>
      </c>
      <c r="P455" s="1" t="str">
        <f>IF( AND( Table4[[#This Row],[Route]]=ClosureLocation!$B$3, ClosureLocation!$B$6 &gt;= Table4[[#This Row],[StartMP]], ClosureLocation!$B$6 &lt;= Table4[[#This Row],[EndMP]]), "Yes", "")</f>
        <v/>
      </c>
      <c r="Q455" s="1" t="str">
        <f>IF( AND( Table4[[#This Row],[Route]]=ClosureLocation!$B$3, ClosureLocation!$B$6 &lt;= Table4[[#This Row],[StartMP]], ClosureLocation!$B$6 &gt;= Table4[[#This Row],[EndMP]]), "Yes", "")</f>
        <v/>
      </c>
      <c r="R455" s="1" t="str">
        <f>IF( OR( Table4[[#This Row],[PrimaryMatch]]="Yes", Table4[[#This Row],[SecondaryMatch]]="Yes"), "Yes", "")</f>
        <v/>
      </c>
    </row>
    <row r="456" spans="1:18" hidden="1" x14ac:dyDescent="0.25">
      <c r="A456" t="s">
        <v>428</v>
      </c>
      <c r="B456" t="s">
        <v>3209</v>
      </c>
      <c r="C456" t="s">
        <v>3226</v>
      </c>
      <c r="D456" t="s">
        <v>3501</v>
      </c>
      <c r="E456" s="1">
        <v>1.69</v>
      </c>
      <c r="F456" s="1">
        <v>1.306</v>
      </c>
      <c r="G456">
        <v>1</v>
      </c>
      <c r="H456">
        <v>2</v>
      </c>
      <c r="I456" t="s">
        <v>2313</v>
      </c>
      <c r="J456" t="s">
        <v>1690</v>
      </c>
      <c r="K456" s="39">
        <v>23.984541</v>
      </c>
      <c r="L456" s="1">
        <v>15.281465000000001</v>
      </c>
      <c r="M456" s="1" t="s">
        <v>3502</v>
      </c>
      <c r="N456" s="1">
        <v>998.31</v>
      </c>
      <c r="O456" s="1">
        <f>ABS(Table4[[#This Row],[EndMP]]-Table4[[#This Row],[StartMP]])</f>
        <v>0.3839999999999999</v>
      </c>
      <c r="P456" s="1" t="str">
        <f>IF( AND( Table4[[#This Row],[Route]]=ClosureLocation!$B$3, ClosureLocation!$B$6 &gt;= Table4[[#This Row],[StartMP]], ClosureLocation!$B$6 &lt;= Table4[[#This Row],[EndMP]]), "Yes", "")</f>
        <v/>
      </c>
      <c r="Q456" s="1" t="str">
        <f>IF( AND( Table4[[#This Row],[Route]]=ClosureLocation!$B$3, ClosureLocation!$B$6 &lt;= Table4[[#This Row],[StartMP]], ClosureLocation!$B$6 &gt;= Table4[[#This Row],[EndMP]]), "Yes", "")</f>
        <v/>
      </c>
      <c r="R456" s="1" t="str">
        <f>IF( OR( Table4[[#This Row],[PrimaryMatch]]="Yes", Table4[[#This Row],[SecondaryMatch]]="Yes"), "Yes", "")</f>
        <v/>
      </c>
    </row>
    <row r="457" spans="1:18" hidden="1" x14ac:dyDescent="0.25">
      <c r="A457" t="s">
        <v>917</v>
      </c>
      <c r="B457" t="s">
        <v>3205</v>
      </c>
      <c r="C457" t="s">
        <v>3222</v>
      </c>
      <c r="D457" t="s">
        <v>3837</v>
      </c>
      <c r="E457" s="1">
        <v>149.05600000000001</v>
      </c>
      <c r="F457" s="1">
        <v>164.697</v>
      </c>
      <c r="G457">
        <v>20</v>
      </c>
      <c r="H457">
        <v>20</v>
      </c>
      <c r="I457" t="s">
        <v>2723</v>
      </c>
      <c r="J457" t="s">
        <v>1694</v>
      </c>
      <c r="K457" s="39">
        <v>23.894413</v>
      </c>
      <c r="L457" s="1">
        <v>4.6875419999999997</v>
      </c>
      <c r="M457" s="1" t="s">
        <v>4973</v>
      </c>
      <c r="N457" s="1">
        <v>149.05600000000001</v>
      </c>
      <c r="O457" s="1">
        <f>ABS(Table4[[#This Row],[EndMP]]-Table4[[#This Row],[StartMP]])</f>
        <v>15.640999999999991</v>
      </c>
      <c r="P457" s="1" t="str">
        <f>IF( AND( Table4[[#This Row],[Route]]=ClosureLocation!$B$3, ClosureLocation!$B$6 &gt;= Table4[[#This Row],[StartMP]], ClosureLocation!$B$6 &lt;= Table4[[#This Row],[EndMP]]), "Yes", "")</f>
        <v/>
      </c>
      <c r="Q457" s="1" t="str">
        <f>IF( AND( Table4[[#This Row],[Route]]=ClosureLocation!$B$3, ClosureLocation!$B$6 &lt;= Table4[[#This Row],[StartMP]], ClosureLocation!$B$6 &gt;= Table4[[#This Row],[EndMP]]), "Yes", "")</f>
        <v/>
      </c>
      <c r="R457" s="1" t="str">
        <f>IF( OR( Table4[[#This Row],[PrimaryMatch]]="Yes", Table4[[#This Row],[SecondaryMatch]]="Yes"), "Yes", "")</f>
        <v/>
      </c>
    </row>
    <row r="458" spans="1:18" hidden="1" x14ac:dyDescent="0.25">
      <c r="A458" t="s">
        <v>93</v>
      </c>
      <c r="B458" t="s">
        <v>3209</v>
      </c>
      <c r="C458" t="s">
        <v>3226</v>
      </c>
      <c r="D458" t="s">
        <v>3267</v>
      </c>
      <c r="E458" s="1">
        <v>467.28399999999999</v>
      </c>
      <c r="F458" s="1">
        <v>406.67</v>
      </c>
      <c r="G458">
        <v>1</v>
      </c>
      <c r="H458">
        <v>3</v>
      </c>
      <c r="I458" t="s">
        <v>2092</v>
      </c>
      <c r="J458" t="s">
        <v>1705</v>
      </c>
      <c r="K458" s="39">
        <v>23.626204000000001</v>
      </c>
      <c r="L458" s="1">
        <v>46.385277000000002</v>
      </c>
      <c r="M458" s="58" t="s">
        <v>3268</v>
      </c>
      <c r="N458" s="1">
        <v>532.71600000000001</v>
      </c>
      <c r="O458" s="1">
        <f>ABS(Table4[[#This Row],[EndMP]]-Table4[[#This Row],[StartMP]])</f>
        <v>60.613999999999976</v>
      </c>
      <c r="P458" s="1" t="str">
        <f>IF( AND( Table4[[#This Row],[Route]]=ClosureLocation!$B$3, ClosureLocation!$B$6 &gt;= Table4[[#This Row],[StartMP]], ClosureLocation!$B$6 &lt;= Table4[[#This Row],[EndMP]]), "Yes", "")</f>
        <v/>
      </c>
      <c r="Q458" s="1" t="str">
        <f>IF( AND( Table4[[#This Row],[Route]]=ClosureLocation!$B$3, ClosureLocation!$B$6 &lt;= Table4[[#This Row],[StartMP]], ClosureLocation!$B$6 &gt;= Table4[[#This Row],[EndMP]]), "Yes", "")</f>
        <v/>
      </c>
      <c r="R458" s="1" t="str">
        <f>IF( OR( Table4[[#This Row],[PrimaryMatch]]="Yes", Table4[[#This Row],[SecondaryMatch]]="Yes"), "Yes", "")</f>
        <v/>
      </c>
    </row>
    <row r="459" spans="1:18" hidden="1" x14ac:dyDescent="0.25">
      <c r="A459" t="s">
        <v>170</v>
      </c>
      <c r="B459" t="s">
        <v>3205</v>
      </c>
      <c r="C459" t="s">
        <v>3222</v>
      </c>
      <c r="D459" t="s">
        <v>3315</v>
      </c>
      <c r="E459" s="1">
        <v>6.4000000000000001E-2</v>
      </c>
      <c r="F459" s="1">
        <v>62.371000000000002</v>
      </c>
      <c r="G459">
        <v>1</v>
      </c>
      <c r="H459">
        <v>1</v>
      </c>
      <c r="I459" t="s">
        <v>2127</v>
      </c>
      <c r="J459" t="s">
        <v>1696</v>
      </c>
      <c r="K459" s="39">
        <v>23.621535000000002</v>
      </c>
      <c r="L459" s="1">
        <v>40.989154999999997</v>
      </c>
      <c r="M459" s="1" t="s">
        <v>3316</v>
      </c>
      <c r="N459" s="1">
        <v>6.4000000000000001E-2</v>
      </c>
      <c r="O459" s="1">
        <f>ABS(Table4[[#This Row],[EndMP]]-Table4[[#This Row],[StartMP]])</f>
        <v>62.307000000000002</v>
      </c>
      <c r="P459" s="1" t="str">
        <f>IF( AND( Table4[[#This Row],[Route]]=ClosureLocation!$B$3, ClosureLocation!$B$6 &gt;= Table4[[#This Row],[StartMP]], ClosureLocation!$B$6 &lt;= Table4[[#This Row],[EndMP]]), "Yes", "")</f>
        <v/>
      </c>
      <c r="Q459" s="1" t="str">
        <f>IF( AND( Table4[[#This Row],[Route]]=ClosureLocation!$B$3, ClosureLocation!$B$6 &lt;= Table4[[#This Row],[StartMP]], ClosureLocation!$B$6 &gt;= Table4[[#This Row],[EndMP]]), "Yes", "")</f>
        <v/>
      </c>
      <c r="R459" s="1" t="str">
        <f>IF( OR( Table4[[#This Row],[PrimaryMatch]]="Yes", Table4[[#This Row],[SecondaryMatch]]="Yes"), "Yes", "")</f>
        <v/>
      </c>
    </row>
    <row r="460" spans="1:18" hidden="1" x14ac:dyDescent="0.25">
      <c r="A460" t="s">
        <v>310</v>
      </c>
      <c r="B460" t="s">
        <v>3205</v>
      </c>
      <c r="C460" t="s">
        <v>3206</v>
      </c>
      <c r="D460" t="s">
        <v>3427</v>
      </c>
      <c r="E460" s="1">
        <v>250.40700000000001</v>
      </c>
      <c r="F460" s="1">
        <v>252.08799999999999</v>
      </c>
      <c r="G460">
        <v>27</v>
      </c>
      <c r="H460">
        <v>8</v>
      </c>
      <c r="I460" t="s">
        <v>2233</v>
      </c>
      <c r="J460" t="s">
        <v>1701</v>
      </c>
      <c r="K460" s="39">
        <v>23.498878000000001</v>
      </c>
      <c r="L460" s="1">
        <v>14.884142000000001</v>
      </c>
      <c r="M460" s="1" t="s">
        <v>3443</v>
      </c>
      <c r="N460" s="1">
        <v>250.40700000000001</v>
      </c>
      <c r="O460" s="1">
        <f>ABS(Table4[[#This Row],[EndMP]]-Table4[[#This Row],[StartMP]])</f>
        <v>1.6809999999999832</v>
      </c>
      <c r="P460" s="1" t="str">
        <f>IF( AND( Table4[[#This Row],[Route]]=ClosureLocation!$B$3, ClosureLocation!$B$6 &gt;= Table4[[#This Row],[StartMP]], ClosureLocation!$B$6 &lt;= Table4[[#This Row],[EndMP]]), "Yes", "")</f>
        <v/>
      </c>
      <c r="Q460" s="1" t="str">
        <f>IF( AND( Table4[[#This Row],[Route]]=ClosureLocation!$B$3, ClosureLocation!$B$6 &lt;= Table4[[#This Row],[StartMP]], ClosureLocation!$B$6 &gt;= Table4[[#This Row],[EndMP]]), "Yes", "")</f>
        <v/>
      </c>
      <c r="R460" s="1" t="str">
        <f>IF( OR( Table4[[#This Row],[PrimaryMatch]]="Yes", Table4[[#This Row],[SecondaryMatch]]="Yes"), "Yes", "")</f>
        <v/>
      </c>
    </row>
    <row r="461" spans="1:18" hidden="1" x14ac:dyDescent="0.25">
      <c r="A461" t="s">
        <v>1158</v>
      </c>
      <c r="B461" t="s">
        <v>3209</v>
      </c>
      <c r="C461" t="s">
        <v>3210</v>
      </c>
      <c r="D461" t="s">
        <v>4021</v>
      </c>
      <c r="E461" s="1">
        <v>22.748000000000001</v>
      </c>
      <c r="F461" s="1">
        <v>0</v>
      </c>
      <c r="G461">
        <v>3</v>
      </c>
      <c r="H461">
        <v>2</v>
      </c>
      <c r="I461" t="s">
        <v>2883</v>
      </c>
      <c r="J461" t="s">
        <v>1724</v>
      </c>
      <c r="K461" s="39">
        <v>23.489739</v>
      </c>
      <c r="L461" s="1">
        <v>15.707649</v>
      </c>
      <c r="M461" s="1" t="s">
        <v>4023</v>
      </c>
      <c r="N461" s="1">
        <v>977.25199999999995</v>
      </c>
      <c r="O461" s="1">
        <f>ABS(Table4[[#This Row],[EndMP]]-Table4[[#This Row],[StartMP]])</f>
        <v>22.748000000000001</v>
      </c>
      <c r="P461" s="1" t="str">
        <f>IF( AND( Table4[[#This Row],[Route]]=ClosureLocation!$B$3, ClosureLocation!$B$6 &gt;= Table4[[#This Row],[StartMP]], ClosureLocation!$B$6 &lt;= Table4[[#This Row],[EndMP]]), "Yes", "")</f>
        <v/>
      </c>
      <c r="Q461" s="1" t="str">
        <f>IF( AND( Table4[[#This Row],[Route]]=ClosureLocation!$B$3, ClosureLocation!$B$6 &lt;= Table4[[#This Row],[StartMP]], ClosureLocation!$B$6 &gt;= Table4[[#This Row],[EndMP]]), "Yes", "")</f>
        <v/>
      </c>
      <c r="R461" s="1" t="str">
        <f>IF( OR( Table4[[#This Row],[PrimaryMatch]]="Yes", Table4[[#This Row],[SecondaryMatch]]="Yes"), "Yes", "")</f>
        <v/>
      </c>
    </row>
    <row r="462" spans="1:18" hidden="1" x14ac:dyDescent="0.25">
      <c r="A462" t="s">
        <v>310</v>
      </c>
      <c r="B462" t="s">
        <v>3209</v>
      </c>
      <c r="C462" t="s">
        <v>3210</v>
      </c>
      <c r="D462" t="s">
        <v>3444</v>
      </c>
      <c r="E462" s="1">
        <v>252.08799999999999</v>
      </c>
      <c r="F462" s="1">
        <v>250.40700000000001</v>
      </c>
      <c r="G462">
        <v>7</v>
      </c>
      <c r="H462">
        <v>9</v>
      </c>
      <c r="I462" t="s">
        <v>2246</v>
      </c>
      <c r="J462" t="s">
        <v>1701</v>
      </c>
      <c r="K462" s="39">
        <v>23.436706000000001</v>
      </c>
      <c r="L462" s="1">
        <v>14.883899</v>
      </c>
      <c r="M462" s="1" t="s">
        <v>3445</v>
      </c>
      <c r="N462" s="1">
        <v>747.91200000000003</v>
      </c>
      <c r="O462" s="1">
        <f>ABS(Table4[[#This Row],[EndMP]]-Table4[[#This Row],[StartMP]])</f>
        <v>1.6809999999999832</v>
      </c>
      <c r="P462" s="1" t="str">
        <f>IF( AND( Table4[[#This Row],[Route]]=ClosureLocation!$B$3, ClosureLocation!$B$6 &gt;= Table4[[#This Row],[StartMP]], ClosureLocation!$B$6 &lt;= Table4[[#This Row],[EndMP]]), "Yes", "")</f>
        <v/>
      </c>
      <c r="Q462" s="1" t="str">
        <f>IF( AND( Table4[[#This Row],[Route]]=ClosureLocation!$B$3, ClosureLocation!$B$6 &lt;= Table4[[#This Row],[StartMP]], ClosureLocation!$B$6 &gt;= Table4[[#This Row],[EndMP]]), "Yes", "")</f>
        <v/>
      </c>
      <c r="R462" s="1" t="str">
        <f>IF( OR( Table4[[#This Row],[PrimaryMatch]]="Yes", Table4[[#This Row],[SecondaryMatch]]="Yes"), "Yes", "")</f>
        <v/>
      </c>
    </row>
    <row r="463" spans="1:18" hidden="1" x14ac:dyDescent="0.25">
      <c r="A463" t="s">
        <v>684</v>
      </c>
      <c r="B463" t="s">
        <v>3205</v>
      </c>
      <c r="C463" t="s">
        <v>3222</v>
      </c>
      <c r="D463" t="s">
        <v>3649</v>
      </c>
      <c r="E463" s="1">
        <v>29.321999999999999</v>
      </c>
      <c r="F463" s="1">
        <v>41.939</v>
      </c>
      <c r="G463">
        <v>4</v>
      </c>
      <c r="H463">
        <v>4</v>
      </c>
      <c r="I463" t="s">
        <v>2482</v>
      </c>
      <c r="J463" t="s">
        <v>1702</v>
      </c>
      <c r="K463" s="39">
        <v>23.317381000000001</v>
      </c>
      <c r="L463" s="1">
        <v>42.018711000000003</v>
      </c>
      <c r="M463" s="1" t="s">
        <v>3653</v>
      </c>
      <c r="N463" s="1">
        <v>29.321999999999999</v>
      </c>
      <c r="O463" s="1">
        <f>ABS(Table4[[#This Row],[EndMP]]-Table4[[#This Row],[StartMP]])</f>
        <v>12.617000000000001</v>
      </c>
      <c r="P463" s="1" t="str">
        <f>IF( AND( Table4[[#This Row],[Route]]=ClosureLocation!$B$3, ClosureLocation!$B$6 &gt;= Table4[[#This Row],[StartMP]], ClosureLocation!$B$6 &lt;= Table4[[#This Row],[EndMP]]), "Yes", "")</f>
        <v/>
      </c>
      <c r="Q463" s="1" t="str">
        <f>IF( AND( Table4[[#This Row],[Route]]=ClosureLocation!$B$3, ClosureLocation!$B$6 &lt;= Table4[[#This Row],[StartMP]], ClosureLocation!$B$6 &gt;= Table4[[#This Row],[EndMP]]), "Yes", "")</f>
        <v/>
      </c>
      <c r="R463" s="1" t="str">
        <f>IF( OR( Table4[[#This Row],[PrimaryMatch]]="Yes", Table4[[#This Row],[SecondaryMatch]]="Yes"), "Yes", "")</f>
        <v/>
      </c>
    </row>
    <row r="464" spans="1:18" hidden="1" x14ac:dyDescent="0.25">
      <c r="A464" t="s">
        <v>1117</v>
      </c>
      <c r="B464" t="s">
        <v>3205</v>
      </c>
      <c r="C464" t="s">
        <v>3206</v>
      </c>
      <c r="D464" t="s">
        <v>3989</v>
      </c>
      <c r="E464" s="1">
        <v>56.01</v>
      </c>
      <c r="F464" s="1">
        <v>63.255000000000003</v>
      </c>
      <c r="G464">
        <v>2</v>
      </c>
      <c r="H464">
        <v>2</v>
      </c>
      <c r="I464" t="s">
        <v>2859</v>
      </c>
      <c r="J464" t="s">
        <v>1689</v>
      </c>
      <c r="K464" s="39">
        <v>23.278337000000001</v>
      </c>
      <c r="L464" s="1">
        <v>16.053591999999998</v>
      </c>
      <c r="M464" s="1" t="s">
        <v>3991</v>
      </c>
      <c r="N464" s="1">
        <v>56.01</v>
      </c>
      <c r="O464" s="1">
        <f>ABS(Table4[[#This Row],[EndMP]]-Table4[[#This Row],[StartMP]])</f>
        <v>7.2450000000000045</v>
      </c>
      <c r="P464" s="1" t="str">
        <f>IF( AND( Table4[[#This Row],[Route]]=ClosureLocation!$B$3, ClosureLocation!$B$6 &gt;= Table4[[#This Row],[StartMP]], ClosureLocation!$B$6 &lt;= Table4[[#This Row],[EndMP]]), "Yes", "")</f>
        <v/>
      </c>
      <c r="Q464" s="1" t="str">
        <f>IF( AND( Table4[[#This Row],[Route]]=ClosureLocation!$B$3, ClosureLocation!$B$6 &lt;= Table4[[#This Row],[StartMP]], ClosureLocation!$B$6 &gt;= Table4[[#This Row],[EndMP]]), "Yes", "")</f>
        <v/>
      </c>
      <c r="R464" s="1" t="str">
        <f>IF( OR( Table4[[#This Row],[PrimaryMatch]]="Yes", Table4[[#This Row],[SecondaryMatch]]="Yes"), "Yes", "")</f>
        <v/>
      </c>
    </row>
    <row r="465" spans="1:18" hidden="1" x14ac:dyDescent="0.25">
      <c r="A465" t="s">
        <v>1158</v>
      </c>
      <c r="B465" t="s">
        <v>3205</v>
      </c>
      <c r="C465" t="s">
        <v>3206</v>
      </c>
      <c r="D465" t="s">
        <v>4018</v>
      </c>
      <c r="E465" s="1">
        <v>0</v>
      </c>
      <c r="F465" s="1">
        <v>22.748000000000001</v>
      </c>
      <c r="G465">
        <v>1</v>
      </c>
      <c r="H465">
        <v>1</v>
      </c>
      <c r="I465" t="s">
        <v>2878</v>
      </c>
      <c r="J465" t="s">
        <v>1724</v>
      </c>
      <c r="K465" s="39">
        <v>23.200762999999998</v>
      </c>
      <c r="L465" s="1">
        <v>15.707649</v>
      </c>
      <c r="M465" s="1" t="s">
        <v>4019</v>
      </c>
      <c r="N465" s="1">
        <v>0</v>
      </c>
      <c r="O465" s="1">
        <f>ABS(Table4[[#This Row],[EndMP]]-Table4[[#This Row],[StartMP]])</f>
        <v>22.748000000000001</v>
      </c>
      <c r="P465" s="1" t="str">
        <f>IF( AND( Table4[[#This Row],[Route]]=ClosureLocation!$B$3, ClosureLocation!$B$6 &gt;= Table4[[#This Row],[StartMP]], ClosureLocation!$B$6 &lt;= Table4[[#This Row],[EndMP]]), "Yes", "")</f>
        <v/>
      </c>
      <c r="Q465" s="1" t="str">
        <f>IF( AND( Table4[[#This Row],[Route]]=ClosureLocation!$B$3, ClosureLocation!$B$6 &lt;= Table4[[#This Row],[StartMP]], ClosureLocation!$B$6 &gt;= Table4[[#This Row],[EndMP]]), "Yes", "")</f>
        <v/>
      </c>
      <c r="R465" s="1" t="str">
        <f>IF( OR( Table4[[#This Row],[PrimaryMatch]]="Yes", Table4[[#This Row],[SecondaryMatch]]="Yes"), "Yes", "")</f>
        <v/>
      </c>
    </row>
    <row r="466" spans="1:18" hidden="1" x14ac:dyDescent="0.25">
      <c r="A466" t="s">
        <v>1117</v>
      </c>
      <c r="B466" t="s">
        <v>3209</v>
      </c>
      <c r="C466" t="s">
        <v>3210</v>
      </c>
      <c r="D466" t="s">
        <v>3992</v>
      </c>
      <c r="E466" s="1">
        <v>63.255000000000003</v>
      </c>
      <c r="F466" s="1">
        <v>56.01</v>
      </c>
      <c r="G466">
        <v>1</v>
      </c>
      <c r="H466">
        <v>3</v>
      </c>
      <c r="I466" t="s">
        <v>2860</v>
      </c>
      <c r="J466" t="s">
        <v>1689</v>
      </c>
      <c r="K466" s="39">
        <v>23.175402999999999</v>
      </c>
      <c r="L466" s="1">
        <v>16.100671999999999</v>
      </c>
      <c r="M466" s="1" t="s">
        <v>3993</v>
      </c>
      <c r="N466" s="1">
        <v>936.745</v>
      </c>
      <c r="O466" s="1">
        <f>ABS(Table4[[#This Row],[EndMP]]-Table4[[#This Row],[StartMP]])</f>
        <v>7.2450000000000045</v>
      </c>
      <c r="P466" s="1" t="str">
        <f>IF( AND( Table4[[#This Row],[Route]]=ClosureLocation!$B$3, ClosureLocation!$B$6 &gt;= Table4[[#This Row],[StartMP]], ClosureLocation!$B$6 &lt;= Table4[[#This Row],[EndMP]]), "Yes", "")</f>
        <v/>
      </c>
      <c r="Q466" s="1" t="str">
        <f>IF( AND( Table4[[#This Row],[Route]]=ClosureLocation!$B$3, ClosureLocation!$B$6 &lt;= Table4[[#This Row],[StartMP]], ClosureLocation!$B$6 &gt;= Table4[[#This Row],[EndMP]]), "Yes", "")</f>
        <v/>
      </c>
      <c r="R466" s="1" t="str">
        <f>IF( OR( Table4[[#This Row],[PrimaryMatch]]="Yes", Table4[[#This Row],[SecondaryMatch]]="Yes"), "Yes", "")</f>
        <v/>
      </c>
    </row>
    <row r="467" spans="1:18" hidden="1" x14ac:dyDescent="0.25">
      <c r="A467" t="s">
        <v>684</v>
      </c>
      <c r="B467" t="s">
        <v>3209</v>
      </c>
      <c r="C467" t="s">
        <v>3226</v>
      </c>
      <c r="D467" t="s">
        <v>3655</v>
      </c>
      <c r="E467" s="1">
        <v>41.939</v>
      </c>
      <c r="F467" s="1">
        <v>29.321999999999999</v>
      </c>
      <c r="G467">
        <v>2</v>
      </c>
      <c r="H467">
        <v>5</v>
      </c>
      <c r="I467" t="s">
        <v>2485</v>
      </c>
      <c r="J467" t="s">
        <v>1702</v>
      </c>
      <c r="K467" s="39">
        <v>22.914874999999999</v>
      </c>
      <c r="L467" s="1">
        <v>41.875315000000001</v>
      </c>
      <c r="M467" s="1" t="s">
        <v>3657</v>
      </c>
      <c r="N467" s="1">
        <v>958.06100000000004</v>
      </c>
      <c r="O467" s="1">
        <f>ABS(Table4[[#This Row],[EndMP]]-Table4[[#This Row],[StartMP]])</f>
        <v>12.617000000000001</v>
      </c>
      <c r="P467" s="1" t="str">
        <f>IF( AND( Table4[[#This Row],[Route]]=ClosureLocation!$B$3, ClosureLocation!$B$6 &gt;= Table4[[#This Row],[StartMP]], ClosureLocation!$B$6 &lt;= Table4[[#This Row],[EndMP]]), "Yes", "")</f>
        <v/>
      </c>
      <c r="Q467" s="1" t="str">
        <f>IF( AND( Table4[[#This Row],[Route]]=ClosureLocation!$B$3, ClosureLocation!$B$6 &lt;= Table4[[#This Row],[StartMP]], ClosureLocation!$B$6 &gt;= Table4[[#This Row],[EndMP]]), "Yes", "")</f>
        <v/>
      </c>
      <c r="R467" s="1" t="str">
        <f>IF( OR( Table4[[#This Row],[PrimaryMatch]]="Yes", Table4[[#This Row],[SecondaryMatch]]="Yes"), "Yes", "")</f>
        <v/>
      </c>
    </row>
    <row r="468" spans="1:18" hidden="1" x14ac:dyDescent="0.25">
      <c r="A468" t="s">
        <v>234</v>
      </c>
      <c r="B468" t="s">
        <v>3209</v>
      </c>
      <c r="C468" t="s">
        <v>3210</v>
      </c>
      <c r="D468" t="s">
        <v>3379</v>
      </c>
      <c r="E468" s="1">
        <v>118.864</v>
      </c>
      <c r="F468" s="1">
        <v>69.024000000000001</v>
      </c>
      <c r="G468">
        <v>1</v>
      </c>
      <c r="H468">
        <v>2</v>
      </c>
      <c r="I468" t="s">
        <v>2170</v>
      </c>
      <c r="J468" t="s">
        <v>1690</v>
      </c>
      <c r="K468" s="39">
        <v>22.839448000000001</v>
      </c>
      <c r="L468" s="1">
        <v>17.683325</v>
      </c>
      <c r="M468" s="1" t="s">
        <v>3380</v>
      </c>
      <c r="N468" s="1">
        <v>881.13599999999997</v>
      </c>
      <c r="O468" s="1">
        <f>ABS(Table4[[#This Row],[EndMP]]-Table4[[#This Row],[StartMP]])</f>
        <v>49.84</v>
      </c>
      <c r="P468" s="1" t="str">
        <f>IF( AND( Table4[[#This Row],[Route]]=ClosureLocation!$B$3, ClosureLocation!$B$6 &gt;= Table4[[#This Row],[StartMP]], ClosureLocation!$B$6 &lt;= Table4[[#This Row],[EndMP]]), "Yes", "")</f>
        <v/>
      </c>
      <c r="Q468" s="1" t="str">
        <f>IF( AND( Table4[[#This Row],[Route]]=ClosureLocation!$B$3, ClosureLocation!$B$6 &lt;= Table4[[#This Row],[StartMP]], ClosureLocation!$B$6 &gt;= Table4[[#This Row],[EndMP]]), "Yes", "")</f>
        <v/>
      </c>
      <c r="R468" s="1" t="str">
        <f>IF( OR( Table4[[#This Row],[PrimaryMatch]]="Yes", Table4[[#This Row],[SecondaryMatch]]="Yes"), "Yes", "")</f>
        <v/>
      </c>
    </row>
    <row r="469" spans="1:18" hidden="1" x14ac:dyDescent="0.25">
      <c r="A469" t="s">
        <v>234</v>
      </c>
      <c r="B469" t="s">
        <v>3205</v>
      </c>
      <c r="C469" t="s">
        <v>3206</v>
      </c>
      <c r="D469" t="s">
        <v>3377</v>
      </c>
      <c r="E469" s="1">
        <v>69.024000000000001</v>
      </c>
      <c r="F469" s="1">
        <v>118.864</v>
      </c>
      <c r="G469">
        <v>1</v>
      </c>
      <c r="H469">
        <v>1</v>
      </c>
      <c r="I469" t="s">
        <v>2169</v>
      </c>
      <c r="J469" t="s">
        <v>1690</v>
      </c>
      <c r="K469" s="39">
        <v>22.686945999999999</v>
      </c>
      <c r="L469" s="1">
        <v>17.592119</v>
      </c>
      <c r="M469" s="1" t="s">
        <v>3378</v>
      </c>
      <c r="N469" s="1">
        <v>69.024000000000001</v>
      </c>
      <c r="O469" s="1">
        <f>ABS(Table4[[#This Row],[EndMP]]-Table4[[#This Row],[StartMP]])</f>
        <v>49.84</v>
      </c>
      <c r="P469" s="1" t="str">
        <f>IF( AND( Table4[[#This Row],[Route]]=ClosureLocation!$B$3, ClosureLocation!$B$6 &gt;= Table4[[#This Row],[StartMP]], ClosureLocation!$B$6 &lt;= Table4[[#This Row],[EndMP]]), "Yes", "")</f>
        <v/>
      </c>
      <c r="Q469" s="1" t="str">
        <f>IF( AND( Table4[[#This Row],[Route]]=ClosureLocation!$B$3, ClosureLocation!$B$6 &lt;= Table4[[#This Row],[StartMP]], ClosureLocation!$B$6 &gt;= Table4[[#This Row],[EndMP]]), "Yes", "")</f>
        <v/>
      </c>
      <c r="R469" s="1" t="str">
        <f>IF( OR( Table4[[#This Row],[PrimaryMatch]]="Yes", Table4[[#This Row],[SecondaryMatch]]="Yes"), "Yes", "")</f>
        <v/>
      </c>
    </row>
    <row r="470" spans="1:18" hidden="1" x14ac:dyDescent="0.25">
      <c r="A470" t="s">
        <v>170</v>
      </c>
      <c r="B470" t="s">
        <v>3209</v>
      </c>
      <c r="C470" t="s">
        <v>3226</v>
      </c>
      <c r="D470" t="s">
        <v>3319</v>
      </c>
      <c r="E470" s="1">
        <v>62.88</v>
      </c>
      <c r="F470" s="1">
        <v>62.371000000000002</v>
      </c>
      <c r="G470">
        <v>2</v>
      </c>
      <c r="H470">
        <v>5</v>
      </c>
      <c r="I470" t="s">
        <v>2131</v>
      </c>
      <c r="J470" t="s">
        <v>1696</v>
      </c>
      <c r="K470" s="39">
        <v>22.497985</v>
      </c>
      <c r="L470" s="1">
        <v>13.725584</v>
      </c>
      <c r="M470" s="1" t="s">
        <v>3321</v>
      </c>
      <c r="N470" s="1">
        <v>937.12</v>
      </c>
      <c r="O470" s="1">
        <f>ABS(Table4[[#This Row],[EndMP]]-Table4[[#This Row],[StartMP]])</f>
        <v>0.50900000000000034</v>
      </c>
      <c r="P470" s="1" t="str">
        <f>IF( AND( Table4[[#This Row],[Route]]=ClosureLocation!$B$3, ClosureLocation!$B$6 &gt;= Table4[[#This Row],[StartMP]], ClosureLocation!$B$6 &lt;= Table4[[#This Row],[EndMP]]), "Yes", "")</f>
        <v/>
      </c>
      <c r="Q470" s="1" t="str">
        <f>IF( AND( Table4[[#This Row],[Route]]=ClosureLocation!$B$3, ClosureLocation!$B$6 &lt;= Table4[[#This Row],[StartMP]], ClosureLocation!$B$6 &gt;= Table4[[#This Row],[EndMP]]), "Yes", "")</f>
        <v/>
      </c>
      <c r="R470" s="1" t="str">
        <f>IF( OR( Table4[[#This Row],[PrimaryMatch]]="Yes", Table4[[#This Row],[SecondaryMatch]]="Yes"), "Yes", "")</f>
        <v/>
      </c>
    </row>
    <row r="471" spans="1:18" hidden="1" x14ac:dyDescent="0.25">
      <c r="A471" t="s">
        <v>170</v>
      </c>
      <c r="B471" t="s">
        <v>3205</v>
      </c>
      <c r="C471" t="s">
        <v>3222</v>
      </c>
      <c r="D471" t="s">
        <v>3315</v>
      </c>
      <c r="E471" s="1">
        <v>62.371000000000002</v>
      </c>
      <c r="F471" s="1">
        <v>62.88</v>
      </c>
      <c r="G471">
        <v>2</v>
      </c>
      <c r="H471">
        <v>2</v>
      </c>
      <c r="I471" t="s">
        <v>2128</v>
      </c>
      <c r="J471" t="s">
        <v>1696</v>
      </c>
      <c r="K471" s="39">
        <v>22.497705</v>
      </c>
      <c r="L471" s="1">
        <v>13.725584</v>
      </c>
      <c r="M471" s="1" t="s">
        <v>3317</v>
      </c>
      <c r="N471" s="1">
        <v>62.371000000000002</v>
      </c>
      <c r="O471" s="1">
        <f>ABS(Table4[[#This Row],[EndMP]]-Table4[[#This Row],[StartMP]])</f>
        <v>0.50900000000000034</v>
      </c>
      <c r="P471" s="1" t="str">
        <f>IF( AND( Table4[[#This Row],[Route]]=ClosureLocation!$B$3, ClosureLocation!$B$6 &gt;= Table4[[#This Row],[StartMP]], ClosureLocation!$B$6 &lt;= Table4[[#This Row],[EndMP]]), "Yes", "")</f>
        <v/>
      </c>
      <c r="Q471" s="1" t="str">
        <f>IF( AND( Table4[[#This Row],[Route]]=ClosureLocation!$B$3, ClosureLocation!$B$6 &lt;= Table4[[#This Row],[StartMP]], ClosureLocation!$B$6 &gt;= Table4[[#This Row],[EndMP]]), "Yes", "")</f>
        <v/>
      </c>
      <c r="R471" s="1" t="str">
        <f>IF( OR( Table4[[#This Row],[PrimaryMatch]]="Yes", Table4[[#This Row],[SecondaryMatch]]="Yes"), "Yes", "")</f>
        <v/>
      </c>
    </row>
    <row r="472" spans="1:18" hidden="1" x14ac:dyDescent="0.25">
      <c r="A472" t="s">
        <v>1508</v>
      </c>
      <c r="B472" t="s">
        <v>3209</v>
      </c>
      <c r="C472" t="s">
        <v>3210</v>
      </c>
      <c r="D472" t="s">
        <v>4281</v>
      </c>
      <c r="E472" s="1">
        <v>87.370999999999995</v>
      </c>
      <c r="F472" s="1">
        <v>85.811999999999998</v>
      </c>
      <c r="G472">
        <v>3</v>
      </c>
      <c r="H472">
        <v>6</v>
      </c>
      <c r="I472" t="s">
        <v>3096</v>
      </c>
      <c r="J472" t="s">
        <v>1691</v>
      </c>
      <c r="K472" s="39">
        <v>22.183729</v>
      </c>
      <c r="L472" s="1">
        <v>14.111359999999999</v>
      </c>
      <c r="M472" s="1" t="s">
        <v>4284</v>
      </c>
      <c r="N472" s="1">
        <v>912.62900000000002</v>
      </c>
      <c r="O472" s="1">
        <f>ABS(Table4[[#This Row],[EndMP]]-Table4[[#This Row],[StartMP]])</f>
        <v>1.5589999999999975</v>
      </c>
      <c r="P472" s="1" t="str">
        <f>IF( AND( Table4[[#This Row],[Route]]=ClosureLocation!$B$3, ClosureLocation!$B$6 &gt;= Table4[[#This Row],[StartMP]], ClosureLocation!$B$6 &lt;= Table4[[#This Row],[EndMP]]), "Yes", "")</f>
        <v/>
      </c>
      <c r="Q472" s="1" t="str">
        <f>IF( AND( Table4[[#This Row],[Route]]=ClosureLocation!$B$3, ClosureLocation!$B$6 &lt;= Table4[[#This Row],[StartMP]], ClosureLocation!$B$6 &gt;= Table4[[#This Row],[EndMP]]), "Yes", "")</f>
        <v/>
      </c>
      <c r="R472" s="1" t="str">
        <f>IF( OR( Table4[[#This Row],[PrimaryMatch]]="Yes", Table4[[#This Row],[SecondaryMatch]]="Yes"), "Yes", "")</f>
        <v/>
      </c>
    </row>
    <row r="473" spans="1:18" hidden="1" x14ac:dyDescent="0.25">
      <c r="A473" t="s">
        <v>1508</v>
      </c>
      <c r="B473" t="s">
        <v>3205</v>
      </c>
      <c r="C473" t="s">
        <v>3206</v>
      </c>
      <c r="D473" t="s">
        <v>4277</v>
      </c>
      <c r="E473" s="1">
        <v>85.811999999999998</v>
      </c>
      <c r="F473" s="1">
        <v>87.370999999999995</v>
      </c>
      <c r="G473">
        <v>1</v>
      </c>
      <c r="H473">
        <v>1</v>
      </c>
      <c r="I473" t="s">
        <v>3091</v>
      </c>
      <c r="J473" t="s">
        <v>1691</v>
      </c>
      <c r="K473" s="39">
        <v>21.845804000000001</v>
      </c>
      <c r="L473" s="1">
        <v>14.318623000000001</v>
      </c>
      <c r="M473" s="1" t="s">
        <v>4278</v>
      </c>
      <c r="N473" s="1">
        <v>85.811999999999998</v>
      </c>
      <c r="O473" s="1">
        <f>ABS(Table4[[#This Row],[EndMP]]-Table4[[#This Row],[StartMP]])</f>
        <v>1.5589999999999975</v>
      </c>
      <c r="P473" s="1" t="str">
        <f>IF( AND( Table4[[#This Row],[Route]]=ClosureLocation!$B$3, ClosureLocation!$B$6 &gt;= Table4[[#This Row],[StartMP]], ClosureLocation!$B$6 &lt;= Table4[[#This Row],[EndMP]]), "Yes", "")</f>
        <v/>
      </c>
      <c r="Q473" s="1" t="str">
        <f>IF( AND( Table4[[#This Row],[Route]]=ClosureLocation!$B$3, ClosureLocation!$B$6 &lt;= Table4[[#This Row],[StartMP]], ClosureLocation!$B$6 &gt;= Table4[[#This Row],[EndMP]]), "Yes", "")</f>
        <v/>
      </c>
      <c r="R473" s="1" t="str">
        <f>IF( OR( Table4[[#This Row],[PrimaryMatch]]="Yes", Table4[[#This Row],[SecondaryMatch]]="Yes"), "Yes", "")</f>
        <v/>
      </c>
    </row>
    <row r="474" spans="1:18" hidden="1" x14ac:dyDescent="0.25">
      <c r="A474" t="s">
        <v>776</v>
      </c>
      <c r="B474" t="s">
        <v>3209</v>
      </c>
      <c r="C474" t="s">
        <v>3226</v>
      </c>
      <c r="D474" t="s">
        <v>3749</v>
      </c>
      <c r="E474" s="1">
        <v>216.358</v>
      </c>
      <c r="F474" s="1">
        <v>205.73599999999999</v>
      </c>
      <c r="G474">
        <v>32</v>
      </c>
      <c r="H474">
        <v>85</v>
      </c>
      <c r="I474" t="s">
        <v>2631</v>
      </c>
      <c r="J474" t="s">
        <v>1694</v>
      </c>
      <c r="K474" s="39">
        <v>21.783172</v>
      </c>
      <c r="L474" s="1">
        <v>9.7151359999999993</v>
      </c>
      <c r="M474" s="1" t="s">
        <v>4524</v>
      </c>
      <c r="N474" s="1">
        <v>783.64200000000005</v>
      </c>
      <c r="O474" s="1">
        <f>ABS(Table4[[#This Row],[EndMP]]-Table4[[#This Row],[StartMP]])</f>
        <v>10.622000000000014</v>
      </c>
      <c r="P474" s="1" t="str">
        <f>IF( AND( Table4[[#This Row],[Route]]=ClosureLocation!$B$3, ClosureLocation!$B$6 &gt;= Table4[[#This Row],[StartMP]], ClosureLocation!$B$6 &lt;= Table4[[#This Row],[EndMP]]), "Yes", "")</f>
        <v/>
      </c>
      <c r="Q474" s="1" t="str">
        <f>IF( AND( Table4[[#This Row],[Route]]=ClosureLocation!$B$3, ClosureLocation!$B$6 &lt;= Table4[[#This Row],[StartMP]], ClosureLocation!$B$6 &gt;= Table4[[#This Row],[EndMP]]), "Yes", "")</f>
        <v/>
      </c>
      <c r="R474" s="1" t="str">
        <f>IF( OR( Table4[[#This Row],[PrimaryMatch]]="Yes", Table4[[#This Row],[SecondaryMatch]]="Yes"), "Yes", "")</f>
        <v/>
      </c>
    </row>
    <row r="475" spans="1:18" hidden="1" x14ac:dyDescent="0.25">
      <c r="A475" t="s">
        <v>917</v>
      </c>
      <c r="B475" t="s">
        <v>3209</v>
      </c>
      <c r="C475" t="s">
        <v>3226</v>
      </c>
      <c r="D475" t="s">
        <v>3840</v>
      </c>
      <c r="E475" s="1">
        <v>164.697</v>
      </c>
      <c r="F475" s="1">
        <v>149.05600000000001</v>
      </c>
      <c r="G475">
        <v>3</v>
      </c>
      <c r="H475">
        <v>25</v>
      </c>
      <c r="I475" t="s">
        <v>2728</v>
      </c>
      <c r="J475" t="s">
        <v>1694</v>
      </c>
      <c r="K475" s="39">
        <v>21.455829999999999</v>
      </c>
      <c r="L475" s="1">
        <v>4.4327990000000002</v>
      </c>
      <c r="M475" s="1" t="s">
        <v>4974</v>
      </c>
      <c r="N475" s="1">
        <v>835.303</v>
      </c>
      <c r="O475" s="1">
        <f>ABS(Table4[[#This Row],[EndMP]]-Table4[[#This Row],[StartMP]])</f>
        <v>15.640999999999991</v>
      </c>
      <c r="P475" s="1" t="str">
        <f>IF( AND( Table4[[#This Row],[Route]]=ClosureLocation!$B$3, ClosureLocation!$B$6 &gt;= Table4[[#This Row],[StartMP]], ClosureLocation!$B$6 &lt;= Table4[[#This Row],[EndMP]]), "Yes", "")</f>
        <v/>
      </c>
      <c r="Q475" s="1" t="str">
        <f>IF( AND( Table4[[#This Row],[Route]]=ClosureLocation!$B$3, ClosureLocation!$B$6 &lt;= Table4[[#This Row],[StartMP]], ClosureLocation!$B$6 &gt;= Table4[[#This Row],[EndMP]]), "Yes", "")</f>
        <v/>
      </c>
      <c r="R475" s="1" t="str">
        <f>IF( OR( Table4[[#This Row],[PrimaryMatch]]="Yes", Table4[[#This Row],[SecondaryMatch]]="Yes"), "Yes", "")</f>
        <v/>
      </c>
    </row>
    <row r="476" spans="1:18" hidden="1" x14ac:dyDescent="0.25">
      <c r="A476" t="s">
        <v>220</v>
      </c>
      <c r="B476" t="s">
        <v>3209</v>
      </c>
      <c r="C476" t="s">
        <v>3226</v>
      </c>
      <c r="D476" t="s">
        <v>3365</v>
      </c>
      <c r="E476" s="1">
        <v>30.914999999999999</v>
      </c>
      <c r="F476" s="1">
        <v>26.562000000000001</v>
      </c>
      <c r="G476">
        <v>1</v>
      </c>
      <c r="H476">
        <v>2</v>
      </c>
      <c r="I476" t="s">
        <v>2162</v>
      </c>
      <c r="J476" t="s">
        <v>1696</v>
      </c>
      <c r="K476" s="39">
        <v>20.946356999999999</v>
      </c>
      <c r="L476" s="1">
        <v>14.367671</v>
      </c>
      <c r="M476" s="1" t="s">
        <v>3366</v>
      </c>
      <c r="N476" s="1">
        <v>969.08500000000004</v>
      </c>
      <c r="O476" s="1">
        <f>ABS(Table4[[#This Row],[EndMP]]-Table4[[#This Row],[StartMP]])</f>
        <v>4.352999999999998</v>
      </c>
      <c r="P476" s="1" t="str">
        <f>IF( AND( Table4[[#This Row],[Route]]=ClosureLocation!$B$3, ClosureLocation!$B$6 &gt;= Table4[[#This Row],[StartMP]], ClosureLocation!$B$6 &lt;= Table4[[#This Row],[EndMP]]), "Yes", "")</f>
        <v/>
      </c>
      <c r="Q476" s="1" t="str">
        <f>IF( AND( Table4[[#This Row],[Route]]=ClosureLocation!$B$3, ClosureLocation!$B$6 &lt;= Table4[[#This Row],[StartMP]], ClosureLocation!$B$6 &gt;= Table4[[#This Row],[EndMP]]), "Yes", "")</f>
        <v/>
      </c>
      <c r="R476" s="1" t="str">
        <f>IF( OR( Table4[[#This Row],[PrimaryMatch]]="Yes", Table4[[#This Row],[SecondaryMatch]]="Yes"), "Yes", "")</f>
        <v/>
      </c>
    </row>
    <row r="477" spans="1:18" hidden="1" x14ac:dyDescent="0.25">
      <c r="A477" t="s">
        <v>220</v>
      </c>
      <c r="B477" t="s">
        <v>3205</v>
      </c>
      <c r="C477" t="s">
        <v>3222</v>
      </c>
      <c r="D477" t="s">
        <v>3363</v>
      </c>
      <c r="E477" s="1">
        <v>26.562000000000001</v>
      </c>
      <c r="F477" s="1">
        <v>30.914999999999999</v>
      </c>
      <c r="G477">
        <v>1</v>
      </c>
      <c r="H477">
        <v>1</v>
      </c>
      <c r="I477" t="s">
        <v>2161</v>
      </c>
      <c r="J477" t="s">
        <v>1696</v>
      </c>
      <c r="K477" s="39">
        <v>20.945983999999999</v>
      </c>
      <c r="L477" s="1">
        <v>14.367671</v>
      </c>
      <c r="M477" s="1" t="s">
        <v>3364</v>
      </c>
      <c r="N477" s="1">
        <v>26.562000000000001</v>
      </c>
      <c r="O477" s="1">
        <f>ABS(Table4[[#This Row],[EndMP]]-Table4[[#This Row],[StartMP]])</f>
        <v>4.352999999999998</v>
      </c>
      <c r="P477" s="1" t="str">
        <f>IF( AND( Table4[[#This Row],[Route]]=ClosureLocation!$B$3, ClosureLocation!$B$6 &gt;= Table4[[#This Row],[StartMP]], ClosureLocation!$B$6 &lt;= Table4[[#This Row],[EndMP]]), "Yes", "")</f>
        <v/>
      </c>
      <c r="Q477" s="1" t="str">
        <f>IF( AND( Table4[[#This Row],[Route]]=ClosureLocation!$B$3, ClosureLocation!$B$6 &lt;= Table4[[#This Row],[StartMP]], ClosureLocation!$B$6 &gt;= Table4[[#This Row],[EndMP]]), "Yes", "")</f>
        <v/>
      </c>
      <c r="R477" s="1" t="str">
        <f>IF( OR( Table4[[#This Row],[PrimaryMatch]]="Yes", Table4[[#This Row],[SecondaryMatch]]="Yes"), "Yes", "")</f>
        <v/>
      </c>
    </row>
    <row r="478" spans="1:18" hidden="1" x14ac:dyDescent="0.25">
      <c r="A478" t="s">
        <v>776</v>
      </c>
      <c r="B478" t="s">
        <v>3205</v>
      </c>
      <c r="C478" t="s">
        <v>3222</v>
      </c>
      <c r="D478" t="s">
        <v>3748</v>
      </c>
      <c r="E478" s="1">
        <v>205.73599999999999</v>
      </c>
      <c r="F478" s="1">
        <v>215.727</v>
      </c>
      <c r="G478">
        <v>24</v>
      </c>
      <c r="H478">
        <v>24</v>
      </c>
      <c r="I478" t="s">
        <v>2569</v>
      </c>
      <c r="J478" t="s">
        <v>1694</v>
      </c>
      <c r="K478" s="39">
        <v>20.902168</v>
      </c>
      <c r="L478" s="1">
        <v>9.6693099999999994</v>
      </c>
      <c r="M478" s="1" t="s">
        <v>61</v>
      </c>
      <c r="N478" s="1">
        <v>205.73599999999999</v>
      </c>
      <c r="O478" s="1">
        <f>ABS(Table4[[#This Row],[EndMP]]-Table4[[#This Row],[StartMP]])</f>
        <v>9.9910000000000139</v>
      </c>
      <c r="P478" s="1" t="str">
        <f>IF( AND( Table4[[#This Row],[Route]]=ClosureLocation!$B$3, ClosureLocation!$B$6 &gt;= Table4[[#This Row],[StartMP]], ClosureLocation!$B$6 &lt;= Table4[[#This Row],[EndMP]]), "Yes", "")</f>
        <v/>
      </c>
      <c r="Q478" s="1" t="str">
        <f>IF( AND( Table4[[#This Row],[Route]]=ClosureLocation!$B$3, ClosureLocation!$B$6 &lt;= Table4[[#This Row],[StartMP]], ClosureLocation!$B$6 &gt;= Table4[[#This Row],[EndMP]]), "Yes", "")</f>
        <v/>
      </c>
      <c r="R478" s="1" t="str">
        <f>IF( OR( Table4[[#This Row],[PrimaryMatch]]="Yes", Table4[[#This Row],[SecondaryMatch]]="Yes"), "Yes", "")</f>
        <v/>
      </c>
    </row>
    <row r="479" spans="1:18" hidden="1" x14ac:dyDescent="0.25">
      <c r="A479" t="s">
        <v>1284</v>
      </c>
      <c r="B479" t="s">
        <v>3209</v>
      </c>
      <c r="C479" t="s">
        <v>3210</v>
      </c>
      <c r="D479" t="s">
        <v>4126</v>
      </c>
      <c r="E479" s="1">
        <v>7.8639999999999999</v>
      </c>
      <c r="F479" s="1">
        <v>0</v>
      </c>
      <c r="G479">
        <v>4</v>
      </c>
      <c r="H479">
        <v>6</v>
      </c>
      <c r="I479" t="s">
        <v>2964</v>
      </c>
      <c r="J479" t="s">
        <v>1702</v>
      </c>
      <c r="K479" s="39">
        <v>20.666862999999999</v>
      </c>
      <c r="L479" s="1">
        <v>12.666912</v>
      </c>
      <c r="M479" s="1" t="s">
        <v>4130</v>
      </c>
      <c r="N479" s="1">
        <v>992.13599999999997</v>
      </c>
      <c r="O479" s="1">
        <f>ABS(Table4[[#This Row],[EndMP]]-Table4[[#This Row],[StartMP]])</f>
        <v>7.8639999999999999</v>
      </c>
      <c r="P479" s="1" t="str">
        <f>IF( AND( Table4[[#This Row],[Route]]=ClosureLocation!$B$3, ClosureLocation!$B$6 &gt;= Table4[[#This Row],[StartMP]], ClosureLocation!$B$6 &lt;= Table4[[#This Row],[EndMP]]), "Yes", "")</f>
        <v/>
      </c>
      <c r="Q479" s="1" t="str">
        <f>IF( AND( Table4[[#This Row],[Route]]=ClosureLocation!$B$3, ClosureLocation!$B$6 &lt;= Table4[[#This Row],[StartMP]], ClosureLocation!$B$6 &gt;= Table4[[#This Row],[EndMP]]), "Yes", "")</f>
        <v/>
      </c>
      <c r="R479" s="1" t="str">
        <f>IF( OR( Table4[[#This Row],[PrimaryMatch]]="Yes", Table4[[#This Row],[SecondaryMatch]]="Yes"), "Yes", "")</f>
        <v/>
      </c>
    </row>
    <row r="480" spans="1:18" hidden="1" x14ac:dyDescent="0.25">
      <c r="A480" t="s">
        <v>1284</v>
      </c>
      <c r="B480" t="s">
        <v>3205</v>
      </c>
      <c r="C480" t="s">
        <v>3206</v>
      </c>
      <c r="D480" t="s">
        <v>4121</v>
      </c>
      <c r="E480" s="1">
        <v>0</v>
      </c>
      <c r="F480" s="1">
        <v>7.8639999999999999</v>
      </c>
      <c r="G480">
        <v>1</v>
      </c>
      <c r="H480">
        <v>1</v>
      </c>
      <c r="I480" t="s">
        <v>2957</v>
      </c>
      <c r="J480" t="s">
        <v>1702</v>
      </c>
      <c r="K480" s="39">
        <v>20.666115000000001</v>
      </c>
      <c r="L480" s="1">
        <v>12.666912</v>
      </c>
      <c r="M480" s="1" t="s">
        <v>4122</v>
      </c>
      <c r="N480" s="1">
        <v>0</v>
      </c>
      <c r="O480" s="1">
        <f>ABS(Table4[[#This Row],[EndMP]]-Table4[[#This Row],[StartMP]])</f>
        <v>7.8639999999999999</v>
      </c>
      <c r="P480" s="1" t="str">
        <f>IF( AND( Table4[[#This Row],[Route]]=ClosureLocation!$B$3, ClosureLocation!$B$6 &gt;= Table4[[#This Row],[StartMP]], ClosureLocation!$B$6 &lt;= Table4[[#This Row],[EndMP]]), "Yes", "")</f>
        <v/>
      </c>
      <c r="Q480" s="1" t="str">
        <f>IF( AND( Table4[[#This Row],[Route]]=ClosureLocation!$B$3, ClosureLocation!$B$6 &lt;= Table4[[#This Row],[StartMP]], ClosureLocation!$B$6 &gt;= Table4[[#This Row],[EndMP]]), "Yes", "")</f>
        <v/>
      </c>
      <c r="R480" s="1" t="str">
        <f>IF( OR( Table4[[#This Row],[PrimaryMatch]]="Yes", Table4[[#This Row],[SecondaryMatch]]="Yes"), "Yes", "")</f>
        <v/>
      </c>
    </row>
    <row r="481" spans="1:18" hidden="1" x14ac:dyDescent="0.25">
      <c r="A481" t="s">
        <v>1493</v>
      </c>
      <c r="B481" t="s">
        <v>3205</v>
      </c>
      <c r="C481" t="s">
        <v>3206</v>
      </c>
      <c r="D481" t="s">
        <v>4252</v>
      </c>
      <c r="E481" s="1">
        <v>182.989</v>
      </c>
      <c r="F481" s="1">
        <v>248.32300000000001</v>
      </c>
      <c r="G481">
        <v>3</v>
      </c>
      <c r="H481">
        <v>3</v>
      </c>
      <c r="I481" t="s">
        <v>3072</v>
      </c>
      <c r="J481" t="s">
        <v>1693</v>
      </c>
      <c r="K481" s="39">
        <v>20.639896</v>
      </c>
      <c r="L481" s="1">
        <v>26.866795</v>
      </c>
      <c r="M481" s="1" t="s">
        <v>4255</v>
      </c>
      <c r="N481" s="1">
        <v>182.989</v>
      </c>
      <c r="O481" s="1">
        <f>ABS(Table4[[#This Row],[EndMP]]-Table4[[#This Row],[StartMP]])</f>
        <v>65.334000000000003</v>
      </c>
      <c r="P481" s="1" t="str">
        <f>IF( AND( Table4[[#This Row],[Route]]=ClosureLocation!$B$3, ClosureLocation!$B$6 &gt;= Table4[[#This Row],[StartMP]], ClosureLocation!$B$6 &lt;= Table4[[#This Row],[EndMP]]), "Yes", "")</f>
        <v/>
      </c>
      <c r="Q481" s="1" t="str">
        <f>IF( AND( Table4[[#This Row],[Route]]=ClosureLocation!$B$3, ClosureLocation!$B$6 &lt;= Table4[[#This Row],[StartMP]], ClosureLocation!$B$6 &gt;= Table4[[#This Row],[EndMP]]), "Yes", "")</f>
        <v/>
      </c>
      <c r="R481" s="1" t="str">
        <f>IF( OR( Table4[[#This Row],[PrimaryMatch]]="Yes", Table4[[#This Row],[SecondaryMatch]]="Yes"), "Yes", "")</f>
        <v/>
      </c>
    </row>
    <row r="482" spans="1:18" hidden="1" x14ac:dyDescent="0.25">
      <c r="A482" t="s">
        <v>535</v>
      </c>
      <c r="B482" t="s">
        <v>3205</v>
      </c>
      <c r="C482" t="s">
        <v>3222</v>
      </c>
      <c r="D482" t="s">
        <v>3569</v>
      </c>
      <c r="E482" s="1">
        <v>276.24200000000002</v>
      </c>
      <c r="F482" s="1">
        <v>276.92</v>
      </c>
      <c r="H482">
        <v>1</v>
      </c>
      <c r="I482" t="s">
        <v>2373</v>
      </c>
      <c r="J482" t="s">
        <v>1702</v>
      </c>
      <c r="K482" s="39">
        <v>20.639472000000001</v>
      </c>
      <c r="L482" s="1">
        <v>20.604970000000002</v>
      </c>
      <c r="M482" s="1" t="s">
        <v>3572</v>
      </c>
      <c r="N482" s="1">
        <v>276.24200000000002</v>
      </c>
      <c r="O482" s="1">
        <f>ABS(Table4[[#This Row],[EndMP]]-Table4[[#This Row],[StartMP]])</f>
        <v>0.67799999999999727</v>
      </c>
      <c r="P482" s="1" t="str">
        <f>IF( AND( Table4[[#This Row],[Route]]=ClosureLocation!$B$3, ClosureLocation!$B$6 &gt;= Table4[[#This Row],[StartMP]], ClosureLocation!$B$6 &lt;= Table4[[#This Row],[EndMP]]), "Yes", "")</f>
        <v/>
      </c>
      <c r="Q482" s="1" t="str">
        <f>IF( AND( Table4[[#This Row],[Route]]=ClosureLocation!$B$3, ClosureLocation!$B$6 &lt;= Table4[[#This Row],[StartMP]], ClosureLocation!$B$6 &gt;= Table4[[#This Row],[EndMP]]), "Yes", "")</f>
        <v/>
      </c>
      <c r="R482" s="1" t="str">
        <f>IF( OR( Table4[[#This Row],[PrimaryMatch]]="Yes", Table4[[#This Row],[SecondaryMatch]]="Yes"), "Yes", "")</f>
        <v/>
      </c>
    </row>
    <row r="483" spans="1:18" hidden="1" x14ac:dyDescent="0.25">
      <c r="A483" t="s">
        <v>310</v>
      </c>
      <c r="B483" t="s">
        <v>3205</v>
      </c>
      <c r="C483" t="s">
        <v>3206</v>
      </c>
      <c r="D483" t="s">
        <v>3427</v>
      </c>
      <c r="E483" s="1">
        <v>240.28700000000001</v>
      </c>
      <c r="F483" s="1">
        <v>242.79900000000001</v>
      </c>
      <c r="G483">
        <v>25</v>
      </c>
      <c r="H483">
        <v>6</v>
      </c>
      <c r="I483" t="s">
        <v>2231</v>
      </c>
      <c r="J483" t="s">
        <v>1701</v>
      </c>
      <c r="K483" s="39">
        <v>20.357368999999998</v>
      </c>
      <c r="L483" s="1">
        <v>13.8012</v>
      </c>
      <c r="M483" s="1" t="s">
        <v>3441</v>
      </c>
      <c r="N483" s="1">
        <v>240.28700000000001</v>
      </c>
      <c r="O483" s="1">
        <f>ABS(Table4[[#This Row],[EndMP]]-Table4[[#This Row],[StartMP]])</f>
        <v>2.5120000000000005</v>
      </c>
      <c r="P483" s="1" t="str">
        <f>IF( AND( Table4[[#This Row],[Route]]=ClosureLocation!$B$3, ClosureLocation!$B$6 &gt;= Table4[[#This Row],[StartMP]], ClosureLocation!$B$6 &lt;= Table4[[#This Row],[EndMP]]), "Yes", "")</f>
        <v/>
      </c>
      <c r="Q483" s="1" t="str">
        <f>IF( AND( Table4[[#This Row],[Route]]=ClosureLocation!$B$3, ClosureLocation!$B$6 &lt;= Table4[[#This Row],[StartMP]], ClosureLocation!$B$6 &gt;= Table4[[#This Row],[EndMP]]), "Yes", "")</f>
        <v/>
      </c>
      <c r="R483" s="1" t="str">
        <f>IF( OR( Table4[[#This Row],[PrimaryMatch]]="Yes", Table4[[#This Row],[SecondaryMatch]]="Yes"), "Yes", "")</f>
        <v/>
      </c>
    </row>
    <row r="484" spans="1:18" hidden="1" x14ac:dyDescent="0.25">
      <c r="A484" t="s">
        <v>310</v>
      </c>
      <c r="B484" t="s">
        <v>3209</v>
      </c>
      <c r="C484" t="s">
        <v>3210</v>
      </c>
      <c r="D484" t="s">
        <v>3444</v>
      </c>
      <c r="E484" s="1">
        <v>242.79900000000001</v>
      </c>
      <c r="F484" s="1">
        <v>240.32499999999999</v>
      </c>
      <c r="G484">
        <v>9</v>
      </c>
      <c r="H484">
        <v>11</v>
      </c>
      <c r="I484" t="s">
        <v>2248</v>
      </c>
      <c r="J484" t="s">
        <v>1701</v>
      </c>
      <c r="K484" s="39">
        <v>20.183361999999999</v>
      </c>
      <c r="L484" s="1">
        <v>13.557741</v>
      </c>
      <c r="M484" s="1" t="s">
        <v>3447</v>
      </c>
      <c r="N484" s="1">
        <v>757.20100000000002</v>
      </c>
      <c r="O484" s="1">
        <f>ABS(Table4[[#This Row],[EndMP]]-Table4[[#This Row],[StartMP]])</f>
        <v>2.474000000000018</v>
      </c>
      <c r="P484" s="1" t="str">
        <f>IF( AND( Table4[[#This Row],[Route]]=ClosureLocation!$B$3, ClosureLocation!$B$6 &gt;= Table4[[#This Row],[StartMP]], ClosureLocation!$B$6 &lt;= Table4[[#This Row],[EndMP]]), "Yes", "")</f>
        <v/>
      </c>
      <c r="Q484" s="1" t="str">
        <f>IF( AND( Table4[[#This Row],[Route]]=ClosureLocation!$B$3, ClosureLocation!$B$6 &lt;= Table4[[#This Row],[StartMP]], ClosureLocation!$B$6 &gt;= Table4[[#This Row],[EndMP]]), "Yes", "")</f>
        <v/>
      </c>
      <c r="R484" s="1" t="str">
        <f>IF( OR( Table4[[#This Row],[PrimaryMatch]]="Yes", Table4[[#This Row],[SecondaryMatch]]="Yes"), "Yes", "")</f>
        <v/>
      </c>
    </row>
    <row r="485" spans="1:18" hidden="1" x14ac:dyDescent="0.25">
      <c r="A485" t="s">
        <v>1493</v>
      </c>
      <c r="B485" t="s">
        <v>3209</v>
      </c>
      <c r="C485" t="s">
        <v>3210</v>
      </c>
      <c r="D485" t="s">
        <v>4262</v>
      </c>
      <c r="E485" s="1">
        <v>248.32300000000001</v>
      </c>
      <c r="F485" s="1">
        <v>182.989</v>
      </c>
      <c r="G485">
        <v>8</v>
      </c>
      <c r="H485">
        <v>18</v>
      </c>
      <c r="I485" t="s">
        <v>3086</v>
      </c>
      <c r="J485" t="s">
        <v>1693</v>
      </c>
      <c r="K485" s="39">
        <v>20.101320000000001</v>
      </c>
      <c r="L485" s="1">
        <v>27.187609999999999</v>
      </c>
      <c r="M485" s="1" t="s">
        <v>4270</v>
      </c>
      <c r="N485" s="1">
        <v>751.67700000000002</v>
      </c>
      <c r="O485" s="1">
        <f>ABS(Table4[[#This Row],[EndMP]]-Table4[[#This Row],[StartMP]])</f>
        <v>65.334000000000003</v>
      </c>
      <c r="P485" s="1" t="str">
        <f>IF( AND( Table4[[#This Row],[Route]]=ClosureLocation!$B$3, ClosureLocation!$B$6 &gt;= Table4[[#This Row],[StartMP]], ClosureLocation!$B$6 &lt;= Table4[[#This Row],[EndMP]]), "Yes", "")</f>
        <v/>
      </c>
      <c r="Q485" s="1" t="str">
        <f>IF( AND( Table4[[#This Row],[Route]]=ClosureLocation!$B$3, ClosureLocation!$B$6 &lt;= Table4[[#This Row],[StartMP]], ClosureLocation!$B$6 &gt;= Table4[[#This Row],[EndMP]]), "Yes", "")</f>
        <v/>
      </c>
      <c r="R485" s="1" t="str">
        <f>IF( OR( Table4[[#This Row],[PrimaryMatch]]="Yes", Table4[[#This Row],[SecondaryMatch]]="Yes"), "Yes", "")</f>
        <v/>
      </c>
    </row>
    <row r="486" spans="1:18" hidden="1" x14ac:dyDescent="0.25">
      <c r="A486" t="s">
        <v>1140</v>
      </c>
      <c r="B486" t="s">
        <v>3209</v>
      </c>
      <c r="C486" t="s">
        <v>3210</v>
      </c>
      <c r="D486" t="s">
        <v>4011</v>
      </c>
      <c r="E486" s="1">
        <v>8.9849999999999994</v>
      </c>
      <c r="F486" s="1">
        <v>8.6940000000000008</v>
      </c>
      <c r="H486">
        <v>2</v>
      </c>
      <c r="I486" t="s">
        <v>2875</v>
      </c>
      <c r="J486" t="s">
        <v>2040</v>
      </c>
      <c r="K486" s="39">
        <v>20.036956</v>
      </c>
      <c r="L486" s="1">
        <v>12.365252999999999</v>
      </c>
      <c r="M486" s="1" t="s">
        <v>4013</v>
      </c>
      <c r="N486" s="1">
        <v>991.01499999999999</v>
      </c>
      <c r="O486" s="1">
        <f>ABS(Table4[[#This Row],[EndMP]]-Table4[[#This Row],[StartMP]])</f>
        <v>0.29099999999999859</v>
      </c>
      <c r="P486" s="1" t="str">
        <f>IF( AND( Table4[[#This Row],[Route]]=ClosureLocation!$B$3, ClosureLocation!$B$6 &gt;= Table4[[#This Row],[StartMP]], ClosureLocation!$B$6 &lt;= Table4[[#This Row],[EndMP]]), "Yes", "")</f>
        <v/>
      </c>
      <c r="Q486" s="1" t="str">
        <f>IF( AND( Table4[[#This Row],[Route]]=ClosureLocation!$B$3, ClosureLocation!$B$6 &lt;= Table4[[#This Row],[StartMP]], ClosureLocation!$B$6 &gt;= Table4[[#This Row],[EndMP]]), "Yes", "")</f>
        <v/>
      </c>
      <c r="R486" s="1" t="str">
        <f>IF( OR( Table4[[#This Row],[PrimaryMatch]]="Yes", Table4[[#This Row],[SecondaryMatch]]="Yes"), "Yes", "")</f>
        <v/>
      </c>
    </row>
    <row r="487" spans="1:18" hidden="1" x14ac:dyDescent="0.25">
      <c r="A487" t="s">
        <v>705</v>
      </c>
      <c r="B487" t="s">
        <v>3205</v>
      </c>
      <c r="C487" t="s">
        <v>3206</v>
      </c>
      <c r="D487" t="s">
        <v>3677</v>
      </c>
      <c r="E487" s="1">
        <v>0.08</v>
      </c>
      <c r="F487" s="1">
        <v>0.53400000000000003</v>
      </c>
      <c r="G487">
        <v>1</v>
      </c>
      <c r="H487">
        <v>1</v>
      </c>
      <c r="I487" t="s">
        <v>2499</v>
      </c>
      <c r="J487" t="s">
        <v>1690</v>
      </c>
      <c r="K487" s="39">
        <v>19.813110000000002</v>
      </c>
      <c r="L487" s="1">
        <v>14.871729999999999</v>
      </c>
      <c r="M487" s="1" t="s">
        <v>3678</v>
      </c>
      <c r="N487" s="1">
        <v>0.08</v>
      </c>
      <c r="O487" s="1">
        <f>ABS(Table4[[#This Row],[EndMP]]-Table4[[#This Row],[StartMP]])</f>
        <v>0.45400000000000001</v>
      </c>
      <c r="P487" s="1" t="str">
        <f>IF( AND( Table4[[#This Row],[Route]]=ClosureLocation!$B$3, ClosureLocation!$B$6 &gt;= Table4[[#This Row],[StartMP]], ClosureLocation!$B$6 &lt;= Table4[[#This Row],[EndMP]]), "Yes", "")</f>
        <v/>
      </c>
      <c r="Q487" s="1" t="str">
        <f>IF( AND( Table4[[#This Row],[Route]]=ClosureLocation!$B$3, ClosureLocation!$B$6 &lt;= Table4[[#This Row],[StartMP]], ClosureLocation!$B$6 &gt;= Table4[[#This Row],[EndMP]]), "Yes", "")</f>
        <v/>
      </c>
      <c r="R487" s="1" t="str">
        <f>IF( OR( Table4[[#This Row],[PrimaryMatch]]="Yes", Table4[[#This Row],[SecondaryMatch]]="Yes"), "Yes", "")</f>
        <v/>
      </c>
    </row>
    <row r="488" spans="1:18" hidden="1" x14ac:dyDescent="0.25">
      <c r="A488" t="s">
        <v>705</v>
      </c>
      <c r="B488" t="s">
        <v>3209</v>
      </c>
      <c r="C488" t="s">
        <v>3210</v>
      </c>
      <c r="D488" t="s">
        <v>3679</v>
      </c>
      <c r="E488" s="1">
        <v>0.53400000000000003</v>
      </c>
      <c r="F488" s="1">
        <v>0.08</v>
      </c>
      <c r="G488">
        <v>1</v>
      </c>
      <c r="H488">
        <v>2</v>
      </c>
      <c r="I488" t="s">
        <v>2500</v>
      </c>
      <c r="J488" t="s">
        <v>1690</v>
      </c>
      <c r="K488" s="39">
        <v>19.783418999999999</v>
      </c>
      <c r="L488" s="1">
        <v>14.870262</v>
      </c>
      <c r="M488" s="1" t="s">
        <v>3680</v>
      </c>
      <c r="N488" s="1">
        <v>999.46600000000001</v>
      </c>
      <c r="O488" s="1">
        <f>ABS(Table4[[#This Row],[EndMP]]-Table4[[#This Row],[StartMP]])</f>
        <v>0.45400000000000001</v>
      </c>
      <c r="P488" s="1" t="str">
        <f>IF( AND( Table4[[#This Row],[Route]]=ClosureLocation!$B$3, ClosureLocation!$B$6 &gt;= Table4[[#This Row],[StartMP]], ClosureLocation!$B$6 &lt;= Table4[[#This Row],[EndMP]]), "Yes", "")</f>
        <v/>
      </c>
      <c r="Q488" s="1" t="str">
        <f>IF( AND( Table4[[#This Row],[Route]]=ClosureLocation!$B$3, ClosureLocation!$B$6 &lt;= Table4[[#This Row],[StartMP]], ClosureLocation!$B$6 &gt;= Table4[[#This Row],[EndMP]]), "Yes", "")</f>
        <v/>
      </c>
      <c r="R488" s="1" t="str">
        <f>IF( OR( Table4[[#This Row],[PrimaryMatch]]="Yes", Table4[[#This Row],[SecondaryMatch]]="Yes"), "Yes", "")</f>
        <v/>
      </c>
    </row>
    <row r="489" spans="1:18" hidden="1" x14ac:dyDescent="0.25">
      <c r="A489" t="s">
        <v>640</v>
      </c>
      <c r="B489" t="s">
        <v>3205</v>
      </c>
      <c r="C489" t="s">
        <v>3222</v>
      </c>
      <c r="D489" t="s">
        <v>3638</v>
      </c>
      <c r="E489" s="1">
        <v>378.41899999999998</v>
      </c>
      <c r="F489" s="1">
        <v>380.23099999999999</v>
      </c>
      <c r="G489">
        <v>10</v>
      </c>
      <c r="H489">
        <v>24</v>
      </c>
      <c r="I489" t="s">
        <v>2454</v>
      </c>
      <c r="J489" t="s">
        <v>1694</v>
      </c>
      <c r="K489" s="39">
        <v>19.695792999999998</v>
      </c>
      <c r="L489" s="1">
        <v>7.1887730000000003</v>
      </c>
      <c r="M489" s="1" t="s">
        <v>4933</v>
      </c>
      <c r="N489" s="1">
        <v>378.41899999999998</v>
      </c>
      <c r="O489" s="1">
        <f>ABS(Table4[[#This Row],[EndMP]]-Table4[[#This Row],[StartMP]])</f>
        <v>1.8120000000000118</v>
      </c>
      <c r="P489" s="1" t="str">
        <f>IF( AND( Table4[[#This Row],[Route]]=ClosureLocation!$B$3, ClosureLocation!$B$6 &gt;= Table4[[#This Row],[StartMP]], ClosureLocation!$B$6 &lt;= Table4[[#This Row],[EndMP]]), "Yes", "")</f>
        <v/>
      </c>
      <c r="Q489" s="1" t="str">
        <f>IF( AND( Table4[[#This Row],[Route]]=ClosureLocation!$B$3, ClosureLocation!$B$6 &lt;= Table4[[#This Row],[StartMP]], ClosureLocation!$B$6 &gt;= Table4[[#This Row],[EndMP]]), "Yes", "")</f>
        <v/>
      </c>
      <c r="R489" s="1" t="str">
        <f>IF( OR( Table4[[#This Row],[PrimaryMatch]]="Yes", Table4[[#This Row],[SecondaryMatch]]="Yes"), "Yes", "")</f>
        <v/>
      </c>
    </row>
    <row r="490" spans="1:18" hidden="1" x14ac:dyDescent="0.25">
      <c r="A490" t="s">
        <v>1140</v>
      </c>
      <c r="B490" t="s">
        <v>3205</v>
      </c>
      <c r="C490" t="s">
        <v>3206</v>
      </c>
      <c r="D490" t="s">
        <v>4008</v>
      </c>
      <c r="E490" s="1">
        <v>8.6940000000000008</v>
      </c>
      <c r="F490" s="1">
        <v>8.9849999999999994</v>
      </c>
      <c r="H490">
        <v>1</v>
      </c>
      <c r="I490" t="s">
        <v>2870</v>
      </c>
      <c r="J490" t="s">
        <v>2040</v>
      </c>
      <c r="K490" s="39">
        <v>19.652103</v>
      </c>
      <c r="L490" s="1">
        <v>12.194697</v>
      </c>
      <c r="M490" s="1" t="s">
        <v>4009</v>
      </c>
      <c r="N490" s="1">
        <v>8.6940000000000008</v>
      </c>
      <c r="O490" s="1">
        <f>ABS(Table4[[#This Row],[EndMP]]-Table4[[#This Row],[StartMP]])</f>
        <v>0.29099999999999859</v>
      </c>
      <c r="P490" s="1" t="str">
        <f>IF( AND( Table4[[#This Row],[Route]]=ClosureLocation!$B$3, ClosureLocation!$B$6 &gt;= Table4[[#This Row],[StartMP]], ClosureLocation!$B$6 &lt;= Table4[[#This Row],[EndMP]]), "Yes", "")</f>
        <v/>
      </c>
      <c r="Q490" s="1" t="str">
        <f>IF( AND( Table4[[#This Row],[Route]]=ClosureLocation!$B$3, ClosureLocation!$B$6 &lt;= Table4[[#This Row],[StartMP]], ClosureLocation!$B$6 &gt;= Table4[[#This Row],[EndMP]]), "Yes", "")</f>
        <v/>
      </c>
      <c r="R490" s="1" t="str">
        <f>IF( OR( Table4[[#This Row],[PrimaryMatch]]="Yes", Table4[[#This Row],[SecondaryMatch]]="Yes"), "Yes", "")</f>
        <v/>
      </c>
    </row>
    <row r="491" spans="1:18" hidden="1" x14ac:dyDescent="0.25">
      <c r="A491" t="s">
        <v>310</v>
      </c>
      <c r="B491" t="s">
        <v>3205</v>
      </c>
      <c r="C491" t="s">
        <v>3206</v>
      </c>
      <c r="D491" t="s">
        <v>3427</v>
      </c>
      <c r="E491" s="1">
        <v>243.47399999999999</v>
      </c>
      <c r="F491" s="1">
        <v>250</v>
      </c>
      <c r="G491">
        <v>26</v>
      </c>
      <c r="H491">
        <v>7</v>
      </c>
      <c r="I491" t="s">
        <v>2232</v>
      </c>
      <c r="J491" t="s">
        <v>1701</v>
      </c>
      <c r="K491" s="39">
        <v>19.600902000000001</v>
      </c>
      <c r="L491" s="1">
        <v>13.211823000000001</v>
      </c>
      <c r="M491" s="1" t="s">
        <v>3442</v>
      </c>
      <c r="N491" s="1">
        <v>243.47399999999999</v>
      </c>
      <c r="O491" s="1">
        <f>ABS(Table4[[#This Row],[EndMP]]-Table4[[#This Row],[StartMP]])</f>
        <v>6.5260000000000105</v>
      </c>
      <c r="P491" s="1" t="str">
        <f>IF( AND( Table4[[#This Row],[Route]]=ClosureLocation!$B$3, ClosureLocation!$B$6 &gt;= Table4[[#This Row],[StartMP]], ClosureLocation!$B$6 &lt;= Table4[[#This Row],[EndMP]]), "Yes", "")</f>
        <v/>
      </c>
      <c r="Q491" s="1" t="str">
        <f>IF( AND( Table4[[#This Row],[Route]]=ClosureLocation!$B$3, ClosureLocation!$B$6 &lt;= Table4[[#This Row],[StartMP]], ClosureLocation!$B$6 &gt;= Table4[[#This Row],[EndMP]]), "Yes", "")</f>
        <v/>
      </c>
      <c r="R491" s="1" t="str">
        <f>IF( OR( Table4[[#This Row],[PrimaryMatch]]="Yes", Table4[[#This Row],[SecondaryMatch]]="Yes"), "Yes", "")</f>
        <v/>
      </c>
    </row>
    <row r="492" spans="1:18" hidden="1" x14ac:dyDescent="0.25">
      <c r="A492" t="s">
        <v>394</v>
      </c>
      <c r="B492" t="s">
        <v>3209</v>
      </c>
      <c r="C492" t="s">
        <v>3226</v>
      </c>
      <c r="D492" t="s">
        <v>3487</v>
      </c>
      <c r="E492" s="1">
        <v>62.506999999999998</v>
      </c>
      <c r="F492" s="1">
        <v>60.965000000000003</v>
      </c>
      <c r="G492">
        <v>9</v>
      </c>
      <c r="H492">
        <v>8</v>
      </c>
      <c r="I492" t="s">
        <v>2305</v>
      </c>
      <c r="J492" t="s">
        <v>1702</v>
      </c>
      <c r="K492" s="39">
        <v>19.414794000000001</v>
      </c>
      <c r="L492" s="1">
        <v>12.766185</v>
      </c>
      <c r="M492" s="1" t="s">
        <v>3495</v>
      </c>
      <c r="N492" s="1">
        <v>937.49300000000005</v>
      </c>
      <c r="O492" s="1">
        <f>ABS(Table4[[#This Row],[EndMP]]-Table4[[#This Row],[StartMP]])</f>
        <v>1.5419999999999945</v>
      </c>
      <c r="P492" s="1" t="str">
        <f>IF( AND( Table4[[#This Row],[Route]]=ClosureLocation!$B$3, ClosureLocation!$B$6 &gt;= Table4[[#This Row],[StartMP]], ClosureLocation!$B$6 &lt;= Table4[[#This Row],[EndMP]]), "Yes", "")</f>
        <v/>
      </c>
      <c r="Q492" s="1" t="str">
        <f>IF( AND( Table4[[#This Row],[Route]]=ClosureLocation!$B$3, ClosureLocation!$B$6 &lt;= Table4[[#This Row],[StartMP]], ClosureLocation!$B$6 &gt;= Table4[[#This Row],[EndMP]]), "Yes", "")</f>
        <v/>
      </c>
      <c r="R492" s="1" t="str">
        <f>IF( OR( Table4[[#This Row],[PrimaryMatch]]="Yes", Table4[[#This Row],[SecondaryMatch]]="Yes"), "Yes", "")</f>
        <v/>
      </c>
    </row>
    <row r="493" spans="1:18" hidden="1" x14ac:dyDescent="0.25">
      <c r="A493" t="s">
        <v>394</v>
      </c>
      <c r="B493" t="s">
        <v>3205</v>
      </c>
      <c r="C493" t="s">
        <v>3222</v>
      </c>
      <c r="D493" t="s">
        <v>3477</v>
      </c>
      <c r="E493" s="1">
        <v>60.965000000000003</v>
      </c>
      <c r="F493" s="1">
        <v>62.506999999999998</v>
      </c>
      <c r="G493">
        <v>3</v>
      </c>
      <c r="H493">
        <v>1</v>
      </c>
      <c r="I493" t="s">
        <v>2289</v>
      </c>
      <c r="J493" t="s">
        <v>1702</v>
      </c>
      <c r="K493" s="39">
        <v>19.391829999999999</v>
      </c>
      <c r="L493" s="1">
        <v>12.766185</v>
      </c>
      <c r="M493" s="1" t="s">
        <v>3479</v>
      </c>
      <c r="N493" s="1">
        <v>60.965000000000003</v>
      </c>
      <c r="O493" s="1">
        <f>ABS(Table4[[#This Row],[EndMP]]-Table4[[#This Row],[StartMP]])</f>
        <v>1.5419999999999945</v>
      </c>
      <c r="P493" s="1" t="str">
        <f>IF( AND( Table4[[#This Row],[Route]]=ClosureLocation!$B$3, ClosureLocation!$B$6 &gt;= Table4[[#This Row],[StartMP]], ClosureLocation!$B$6 &lt;= Table4[[#This Row],[EndMP]]), "Yes", "")</f>
        <v/>
      </c>
      <c r="Q493" s="1" t="str">
        <f>IF( AND( Table4[[#This Row],[Route]]=ClosureLocation!$B$3, ClosureLocation!$B$6 &lt;= Table4[[#This Row],[StartMP]], ClosureLocation!$B$6 &gt;= Table4[[#This Row],[EndMP]]), "Yes", "")</f>
        <v/>
      </c>
      <c r="R493" s="1" t="str">
        <f>IF( OR( Table4[[#This Row],[PrimaryMatch]]="Yes", Table4[[#This Row],[SecondaryMatch]]="Yes"), "Yes", "")</f>
        <v/>
      </c>
    </row>
    <row r="494" spans="1:18" hidden="1" x14ac:dyDescent="0.25">
      <c r="A494" t="s">
        <v>640</v>
      </c>
      <c r="B494" t="s">
        <v>3209</v>
      </c>
      <c r="C494" t="s">
        <v>3226</v>
      </c>
      <c r="D494" t="s">
        <v>3640</v>
      </c>
      <c r="E494" s="1">
        <v>380.23099999999999</v>
      </c>
      <c r="F494" s="1">
        <v>378.41899999999998</v>
      </c>
      <c r="G494">
        <v>5</v>
      </c>
      <c r="H494">
        <v>5</v>
      </c>
      <c r="I494" t="s">
        <v>2462</v>
      </c>
      <c r="J494" t="s">
        <v>1694</v>
      </c>
      <c r="K494" s="39">
        <v>19.359971999999999</v>
      </c>
      <c r="L494" s="1">
        <v>7.1388239999999996</v>
      </c>
      <c r="M494" s="1" t="s">
        <v>4942</v>
      </c>
      <c r="N494" s="1">
        <v>619.76900000000001</v>
      </c>
      <c r="O494" s="1">
        <f>ABS(Table4[[#This Row],[EndMP]]-Table4[[#This Row],[StartMP]])</f>
        <v>1.8120000000000118</v>
      </c>
      <c r="P494" s="1" t="str">
        <f>IF( AND( Table4[[#This Row],[Route]]=ClosureLocation!$B$3, ClosureLocation!$B$6 &gt;= Table4[[#This Row],[StartMP]], ClosureLocation!$B$6 &lt;= Table4[[#This Row],[EndMP]]), "Yes", "")</f>
        <v/>
      </c>
      <c r="Q494" s="1" t="str">
        <f>IF( AND( Table4[[#This Row],[Route]]=ClosureLocation!$B$3, ClosureLocation!$B$6 &lt;= Table4[[#This Row],[StartMP]], ClosureLocation!$B$6 &gt;= Table4[[#This Row],[EndMP]]), "Yes", "")</f>
        <v/>
      </c>
      <c r="R494" s="1" t="str">
        <f>IF( OR( Table4[[#This Row],[PrimaryMatch]]="Yes", Table4[[#This Row],[SecondaryMatch]]="Yes"), "Yes", "")</f>
        <v/>
      </c>
    </row>
    <row r="495" spans="1:18" hidden="1" x14ac:dyDescent="0.25">
      <c r="A495" t="s">
        <v>1483</v>
      </c>
      <c r="B495" t="s">
        <v>3209</v>
      </c>
      <c r="C495" t="s">
        <v>3210</v>
      </c>
      <c r="D495" t="s">
        <v>4242</v>
      </c>
      <c r="E495" s="1">
        <v>62.904000000000003</v>
      </c>
      <c r="F495" s="1">
        <v>51.158999999999999</v>
      </c>
      <c r="G495">
        <v>3</v>
      </c>
      <c r="H495">
        <v>6</v>
      </c>
      <c r="I495" t="s">
        <v>3065</v>
      </c>
      <c r="J495" t="s">
        <v>1691</v>
      </c>
      <c r="K495" s="39">
        <v>19.341681000000001</v>
      </c>
      <c r="L495" s="1">
        <v>15.159933000000001</v>
      </c>
      <c r="M495" s="1" t="s">
        <v>4245</v>
      </c>
      <c r="N495" s="1">
        <v>937.096</v>
      </c>
      <c r="O495" s="1">
        <f>ABS(Table4[[#This Row],[EndMP]]-Table4[[#This Row],[StartMP]])</f>
        <v>11.745000000000005</v>
      </c>
      <c r="P495" s="1" t="str">
        <f>IF( AND( Table4[[#This Row],[Route]]=ClosureLocation!$B$3, ClosureLocation!$B$6 &gt;= Table4[[#This Row],[StartMP]], ClosureLocation!$B$6 &lt;= Table4[[#This Row],[EndMP]]), "Yes", "")</f>
        <v/>
      </c>
      <c r="Q495" s="1" t="str">
        <f>IF( AND( Table4[[#This Row],[Route]]=ClosureLocation!$B$3, ClosureLocation!$B$6 &lt;= Table4[[#This Row],[StartMP]], ClosureLocation!$B$6 &gt;= Table4[[#This Row],[EndMP]]), "Yes", "")</f>
        <v/>
      </c>
      <c r="R495" s="1" t="str">
        <f>IF( OR( Table4[[#This Row],[PrimaryMatch]]="Yes", Table4[[#This Row],[SecondaryMatch]]="Yes"), "Yes", "")</f>
        <v/>
      </c>
    </row>
    <row r="496" spans="1:18" hidden="1" x14ac:dyDescent="0.25">
      <c r="A496" t="s">
        <v>1483</v>
      </c>
      <c r="B496" t="s">
        <v>3205</v>
      </c>
      <c r="C496" t="s">
        <v>3206</v>
      </c>
      <c r="D496" t="s">
        <v>4238</v>
      </c>
      <c r="E496" s="1">
        <v>51.158999999999999</v>
      </c>
      <c r="F496" s="1">
        <v>62.904000000000003</v>
      </c>
      <c r="G496">
        <v>1</v>
      </c>
      <c r="H496">
        <v>1</v>
      </c>
      <c r="I496" t="s">
        <v>3060</v>
      </c>
      <c r="J496" t="s">
        <v>1691</v>
      </c>
      <c r="K496" s="39">
        <v>19.341519999999999</v>
      </c>
      <c r="L496" s="1">
        <v>15.159933000000001</v>
      </c>
      <c r="M496" s="1" t="s">
        <v>4239</v>
      </c>
      <c r="N496" s="1">
        <v>51.158999999999999</v>
      </c>
      <c r="O496" s="1">
        <f>ABS(Table4[[#This Row],[EndMP]]-Table4[[#This Row],[StartMP]])</f>
        <v>11.745000000000005</v>
      </c>
      <c r="P496" s="1" t="str">
        <f>IF( AND( Table4[[#This Row],[Route]]=ClosureLocation!$B$3, ClosureLocation!$B$6 &gt;= Table4[[#This Row],[StartMP]], ClosureLocation!$B$6 &lt;= Table4[[#This Row],[EndMP]]), "Yes", "")</f>
        <v/>
      </c>
      <c r="Q496" s="1" t="str">
        <f>IF( AND( Table4[[#This Row],[Route]]=ClosureLocation!$B$3, ClosureLocation!$B$6 &lt;= Table4[[#This Row],[StartMP]], ClosureLocation!$B$6 &gt;= Table4[[#This Row],[EndMP]]), "Yes", "")</f>
        <v/>
      </c>
      <c r="R496" s="1" t="str">
        <f>IF( OR( Table4[[#This Row],[PrimaryMatch]]="Yes", Table4[[#This Row],[SecondaryMatch]]="Yes"), "Yes", "")</f>
        <v/>
      </c>
    </row>
    <row r="497" spans="1:18" hidden="1" x14ac:dyDescent="0.25">
      <c r="A497" t="s">
        <v>846</v>
      </c>
      <c r="B497" t="s">
        <v>3205</v>
      </c>
      <c r="C497" t="s">
        <v>3206</v>
      </c>
      <c r="D497" t="s">
        <v>3761</v>
      </c>
      <c r="E497" s="1">
        <v>9.9000000000000005E-2</v>
      </c>
      <c r="F497" s="1">
        <v>0.222</v>
      </c>
      <c r="G497">
        <v>1</v>
      </c>
      <c r="H497">
        <v>1</v>
      </c>
      <c r="I497" t="s">
        <v>2664</v>
      </c>
      <c r="J497" t="s">
        <v>1699</v>
      </c>
      <c r="K497" s="39">
        <v>19.303716999999999</v>
      </c>
      <c r="L497" s="1">
        <v>14.376968</v>
      </c>
      <c r="M497" s="1" t="s">
        <v>3762</v>
      </c>
      <c r="N497" s="1">
        <v>9.9000000000000005E-2</v>
      </c>
      <c r="O497" s="1">
        <f>ABS(Table4[[#This Row],[EndMP]]-Table4[[#This Row],[StartMP]])</f>
        <v>0.123</v>
      </c>
      <c r="P497" s="1" t="str">
        <f>IF( AND( Table4[[#This Row],[Route]]=ClosureLocation!$B$3, ClosureLocation!$B$6 &gt;= Table4[[#This Row],[StartMP]], ClosureLocation!$B$6 &lt;= Table4[[#This Row],[EndMP]]), "Yes", "")</f>
        <v/>
      </c>
      <c r="Q497" s="1" t="str">
        <f>IF( AND( Table4[[#This Row],[Route]]=ClosureLocation!$B$3, ClosureLocation!$B$6 &lt;= Table4[[#This Row],[StartMP]], ClosureLocation!$B$6 &gt;= Table4[[#This Row],[EndMP]]), "Yes", "")</f>
        <v/>
      </c>
      <c r="R497" s="1" t="str">
        <f>IF( OR( Table4[[#This Row],[PrimaryMatch]]="Yes", Table4[[#This Row],[SecondaryMatch]]="Yes"), "Yes", "")</f>
        <v/>
      </c>
    </row>
    <row r="498" spans="1:18" hidden="1" x14ac:dyDescent="0.25">
      <c r="A498" t="s">
        <v>93</v>
      </c>
      <c r="B498" t="s">
        <v>3209</v>
      </c>
      <c r="C498" t="s">
        <v>3226</v>
      </c>
      <c r="D498" t="s">
        <v>3267</v>
      </c>
      <c r="E498" s="1">
        <v>406.27699999999999</v>
      </c>
      <c r="F498" s="1">
        <v>404.64400000000001</v>
      </c>
      <c r="G498">
        <v>2</v>
      </c>
      <c r="H498">
        <v>4</v>
      </c>
      <c r="I498" t="s">
        <v>2093</v>
      </c>
      <c r="J498" t="s">
        <v>1705</v>
      </c>
      <c r="K498" s="39">
        <v>19.242374999999999</v>
      </c>
      <c r="L498" s="1">
        <v>17.366174000000001</v>
      </c>
      <c r="M498" s="1" t="s">
        <v>3269</v>
      </c>
      <c r="N498" s="1">
        <v>593.72299999999996</v>
      </c>
      <c r="O498" s="1">
        <f>ABS(Table4[[#This Row],[EndMP]]-Table4[[#This Row],[StartMP]])</f>
        <v>1.6329999999999814</v>
      </c>
      <c r="P498" s="1" t="str">
        <f>IF( AND( Table4[[#This Row],[Route]]=ClosureLocation!$B$3, ClosureLocation!$B$6 &gt;= Table4[[#This Row],[StartMP]], ClosureLocation!$B$6 &lt;= Table4[[#This Row],[EndMP]]), "Yes", "")</f>
        <v/>
      </c>
      <c r="Q498" s="1" t="str">
        <f>IF( AND( Table4[[#This Row],[Route]]=ClosureLocation!$B$3, ClosureLocation!$B$6 &lt;= Table4[[#This Row],[StartMP]], ClosureLocation!$B$6 &gt;= Table4[[#This Row],[EndMP]]), "Yes", "")</f>
        <v/>
      </c>
      <c r="R498" s="1" t="str">
        <f>IF( OR( Table4[[#This Row],[PrimaryMatch]]="Yes", Table4[[#This Row],[SecondaryMatch]]="Yes"), "Yes", "")</f>
        <v/>
      </c>
    </row>
    <row r="499" spans="1:18" hidden="1" x14ac:dyDescent="0.25">
      <c r="A499" t="s">
        <v>846</v>
      </c>
      <c r="B499" t="s">
        <v>3209</v>
      </c>
      <c r="C499" t="s">
        <v>3210</v>
      </c>
      <c r="D499" t="s">
        <v>3763</v>
      </c>
      <c r="E499" s="1">
        <v>0.222</v>
      </c>
      <c r="F499" s="1">
        <v>9.9000000000000005E-2</v>
      </c>
      <c r="G499">
        <v>1</v>
      </c>
      <c r="H499">
        <v>2</v>
      </c>
      <c r="I499" t="s">
        <v>2665</v>
      </c>
      <c r="J499" t="s">
        <v>1699</v>
      </c>
      <c r="K499" s="39">
        <v>19.228874000000001</v>
      </c>
      <c r="L499" s="1">
        <v>14.406094</v>
      </c>
      <c r="M499" s="1" t="s">
        <v>3764</v>
      </c>
      <c r="N499" s="1">
        <v>999.77800000000002</v>
      </c>
      <c r="O499" s="1">
        <f>ABS(Table4[[#This Row],[EndMP]]-Table4[[#This Row],[StartMP]])</f>
        <v>0.123</v>
      </c>
      <c r="P499" s="1" t="str">
        <f>IF( AND( Table4[[#This Row],[Route]]=ClosureLocation!$B$3, ClosureLocation!$B$6 &gt;= Table4[[#This Row],[StartMP]], ClosureLocation!$B$6 &lt;= Table4[[#This Row],[EndMP]]), "Yes", "")</f>
        <v/>
      </c>
      <c r="Q499" s="1" t="str">
        <f>IF( AND( Table4[[#This Row],[Route]]=ClosureLocation!$B$3, ClosureLocation!$B$6 &lt;= Table4[[#This Row],[StartMP]], ClosureLocation!$B$6 &gt;= Table4[[#This Row],[EndMP]]), "Yes", "")</f>
        <v/>
      </c>
      <c r="R499" s="1" t="str">
        <f>IF( OR( Table4[[#This Row],[PrimaryMatch]]="Yes", Table4[[#This Row],[SecondaryMatch]]="Yes"), "Yes", "")</f>
        <v/>
      </c>
    </row>
    <row r="500" spans="1:18" hidden="1" x14ac:dyDescent="0.25">
      <c r="A500" t="s">
        <v>310</v>
      </c>
      <c r="B500" t="s">
        <v>3209</v>
      </c>
      <c r="C500" t="s">
        <v>3210</v>
      </c>
      <c r="D500" t="s">
        <v>3444</v>
      </c>
      <c r="E500" s="1">
        <v>250</v>
      </c>
      <c r="F500" s="1">
        <v>243.47399999999999</v>
      </c>
      <c r="G500">
        <v>8</v>
      </c>
      <c r="H500">
        <v>10</v>
      </c>
      <c r="I500" t="s">
        <v>2247</v>
      </c>
      <c r="J500" t="s">
        <v>1701</v>
      </c>
      <c r="K500" s="39">
        <v>19.211376000000001</v>
      </c>
      <c r="L500" s="1">
        <v>12.996712</v>
      </c>
      <c r="M500" s="1" t="s">
        <v>3446</v>
      </c>
      <c r="N500" s="1">
        <v>750</v>
      </c>
      <c r="O500" s="1">
        <f>ABS(Table4[[#This Row],[EndMP]]-Table4[[#This Row],[StartMP]])</f>
        <v>6.5260000000000105</v>
      </c>
      <c r="P500" s="1" t="str">
        <f>IF( AND( Table4[[#This Row],[Route]]=ClosureLocation!$B$3, ClosureLocation!$B$6 &gt;= Table4[[#This Row],[StartMP]], ClosureLocation!$B$6 &lt;= Table4[[#This Row],[EndMP]]), "Yes", "")</f>
        <v/>
      </c>
      <c r="Q500" s="1" t="str">
        <f>IF( AND( Table4[[#This Row],[Route]]=ClosureLocation!$B$3, ClosureLocation!$B$6 &lt;= Table4[[#This Row],[StartMP]], ClosureLocation!$B$6 &gt;= Table4[[#This Row],[EndMP]]), "Yes", "")</f>
        <v/>
      </c>
      <c r="R500" s="1" t="str">
        <f>IF( OR( Table4[[#This Row],[PrimaryMatch]]="Yes", Table4[[#This Row],[SecondaryMatch]]="Yes"), "Yes", "")</f>
        <v/>
      </c>
    </row>
    <row r="501" spans="1:18" hidden="1" x14ac:dyDescent="0.25">
      <c r="A501" t="s">
        <v>1072</v>
      </c>
      <c r="B501" t="s">
        <v>3209</v>
      </c>
      <c r="C501" t="s">
        <v>3226</v>
      </c>
      <c r="D501" t="s">
        <v>3969</v>
      </c>
      <c r="E501" s="1">
        <v>52.784999999999997</v>
      </c>
      <c r="F501" s="1">
        <v>26.273</v>
      </c>
      <c r="G501">
        <v>2</v>
      </c>
      <c r="H501">
        <v>5</v>
      </c>
      <c r="I501" t="s">
        <v>2844</v>
      </c>
      <c r="J501" t="s">
        <v>1689</v>
      </c>
      <c r="K501" s="39">
        <v>18.937508000000001</v>
      </c>
      <c r="L501" s="1">
        <v>13.728475</v>
      </c>
      <c r="M501" s="1" t="s">
        <v>3971</v>
      </c>
      <c r="N501" s="1">
        <v>947.21500000000003</v>
      </c>
      <c r="O501" s="1">
        <f>ABS(Table4[[#This Row],[EndMP]]-Table4[[#This Row],[StartMP]])</f>
        <v>26.511999999999997</v>
      </c>
      <c r="P501" s="1" t="str">
        <f>IF( AND( Table4[[#This Row],[Route]]=ClosureLocation!$B$3, ClosureLocation!$B$6 &gt;= Table4[[#This Row],[StartMP]], ClosureLocation!$B$6 &lt;= Table4[[#This Row],[EndMP]]), "Yes", "")</f>
        <v/>
      </c>
      <c r="Q501" s="1" t="str">
        <f>IF( AND( Table4[[#This Row],[Route]]=ClosureLocation!$B$3, ClosureLocation!$B$6 &lt;= Table4[[#This Row],[StartMP]], ClosureLocation!$B$6 &gt;= Table4[[#This Row],[EndMP]]), "Yes", "")</f>
        <v/>
      </c>
      <c r="R501" s="1" t="str">
        <f>IF( OR( Table4[[#This Row],[PrimaryMatch]]="Yes", Table4[[#This Row],[SecondaryMatch]]="Yes"), "Yes", "")</f>
        <v/>
      </c>
    </row>
    <row r="502" spans="1:18" hidden="1" x14ac:dyDescent="0.25">
      <c r="A502" t="s">
        <v>709</v>
      </c>
      <c r="B502" t="s">
        <v>3205</v>
      </c>
      <c r="C502" t="s">
        <v>3206</v>
      </c>
      <c r="D502" t="s">
        <v>3685</v>
      </c>
      <c r="E502" s="1">
        <v>41.070999999999998</v>
      </c>
      <c r="F502" s="1">
        <v>41.478999999999999</v>
      </c>
      <c r="G502">
        <v>2</v>
      </c>
      <c r="H502">
        <v>2</v>
      </c>
      <c r="I502" t="s">
        <v>2504</v>
      </c>
      <c r="J502" t="s">
        <v>1699</v>
      </c>
      <c r="K502" s="39">
        <v>18.926722000000002</v>
      </c>
      <c r="L502" s="1">
        <v>14.045202</v>
      </c>
      <c r="M502" s="1" t="s">
        <v>3678</v>
      </c>
      <c r="N502" s="1">
        <v>41.070999999999998</v>
      </c>
      <c r="O502" s="1">
        <f>ABS(Table4[[#This Row],[EndMP]]-Table4[[#This Row],[StartMP]])</f>
        <v>0.40800000000000125</v>
      </c>
      <c r="P502" s="1" t="str">
        <f>IF( AND( Table4[[#This Row],[Route]]=ClosureLocation!$B$3, ClosureLocation!$B$6 &gt;= Table4[[#This Row],[StartMP]], ClosureLocation!$B$6 &lt;= Table4[[#This Row],[EndMP]]), "Yes", "")</f>
        <v/>
      </c>
      <c r="Q502" s="1" t="str">
        <f>IF( AND( Table4[[#This Row],[Route]]=ClosureLocation!$B$3, ClosureLocation!$B$6 &lt;= Table4[[#This Row],[StartMP]], ClosureLocation!$B$6 &gt;= Table4[[#This Row],[EndMP]]), "Yes", "")</f>
        <v/>
      </c>
      <c r="R502" s="1" t="str">
        <f>IF( OR( Table4[[#This Row],[PrimaryMatch]]="Yes", Table4[[#This Row],[SecondaryMatch]]="Yes"), "Yes", "")</f>
        <v/>
      </c>
    </row>
    <row r="503" spans="1:18" hidden="1" x14ac:dyDescent="0.25">
      <c r="A503" t="s">
        <v>709</v>
      </c>
      <c r="B503" t="s">
        <v>3209</v>
      </c>
      <c r="C503" t="s">
        <v>3210</v>
      </c>
      <c r="D503" t="s">
        <v>3688</v>
      </c>
      <c r="E503" s="1">
        <v>41.478999999999999</v>
      </c>
      <c r="F503" s="1">
        <v>41.070999999999998</v>
      </c>
      <c r="G503">
        <v>2</v>
      </c>
      <c r="H503">
        <v>5</v>
      </c>
      <c r="I503" t="s">
        <v>2507</v>
      </c>
      <c r="J503" t="s">
        <v>1699</v>
      </c>
      <c r="K503" s="39">
        <v>18.917809999999999</v>
      </c>
      <c r="L503" s="1">
        <v>14.045365</v>
      </c>
      <c r="M503" s="1" t="s">
        <v>3680</v>
      </c>
      <c r="N503" s="1">
        <v>958.52099999999996</v>
      </c>
      <c r="O503" s="1">
        <f>ABS(Table4[[#This Row],[EndMP]]-Table4[[#This Row],[StartMP]])</f>
        <v>0.40800000000000125</v>
      </c>
      <c r="P503" s="1" t="str">
        <f>IF( AND( Table4[[#This Row],[Route]]=ClosureLocation!$B$3, ClosureLocation!$B$6 &gt;= Table4[[#This Row],[StartMP]], ClosureLocation!$B$6 &lt;= Table4[[#This Row],[EndMP]]), "Yes", "")</f>
        <v/>
      </c>
      <c r="Q503" s="1" t="str">
        <f>IF( AND( Table4[[#This Row],[Route]]=ClosureLocation!$B$3, ClosureLocation!$B$6 &lt;= Table4[[#This Row],[StartMP]], ClosureLocation!$B$6 &gt;= Table4[[#This Row],[EndMP]]), "Yes", "")</f>
        <v/>
      </c>
      <c r="R503" s="1" t="str">
        <f>IF( OR( Table4[[#This Row],[PrimaryMatch]]="Yes", Table4[[#This Row],[SecondaryMatch]]="Yes"), "Yes", "")</f>
        <v/>
      </c>
    </row>
    <row r="504" spans="1:18" hidden="1" x14ac:dyDescent="0.25">
      <c r="A504" t="s">
        <v>1258</v>
      </c>
      <c r="B504" t="s">
        <v>3209</v>
      </c>
      <c r="C504" t="s">
        <v>3210</v>
      </c>
      <c r="D504" t="s">
        <v>4101</v>
      </c>
      <c r="E504" s="1">
        <v>23.434999999999999</v>
      </c>
      <c r="F504" s="1">
        <v>0</v>
      </c>
      <c r="G504">
        <v>1</v>
      </c>
      <c r="H504">
        <v>2</v>
      </c>
      <c r="I504" t="s">
        <v>2946</v>
      </c>
      <c r="J504" t="s">
        <v>1695</v>
      </c>
      <c r="K504" s="39">
        <v>18.892137000000002</v>
      </c>
      <c r="L504" s="1">
        <v>22.319541999999998</v>
      </c>
      <c r="M504" s="58" t="s">
        <v>4102</v>
      </c>
      <c r="N504" s="1">
        <v>976.56500000000005</v>
      </c>
      <c r="O504" s="1">
        <f>ABS(Table4[[#This Row],[EndMP]]-Table4[[#This Row],[StartMP]])</f>
        <v>23.434999999999999</v>
      </c>
      <c r="P504" s="1" t="str">
        <f>IF( AND( Table4[[#This Row],[Route]]=ClosureLocation!$B$3, ClosureLocation!$B$6 &gt;= Table4[[#This Row],[StartMP]], ClosureLocation!$B$6 &lt;= Table4[[#This Row],[EndMP]]), "Yes", "")</f>
        <v/>
      </c>
      <c r="Q504" s="1" t="str">
        <f>IF( AND( Table4[[#This Row],[Route]]=ClosureLocation!$B$3, ClosureLocation!$B$6 &lt;= Table4[[#This Row],[StartMP]], ClosureLocation!$B$6 &gt;= Table4[[#This Row],[EndMP]]), "Yes", "")</f>
        <v/>
      </c>
      <c r="R504" s="1" t="str">
        <f>IF( OR( Table4[[#This Row],[PrimaryMatch]]="Yes", Table4[[#This Row],[SecondaryMatch]]="Yes"), "Yes", "")</f>
        <v/>
      </c>
    </row>
    <row r="505" spans="1:18" hidden="1" x14ac:dyDescent="0.25">
      <c r="A505" t="s">
        <v>310</v>
      </c>
      <c r="B505" t="s">
        <v>3205</v>
      </c>
      <c r="C505" t="s">
        <v>3206</v>
      </c>
      <c r="D505" t="s">
        <v>3427</v>
      </c>
      <c r="E505" s="1">
        <v>235.38399999999999</v>
      </c>
      <c r="F505" s="1">
        <v>239.99199999999999</v>
      </c>
      <c r="G505">
        <v>24</v>
      </c>
      <c r="H505">
        <v>5</v>
      </c>
      <c r="I505" t="s">
        <v>2230</v>
      </c>
      <c r="J505" t="s">
        <v>1701</v>
      </c>
      <c r="K505" s="39">
        <v>18.864231</v>
      </c>
      <c r="L505" s="1">
        <v>12.838343999999999</v>
      </c>
      <c r="M505" s="1" t="s">
        <v>3440</v>
      </c>
      <c r="N505" s="1">
        <v>235.38399999999999</v>
      </c>
      <c r="O505" s="1">
        <f>ABS(Table4[[#This Row],[EndMP]]-Table4[[#This Row],[StartMP]])</f>
        <v>4.6080000000000041</v>
      </c>
      <c r="P505" s="1" t="str">
        <f>IF( AND( Table4[[#This Row],[Route]]=ClosureLocation!$B$3, ClosureLocation!$B$6 &gt;= Table4[[#This Row],[StartMP]], ClosureLocation!$B$6 &lt;= Table4[[#This Row],[EndMP]]), "Yes", "")</f>
        <v/>
      </c>
      <c r="Q505" s="1" t="str">
        <f>IF( AND( Table4[[#This Row],[Route]]=ClosureLocation!$B$3, ClosureLocation!$B$6 &lt;= Table4[[#This Row],[StartMP]], ClosureLocation!$B$6 &gt;= Table4[[#This Row],[EndMP]]), "Yes", "")</f>
        <v/>
      </c>
      <c r="R505" s="1" t="str">
        <f>IF( OR( Table4[[#This Row],[PrimaryMatch]]="Yes", Table4[[#This Row],[SecondaryMatch]]="Yes"), "Yes", "")</f>
        <v/>
      </c>
    </row>
    <row r="506" spans="1:18" hidden="1" x14ac:dyDescent="0.25">
      <c r="A506" t="s">
        <v>310</v>
      </c>
      <c r="B506" t="s">
        <v>3205</v>
      </c>
      <c r="C506" t="s">
        <v>3206</v>
      </c>
      <c r="D506" t="s">
        <v>3427</v>
      </c>
      <c r="E506" s="1">
        <v>257.51499999999999</v>
      </c>
      <c r="F506" s="1">
        <v>262.13299999999998</v>
      </c>
      <c r="G506">
        <v>30</v>
      </c>
      <c r="H506">
        <v>21</v>
      </c>
      <c r="I506" t="s">
        <v>2236</v>
      </c>
      <c r="J506" t="s">
        <v>1694</v>
      </c>
      <c r="K506" s="39">
        <v>18.825778</v>
      </c>
      <c r="L506" s="1">
        <v>9.1799719999999994</v>
      </c>
      <c r="M506" s="1" t="s">
        <v>4892</v>
      </c>
      <c r="N506" s="1">
        <v>257.51499999999999</v>
      </c>
      <c r="O506" s="1">
        <f>ABS(Table4[[#This Row],[EndMP]]-Table4[[#This Row],[StartMP]])</f>
        <v>4.617999999999995</v>
      </c>
      <c r="P506" s="1" t="str">
        <f>IF( AND( Table4[[#This Row],[Route]]=ClosureLocation!$B$3, ClosureLocation!$B$6 &gt;= Table4[[#This Row],[StartMP]], ClosureLocation!$B$6 &lt;= Table4[[#This Row],[EndMP]]), "Yes", "")</f>
        <v/>
      </c>
      <c r="Q506" s="1" t="str">
        <f>IF( AND( Table4[[#This Row],[Route]]=ClosureLocation!$B$3, ClosureLocation!$B$6 &lt;= Table4[[#This Row],[StartMP]], ClosureLocation!$B$6 &gt;= Table4[[#This Row],[EndMP]]), "Yes", "")</f>
        <v/>
      </c>
      <c r="R506" s="1" t="str">
        <f>IF( OR( Table4[[#This Row],[PrimaryMatch]]="Yes", Table4[[#This Row],[SecondaryMatch]]="Yes"), "Yes", "")</f>
        <v/>
      </c>
    </row>
    <row r="507" spans="1:18" hidden="1" x14ac:dyDescent="0.25">
      <c r="A507" t="s">
        <v>1072</v>
      </c>
      <c r="B507" t="s">
        <v>3205</v>
      </c>
      <c r="C507" t="s">
        <v>3222</v>
      </c>
      <c r="D507" t="s">
        <v>3965</v>
      </c>
      <c r="E507" s="1">
        <v>26.273</v>
      </c>
      <c r="F507" s="1">
        <v>52.784999999999997</v>
      </c>
      <c r="G507">
        <v>2</v>
      </c>
      <c r="H507">
        <v>2</v>
      </c>
      <c r="I507" t="s">
        <v>2841</v>
      </c>
      <c r="J507" t="s">
        <v>1689</v>
      </c>
      <c r="K507" s="39">
        <v>18.766124999999999</v>
      </c>
      <c r="L507" s="1">
        <v>13.664166</v>
      </c>
      <c r="M507" s="1" t="s">
        <v>3967</v>
      </c>
      <c r="N507" s="1">
        <v>26.273</v>
      </c>
      <c r="O507" s="1">
        <f>ABS(Table4[[#This Row],[EndMP]]-Table4[[#This Row],[StartMP]])</f>
        <v>26.511999999999997</v>
      </c>
      <c r="P507" s="1" t="str">
        <f>IF( AND( Table4[[#This Row],[Route]]=ClosureLocation!$B$3, ClosureLocation!$B$6 &gt;= Table4[[#This Row],[StartMP]], ClosureLocation!$B$6 &lt;= Table4[[#This Row],[EndMP]]), "Yes", "")</f>
        <v/>
      </c>
      <c r="Q507" s="1" t="str">
        <f>IF( AND( Table4[[#This Row],[Route]]=ClosureLocation!$B$3, ClosureLocation!$B$6 &lt;= Table4[[#This Row],[StartMP]], ClosureLocation!$B$6 &gt;= Table4[[#This Row],[EndMP]]), "Yes", "")</f>
        <v/>
      </c>
      <c r="R507" s="1" t="str">
        <f>IF( OR( Table4[[#This Row],[PrimaryMatch]]="Yes", Table4[[#This Row],[SecondaryMatch]]="Yes"), "Yes", "")</f>
        <v/>
      </c>
    </row>
    <row r="508" spans="1:18" hidden="1" x14ac:dyDescent="0.25">
      <c r="A508" t="s">
        <v>1258</v>
      </c>
      <c r="B508" t="s">
        <v>3205</v>
      </c>
      <c r="C508" t="s">
        <v>3206</v>
      </c>
      <c r="D508" t="s">
        <v>4099</v>
      </c>
      <c r="E508" s="1">
        <v>0</v>
      </c>
      <c r="F508" s="1">
        <v>23.434999999999999</v>
      </c>
      <c r="G508">
        <v>1</v>
      </c>
      <c r="H508">
        <v>1</v>
      </c>
      <c r="I508" t="s">
        <v>2945</v>
      </c>
      <c r="J508" t="s">
        <v>1695</v>
      </c>
      <c r="K508" s="39">
        <v>18.575942999999999</v>
      </c>
      <c r="L508" s="1">
        <v>22.319541999999998</v>
      </c>
      <c r="M508" s="58" t="s">
        <v>4100</v>
      </c>
      <c r="N508" s="1">
        <v>0</v>
      </c>
      <c r="O508" s="1">
        <f>ABS(Table4[[#This Row],[EndMP]]-Table4[[#This Row],[StartMP]])</f>
        <v>23.434999999999999</v>
      </c>
      <c r="P508" s="1" t="str">
        <f>IF( AND( Table4[[#This Row],[Route]]=ClosureLocation!$B$3, ClosureLocation!$B$6 &gt;= Table4[[#This Row],[StartMP]], ClosureLocation!$B$6 &lt;= Table4[[#This Row],[EndMP]]), "Yes", "")</f>
        <v/>
      </c>
      <c r="Q508" s="1" t="str">
        <f>IF( AND( Table4[[#This Row],[Route]]=ClosureLocation!$B$3, ClosureLocation!$B$6 &lt;= Table4[[#This Row],[StartMP]], ClosureLocation!$B$6 &gt;= Table4[[#This Row],[EndMP]]), "Yes", "")</f>
        <v/>
      </c>
      <c r="R508" s="1" t="str">
        <f>IF( OR( Table4[[#This Row],[PrimaryMatch]]="Yes", Table4[[#This Row],[SecondaryMatch]]="Yes"), "Yes", "")</f>
        <v/>
      </c>
    </row>
    <row r="509" spans="1:18" hidden="1" x14ac:dyDescent="0.25">
      <c r="A509" t="s">
        <v>870</v>
      </c>
      <c r="B509" t="s">
        <v>3205</v>
      </c>
      <c r="C509" t="s">
        <v>3206</v>
      </c>
      <c r="D509" t="s">
        <v>3787</v>
      </c>
      <c r="E509" s="1">
        <v>8.5000000000000006E-2</v>
      </c>
      <c r="F509" s="1">
        <v>0.52800000000000002</v>
      </c>
      <c r="G509">
        <v>1</v>
      </c>
      <c r="H509">
        <v>1</v>
      </c>
      <c r="I509" t="s">
        <v>2674</v>
      </c>
      <c r="J509" t="s">
        <v>1699</v>
      </c>
      <c r="K509" s="39">
        <v>18.539724</v>
      </c>
      <c r="L509" s="1">
        <v>13.984124</v>
      </c>
      <c r="M509" s="1" t="s">
        <v>3788</v>
      </c>
      <c r="N509" s="1">
        <v>8.5000000000000006E-2</v>
      </c>
      <c r="O509" s="1">
        <f>ABS(Table4[[#This Row],[EndMP]]-Table4[[#This Row],[StartMP]])</f>
        <v>0.443</v>
      </c>
      <c r="P509" s="1" t="str">
        <f>IF( AND( Table4[[#This Row],[Route]]=ClosureLocation!$B$3, ClosureLocation!$B$6 &gt;= Table4[[#This Row],[StartMP]], ClosureLocation!$B$6 &lt;= Table4[[#This Row],[EndMP]]), "Yes", "")</f>
        <v/>
      </c>
      <c r="Q509" s="1" t="str">
        <f>IF( AND( Table4[[#This Row],[Route]]=ClosureLocation!$B$3, ClosureLocation!$B$6 &lt;= Table4[[#This Row],[StartMP]], ClosureLocation!$B$6 &gt;= Table4[[#This Row],[EndMP]]), "Yes", "")</f>
        <v/>
      </c>
      <c r="R509" s="1" t="str">
        <f>IF( OR( Table4[[#This Row],[PrimaryMatch]]="Yes", Table4[[#This Row],[SecondaryMatch]]="Yes"), "Yes", "")</f>
        <v/>
      </c>
    </row>
    <row r="510" spans="1:18" hidden="1" x14ac:dyDescent="0.25">
      <c r="A510" t="s">
        <v>870</v>
      </c>
      <c r="B510" t="s">
        <v>3209</v>
      </c>
      <c r="C510" t="s">
        <v>3210</v>
      </c>
      <c r="D510" t="s">
        <v>3789</v>
      </c>
      <c r="E510" s="1">
        <v>0.52800000000000002</v>
      </c>
      <c r="F510" s="1">
        <v>8.5000000000000006E-2</v>
      </c>
      <c r="G510">
        <v>1</v>
      </c>
      <c r="H510">
        <v>2</v>
      </c>
      <c r="I510" t="s">
        <v>2675</v>
      </c>
      <c r="J510" t="s">
        <v>1699</v>
      </c>
      <c r="K510" s="39">
        <v>18.503547999999999</v>
      </c>
      <c r="L510" s="1">
        <v>13.988334</v>
      </c>
      <c r="M510" s="1" t="s">
        <v>3790</v>
      </c>
      <c r="N510" s="1">
        <v>999.47199999999998</v>
      </c>
      <c r="O510" s="1">
        <f>ABS(Table4[[#This Row],[EndMP]]-Table4[[#This Row],[StartMP]])</f>
        <v>0.443</v>
      </c>
      <c r="P510" s="1" t="str">
        <f>IF( AND( Table4[[#This Row],[Route]]=ClosureLocation!$B$3, ClosureLocation!$B$6 &gt;= Table4[[#This Row],[StartMP]], ClosureLocation!$B$6 &lt;= Table4[[#This Row],[EndMP]]), "Yes", "")</f>
        <v/>
      </c>
      <c r="Q510" s="1" t="str">
        <f>IF( AND( Table4[[#This Row],[Route]]=ClosureLocation!$B$3, ClosureLocation!$B$6 &lt;= Table4[[#This Row],[StartMP]], ClosureLocation!$B$6 &gt;= Table4[[#This Row],[EndMP]]), "Yes", "")</f>
        <v/>
      </c>
      <c r="R510" s="1" t="str">
        <f>IF( OR( Table4[[#This Row],[PrimaryMatch]]="Yes", Table4[[#This Row],[SecondaryMatch]]="Yes"), "Yes", "")</f>
        <v/>
      </c>
    </row>
    <row r="511" spans="1:18" hidden="1" x14ac:dyDescent="0.25">
      <c r="A511" t="s">
        <v>93</v>
      </c>
      <c r="B511" t="s">
        <v>3205</v>
      </c>
      <c r="C511" t="s">
        <v>3222</v>
      </c>
      <c r="D511" t="s">
        <v>3264</v>
      </c>
      <c r="E511" s="1">
        <v>404.64400000000001</v>
      </c>
      <c r="F511" s="1">
        <v>406.27699999999999</v>
      </c>
      <c r="G511">
        <v>2</v>
      </c>
      <c r="H511">
        <v>1</v>
      </c>
      <c r="I511" t="s">
        <v>2090</v>
      </c>
      <c r="J511" t="s">
        <v>1705</v>
      </c>
      <c r="K511" s="39">
        <v>18.460384999999999</v>
      </c>
      <c r="L511" s="1">
        <v>17.557167</v>
      </c>
      <c r="M511" s="1" t="s">
        <v>5040</v>
      </c>
      <c r="N511" s="1">
        <v>404.64400000000001</v>
      </c>
      <c r="O511" s="1">
        <f>ABS(Table4[[#This Row],[EndMP]]-Table4[[#This Row],[StartMP]])</f>
        <v>1.6329999999999814</v>
      </c>
      <c r="P511" s="1" t="str">
        <f>IF( AND( Table4[[#This Row],[Route]]=ClosureLocation!$B$3, ClosureLocation!$B$6 &gt;= Table4[[#This Row],[StartMP]], ClosureLocation!$B$6 &lt;= Table4[[#This Row],[EndMP]]), "Yes", "")</f>
        <v/>
      </c>
      <c r="Q511" s="1" t="str">
        <f>IF( AND( Table4[[#This Row],[Route]]=ClosureLocation!$B$3, ClosureLocation!$B$6 &lt;= Table4[[#This Row],[StartMP]], ClosureLocation!$B$6 &gt;= Table4[[#This Row],[EndMP]]), "Yes", "")</f>
        <v/>
      </c>
      <c r="R511" s="1" t="str">
        <f>IF( OR( Table4[[#This Row],[PrimaryMatch]]="Yes", Table4[[#This Row],[SecondaryMatch]]="Yes"), "Yes", "")</f>
        <v/>
      </c>
    </row>
    <row r="512" spans="1:18" hidden="1" x14ac:dyDescent="0.25">
      <c r="A512" t="s">
        <v>310</v>
      </c>
      <c r="B512" t="s">
        <v>3209</v>
      </c>
      <c r="C512" t="s">
        <v>3210</v>
      </c>
      <c r="D512" t="s">
        <v>3444</v>
      </c>
      <c r="E512" s="1">
        <v>262.13299999999998</v>
      </c>
      <c r="F512" s="1">
        <v>257.51499999999999</v>
      </c>
      <c r="G512">
        <v>4</v>
      </c>
      <c r="H512">
        <v>28</v>
      </c>
      <c r="I512" t="s">
        <v>2243</v>
      </c>
      <c r="J512" t="s">
        <v>1694</v>
      </c>
      <c r="K512" s="39">
        <v>18.440431</v>
      </c>
      <c r="L512" s="1">
        <v>8.9729010000000002</v>
      </c>
      <c r="M512" s="1" t="s">
        <v>4899</v>
      </c>
      <c r="N512" s="1">
        <v>737.86699999999996</v>
      </c>
      <c r="O512" s="1">
        <f>ABS(Table4[[#This Row],[EndMP]]-Table4[[#This Row],[StartMP]])</f>
        <v>4.617999999999995</v>
      </c>
      <c r="P512" s="1" t="str">
        <f>IF( AND( Table4[[#This Row],[Route]]=ClosureLocation!$B$3, ClosureLocation!$B$6 &gt;= Table4[[#This Row],[StartMP]], ClosureLocation!$B$6 &lt;= Table4[[#This Row],[EndMP]]), "Yes", "")</f>
        <v/>
      </c>
      <c r="Q512" s="1" t="str">
        <f>IF( AND( Table4[[#This Row],[Route]]=ClosureLocation!$B$3, ClosureLocation!$B$6 &lt;= Table4[[#This Row],[StartMP]], ClosureLocation!$B$6 &gt;= Table4[[#This Row],[EndMP]]), "Yes", "")</f>
        <v/>
      </c>
      <c r="R512" s="1" t="str">
        <f>IF( OR( Table4[[#This Row],[PrimaryMatch]]="Yes", Table4[[#This Row],[SecondaryMatch]]="Yes"), "Yes", "")</f>
        <v/>
      </c>
    </row>
    <row r="513" spans="1:18" hidden="1" x14ac:dyDescent="0.25">
      <c r="A513" t="s">
        <v>310</v>
      </c>
      <c r="B513" t="s">
        <v>3209</v>
      </c>
      <c r="C513" t="s">
        <v>3210</v>
      </c>
      <c r="D513" t="s">
        <v>3444</v>
      </c>
      <c r="E513" s="1">
        <v>239.99199999999999</v>
      </c>
      <c r="F513" s="1">
        <v>235.38399999999999</v>
      </c>
      <c r="G513">
        <v>10</v>
      </c>
      <c r="H513">
        <v>12</v>
      </c>
      <c r="I513" t="s">
        <v>2249</v>
      </c>
      <c r="J513" t="s">
        <v>1701</v>
      </c>
      <c r="K513" s="39">
        <v>18.370173999999999</v>
      </c>
      <c r="L513" s="1">
        <v>12.5106</v>
      </c>
      <c r="M513" s="1" t="s">
        <v>3448</v>
      </c>
      <c r="N513" s="1">
        <v>760.00800000000004</v>
      </c>
      <c r="O513" s="1">
        <f>ABS(Table4[[#This Row],[EndMP]]-Table4[[#This Row],[StartMP]])</f>
        <v>4.6080000000000041</v>
      </c>
      <c r="P513" s="1" t="str">
        <f>IF( AND( Table4[[#This Row],[Route]]=ClosureLocation!$B$3, ClosureLocation!$B$6 &gt;= Table4[[#This Row],[StartMP]], ClosureLocation!$B$6 &lt;= Table4[[#This Row],[EndMP]]), "Yes", "")</f>
        <v/>
      </c>
      <c r="Q513" s="1" t="str">
        <f>IF( AND( Table4[[#This Row],[Route]]=ClosureLocation!$B$3, ClosureLocation!$B$6 &lt;= Table4[[#This Row],[StartMP]], ClosureLocation!$B$6 &gt;= Table4[[#This Row],[EndMP]]), "Yes", "")</f>
        <v/>
      </c>
      <c r="R513" s="1" t="str">
        <f>IF( OR( Table4[[#This Row],[PrimaryMatch]]="Yes", Table4[[#This Row],[SecondaryMatch]]="Yes"), "Yes", "")</f>
        <v/>
      </c>
    </row>
    <row r="514" spans="1:18" hidden="1" x14ac:dyDescent="0.25">
      <c r="A514" t="s">
        <v>990</v>
      </c>
      <c r="B514" t="s">
        <v>3209</v>
      </c>
      <c r="C514" t="s">
        <v>3210</v>
      </c>
      <c r="D514" t="s">
        <v>3889</v>
      </c>
      <c r="E514" s="1">
        <v>265.38299999999998</v>
      </c>
      <c r="F514" s="1">
        <v>252</v>
      </c>
      <c r="G514">
        <v>1</v>
      </c>
      <c r="H514">
        <v>6</v>
      </c>
      <c r="I514" t="s">
        <v>2784</v>
      </c>
      <c r="J514" t="s">
        <v>1693</v>
      </c>
      <c r="K514" s="39">
        <v>18.284122</v>
      </c>
      <c r="L514" s="1">
        <v>21.215487</v>
      </c>
      <c r="M514" s="1" t="s">
        <v>3890</v>
      </c>
      <c r="N514" s="1">
        <v>734.61699999999996</v>
      </c>
      <c r="O514" s="1">
        <f>ABS(Table4[[#This Row],[EndMP]]-Table4[[#This Row],[StartMP]])</f>
        <v>13.382999999999981</v>
      </c>
      <c r="P514" s="1" t="str">
        <f>IF( AND( Table4[[#This Row],[Route]]=ClosureLocation!$B$3, ClosureLocation!$B$6 &gt;= Table4[[#This Row],[StartMP]], ClosureLocation!$B$6 &lt;= Table4[[#This Row],[EndMP]]), "Yes", "")</f>
        <v/>
      </c>
      <c r="Q514" s="1" t="str">
        <f>IF( AND( Table4[[#This Row],[Route]]=ClosureLocation!$B$3, ClosureLocation!$B$6 &lt;= Table4[[#This Row],[StartMP]], ClosureLocation!$B$6 &gt;= Table4[[#This Row],[EndMP]]), "Yes", "")</f>
        <v/>
      </c>
      <c r="R514" s="1" t="str">
        <f>IF( OR( Table4[[#This Row],[PrimaryMatch]]="Yes", Table4[[#This Row],[SecondaryMatch]]="Yes"), "Yes", "")</f>
        <v/>
      </c>
    </row>
    <row r="515" spans="1:18" hidden="1" x14ac:dyDescent="0.25">
      <c r="A515" t="s">
        <v>1207</v>
      </c>
      <c r="B515" t="s">
        <v>3209</v>
      </c>
      <c r="C515" t="s">
        <v>3210</v>
      </c>
      <c r="D515" t="s">
        <v>4070</v>
      </c>
      <c r="E515" s="1">
        <v>0.32300000000000001</v>
      </c>
      <c r="F515" s="1">
        <v>9.8000000000000004E-2</v>
      </c>
      <c r="G515">
        <v>1</v>
      </c>
      <c r="H515">
        <v>2</v>
      </c>
      <c r="I515" t="s">
        <v>2919</v>
      </c>
      <c r="J515" t="s">
        <v>1692</v>
      </c>
      <c r="K515" s="39">
        <v>18.192491</v>
      </c>
      <c r="L515" s="1">
        <v>12.977168000000001</v>
      </c>
      <c r="M515" s="1" t="s">
        <v>4071</v>
      </c>
      <c r="N515" s="1">
        <v>999.67700000000002</v>
      </c>
      <c r="O515" s="1">
        <f>ABS(Table4[[#This Row],[EndMP]]-Table4[[#This Row],[StartMP]])</f>
        <v>0.22500000000000001</v>
      </c>
      <c r="P515" s="1" t="str">
        <f>IF( AND( Table4[[#This Row],[Route]]=ClosureLocation!$B$3, ClosureLocation!$B$6 &gt;= Table4[[#This Row],[StartMP]], ClosureLocation!$B$6 &lt;= Table4[[#This Row],[EndMP]]), "Yes", "")</f>
        <v/>
      </c>
      <c r="Q515" s="1" t="str">
        <f>IF( AND( Table4[[#This Row],[Route]]=ClosureLocation!$B$3, ClosureLocation!$B$6 &lt;= Table4[[#This Row],[StartMP]], ClosureLocation!$B$6 &gt;= Table4[[#This Row],[EndMP]]), "Yes", "")</f>
        <v/>
      </c>
      <c r="R515" s="1" t="str">
        <f>IF( OR( Table4[[#This Row],[PrimaryMatch]]="Yes", Table4[[#This Row],[SecondaryMatch]]="Yes"), "Yes", "")</f>
        <v/>
      </c>
    </row>
    <row r="516" spans="1:18" hidden="1" x14ac:dyDescent="0.25">
      <c r="A516" t="s">
        <v>310</v>
      </c>
      <c r="B516" t="s">
        <v>3209</v>
      </c>
      <c r="C516" t="s">
        <v>3210</v>
      </c>
      <c r="D516" t="s">
        <v>3444</v>
      </c>
      <c r="E516" s="1">
        <v>255.059</v>
      </c>
      <c r="F516" s="1">
        <v>252.40299999999999</v>
      </c>
      <c r="G516">
        <v>6</v>
      </c>
      <c r="H516">
        <v>30</v>
      </c>
      <c r="I516" t="s">
        <v>2245</v>
      </c>
      <c r="J516" t="s">
        <v>1694</v>
      </c>
      <c r="K516" s="39">
        <v>18.170556999999999</v>
      </c>
      <c r="L516" s="1">
        <v>9.2304829999999995</v>
      </c>
      <c r="M516" s="1" t="s">
        <v>4901</v>
      </c>
      <c r="N516" s="1">
        <v>744.94100000000003</v>
      </c>
      <c r="O516" s="1">
        <f>ABS(Table4[[#This Row],[EndMP]]-Table4[[#This Row],[StartMP]])</f>
        <v>2.6560000000000059</v>
      </c>
      <c r="P516" s="1" t="str">
        <f>IF( AND( Table4[[#This Row],[Route]]=ClosureLocation!$B$3, ClosureLocation!$B$6 &gt;= Table4[[#This Row],[StartMP]], ClosureLocation!$B$6 &lt;= Table4[[#This Row],[EndMP]]), "Yes", "")</f>
        <v/>
      </c>
      <c r="Q516" s="1" t="str">
        <f>IF( AND( Table4[[#This Row],[Route]]=ClosureLocation!$B$3, ClosureLocation!$B$6 &lt;= Table4[[#This Row],[StartMP]], ClosureLocation!$B$6 &gt;= Table4[[#This Row],[EndMP]]), "Yes", "")</f>
        <v/>
      </c>
      <c r="R516" s="1" t="str">
        <f>IF( OR( Table4[[#This Row],[PrimaryMatch]]="Yes", Table4[[#This Row],[SecondaryMatch]]="Yes"), "Yes", "")</f>
        <v/>
      </c>
    </row>
    <row r="517" spans="1:18" hidden="1" x14ac:dyDescent="0.25">
      <c r="A517" t="s">
        <v>310</v>
      </c>
      <c r="B517" t="s">
        <v>3205</v>
      </c>
      <c r="C517" t="s">
        <v>3206</v>
      </c>
      <c r="D517" t="s">
        <v>3427</v>
      </c>
      <c r="E517" s="1">
        <v>252.40299999999999</v>
      </c>
      <c r="F517" s="1">
        <v>255</v>
      </c>
      <c r="G517">
        <v>28</v>
      </c>
      <c r="H517">
        <v>19</v>
      </c>
      <c r="I517" t="s">
        <v>2234</v>
      </c>
      <c r="J517" t="s">
        <v>1694</v>
      </c>
      <c r="K517" s="39">
        <v>18.169243999999999</v>
      </c>
      <c r="L517" s="1">
        <v>9.2202420000000007</v>
      </c>
      <c r="M517" s="1" t="s">
        <v>4890</v>
      </c>
      <c r="N517" s="1">
        <v>252.40299999999999</v>
      </c>
      <c r="O517" s="1">
        <f>ABS(Table4[[#This Row],[EndMP]]-Table4[[#This Row],[StartMP]])</f>
        <v>2.5970000000000084</v>
      </c>
      <c r="P517" s="1" t="str">
        <f>IF( AND( Table4[[#This Row],[Route]]=ClosureLocation!$B$3, ClosureLocation!$B$6 &gt;= Table4[[#This Row],[StartMP]], ClosureLocation!$B$6 &lt;= Table4[[#This Row],[EndMP]]), "Yes", "")</f>
        <v/>
      </c>
      <c r="Q517" s="1" t="str">
        <f>IF( AND( Table4[[#This Row],[Route]]=ClosureLocation!$B$3, ClosureLocation!$B$6 &lt;= Table4[[#This Row],[StartMP]], ClosureLocation!$B$6 &gt;= Table4[[#This Row],[EndMP]]), "Yes", "")</f>
        <v/>
      </c>
      <c r="R517" s="1" t="str">
        <f>IF( OR( Table4[[#This Row],[PrimaryMatch]]="Yes", Table4[[#This Row],[SecondaryMatch]]="Yes"), "Yes", "")</f>
        <v/>
      </c>
    </row>
    <row r="518" spans="1:18" hidden="1" x14ac:dyDescent="0.25">
      <c r="A518" t="s">
        <v>1206</v>
      </c>
      <c r="B518" t="s">
        <v>3205</v>
      </c>
      <c r="C518" t="s">
        <v>3222</v>
      </c>
      <c r="D518" t="s">
        <v>4064</v>
      </c>
      <c r="E518" s="1">
        <v>12.167999999999999</v>
      </c>
      <c r="F518" s="1">
        <v>13.994</v>
      </c>
      <c r="H518">
        <v>1</v>
      </c>
      <c r="I518" t="s">
        <v>2916</v>
      </c>
      <c r="J518" t="s">
        <v>1692</v>
      </c>
      <c r="K518" s="39">
        <v>17.992048</v>
      </c>
      <c r="L518" s="1">
        <v>14.976115</v>
      </c>
      <c r="M518" s="1" t="s">
        <v>4065</v>
      </c>
      <c r="N518" s="1">
        <v>12.167999999999999</v>
      </c>
      <c r="O518" s="1">
        <f>ABS(Table4[[#This Row],[EndMP]]-Table4[[#This Row],[StartMP]])</f>
        <v>1.8260000000000005</v>
      </c>
      <c r="P518" s="1" t="str">
        <f>IF( AND( Table4[[#This Row],[Route]]=ClosureLocation!$B$3, ClosureLocation!$B$6 &gt;= Table4[[#This Row],[StartMP]], ClosureLocation!$B$6 &lt;= Table4[[#This Row],[EndMP]]), "Yes", "")</f>
        <v/>
      </c>
      <c r="Q518" s="1" t="str">
        <f>IF( AND( Table4[[#This Row],[Route]]=ClosureLocation!$B$3, ClosureLocation!$B$6 &lt;= Table4[[#This Row],[StartMP]], ClosureLocation!$B$6 &gt;= Table4[[#This Row],[EndMP]]), "Yes", "")</f>
        <v/>
      </c>
      <c r="R518" s="1" t="str">
        <f>IF( OR( Table4[[#This Row],[PrimaryMatch]]="Yes", Table4[[#This Row],[SecondaryMatch]]="Yes"), "Yes", "")</f>
        <v/>
      </c>
    </row>
    <row r="519" spans="1:18" hidden="1" x14ac:dyDescent="0.25">
      <c r="A519" t="s">
        <v>206</v>
      </c>
      <c r="B519" t="s">
        <v>3205</v>
      </c>
      <c r="C519" t="s">
        <v>3222</v>
      </c>
      <c r="D519" t="s">
        <v>3343</v>
      </c>
      <c r="E519" s="1">
        <v>134.77000000000001</v>
      </c>
      <c r="F519" s="1">
        <v>138.749</v>
      </c>
      <c r="G519">
        <v>1</v>
      </c>
      <c r="H519">
        <v>1</v>
      </c>
      <c r="I519" t="s">
        <v>2145</v>
      </c>
      <c r="J519" t="s">
        <v>1702</v>
      </c>
      <c r="K519" s="39">
        <v>17.977307</v>
      </c>
      <c r="L519" s="1">
        <v>16.206562000000002</v>
      </c>
      <c r="M519" s="1" t="s">
        <v>3344</v>
      </c>
      <c r="N519" s="1">
        <v>134.77000000000001</v>
      </c>
      <c r="O519" s="1">
        <f>ABS(Table4[[#This Row],[EndMP]]-Table4[[#This Row],[StartMP]])</f>
        <v>3.978999999999985</v>
      </c>
      <c r="P519" s="1" t="str">
        <f>IF( AND( Table4[[#This Row],[Route]]=ClosureLocation!$B$3, ClosureLocation!$B$6 &gt;= Table4[[#This Row],[StartMP]], ClosureLocation!$B$6 &lt;= Table4[[#This Row],[EndMP]]), "Yes", "")</f>
        <v/>
      </c>
      <c r="Q519" s="1" t="str">
        <f>IF( AND( Table4[[#This Row],[Route]]=ClosureLocation!$B$3, ClosureLocation!$B$6 &lt;= Table4[[#This Row],[StartMP]], ClosureLocation!$B$6 &gt;= Table4[[#This Row],[EndMP]]), "Yes", "")</f>
        <v/>
      </c>
      <c r="R519" s="1" t="str">
        <f>IF( OR( Table4[[#This Row],[PrimaryMatch]]="Yes", Table4[[#This Row],[SecondaryMatch]]="Yes"), "Yes", "")</f>
        <v/>
      </c>
    </row>
    <row r="520" spans="1:18" hidden="1" x14ac:dyDescent="0.25">
      <c r="A520" t="s">
        <v>206</v>
      </c>
      <c r="B520" t="s">
        <v>3209</v>
      </c>
      <c r="C520" t="s">
        <v>3226</v>
      </c>
      <c r="D520" t="s">
        <v>3351</v>
      </c>
      <c r="E520" s="1">
        <v>138.749</v>
      </c>
      <c r="F520" s="1">
        <v>134.77000000000001</v>
      </c>
      <c r="G520">
        <v>7</v>
      </c>
      <c r="H520">
        <v>8</v>
      </c>
      <c r="I520" t="s">
        <v>2158</v>
      </c>
      <c r="J520" t="s">
        <v>1702</v>
      </c>
      <c r="K520" s="39">
        <v>17.926126</v>
      </c>
      <c r="L520" s="1">
        <v>16.032129999999999</v>
      </c>
      <c r="M520" s="1" t="s">
        <v>3358</v>
      </c>
      <c r="N520" s="1">
        <v>861.25099999999998</v>
      </c>
      <c r="O520" s="1">
        <f>ABS(Table4[[#This Row],[EndMP]]-Table4[[#This Row],[StartMP]])</f>
        <v>3.978999999999985</v>
      </c>
      <c r="P520" s="1" t="str">
        <f>IF( AND( Table4[[#This Row],[Route]]=ClosureLocation!$B$3, ClosureLocation!$B$6 &gt;= Table4[[#This Row],[StartMP]], ClosureLocation!$B$6 &lt;= Table4[[#This Row],[EndMP]]), "Yes", "")</f>
        <v/>
      </c>
      <c r="Q520" s="1" t="str">
        <f>IF( AND( Table4[[#This Row],[Route]]=ClosureLocation!$B$3, ClosureLocation!$B$6 &lt;= Table4[[#This Row],[StartMP]], ClosureLocation!$B$6 &gt;= Table4[[#This Row],[EndMP]]), "Yes", "")</f>
        <v/>
      </c>
      <c r="R520" s="1" t="str">
        <f>IF( OR( Table4[[#This Row],[PrimaryMatch]]="Yes", Table4[[#This Row],[SecondaryMatch]]="Yes"), "Yes", "")</f>
        <v/>
      </c>
    </row>
    <row r="521" spans="1:18" hidden="1" x14ac:dyDescent="0.25">
      <c r="A521" t="s">
        <v>1207</v>
      </c>
      <c r="B521" t="s">
        <v>3205</v>
      </c>
      <c r="C521" t="s">
        <v>3206</v>
      </c>
      <c r="D521" t="s">
        <v>4068</v>
      </c>
      <c r="E521" s="1">
        <v>9.8000000000000004E-2</v>
      </c>
      <c r="F521" s="1">
        <v>0.32300000000000001</v>
      </c>
      <c r="G521">
        <v>1</v>
      </c>
      <c r="H521">
        <v>1</v>
      </c>
      <c r="I521" t="s">
        <v>2918</v>
      </c>
      <c r="J521" t="s">
        <v>1692</v>
      </c>
      <c r="K521" s="39">
        <v>17.884285999999999</v>
      </c>
      <c r="L521" s="1">
        <v>12.820848</v>
      </c>
      <c r="M521" s="1" t="s">
        <v>4069</v>
      </c>
      <c r="N521" s="1">
        <v>9.8000000000000004E-2</v>
      </c>
      <c r="O521" s="1">
        <f>ABS(Table4[[#This Row],[EndMP]]-Table4[[#This Row],[StartMP]])</f>
        <v>0.22500000000000001</v>
      </c>
      <c r="P521" s="1" t="str">
        <f>IF( AND( Table4[[#This Row],[Route]]=ClosureLocation!$B$3, ClosureLocation!$B$6 &gt;= Table4[[#This Row],[StartMP]], ClosureLocation!$B$6 &lt;= Table4[[#This Row],[EndMP]]), "Yes", "")</f>
        <v/>
      </c>
      <c r="Q521" s="1" t="str">
        <f>IF( AND( Table4[[#This Row],[Route]]=ClosureLocation!$B$3, ClosureLocation!$B$6 &lt;= Table4[[#This Row],[StartMP]], ClosureLocation!$B$6 &gt;= Table4[[#This Row],[EndMP]]), "Yes", "")</f>
        <v/>
      </c>
      <c r="R521" s="1" t="str">
        <f>IF( OR( Table4[[#This Row],[PrimaryMatch]]="Yes", Table4[[#This Row],[SecondaryMatch]]="Yes"), "Yes", "")</f>
        <v/>
      </c>
    </row>
    <row r="522" spans="1:18" hidden="1" x14ac:dyDescent="0.25">
      <c r="A522" t="s">
        <v>1206</v>
      </c>
      <c r="B522" t="s">
        <v>3209</v>
      </c>
      <c r="C522" t="s">
        <v>3226</v>
      </c>
      <c r="D522" t="s">
        <v>4066</v>
      </c>
      <c r="E522" s="1">
        <v>13.994</v>
      </c>
      <c r="F522" s="1">
        <v>12.167999999999999</v>
      </c>
      <c r="H522">
        <v>2</v>
      </c>
      <c r="I522" t="s">
        <v>2917</v>
      </c>
      <c r="J522" t="s">
        <v>1692</v>
      </c>
      <c r="K522" s="39">
        <v>17.85012</v>
      </c>
      <c r="L522" s="1">
        <v>11.760687000000001</v>
      </c>
      <c r="M522" s="1" t="s">
        <v>4067</v>
      </c>
      <c r="N522" s="1">
        <v>986.00599999999997</v>
      </c>
      <c r="O522" s="1">
        <f>ABS(Table4[[#This Row],[EndMP]]-Table4[[#This Row],[StartMP]])</f>
        <v>1.8260000000000005</v>
      </c>
      <c r="P522" s="1" t="str">
        <f>IF( AND( Table4[[#This Row],[Route]]=ClosureLocation!$B$3, ClosureLocation!$B$6 &gt;= Table4[[#This Row],[StartMP]], ClosureLocation!$B$6 &lt;= Table4[[#This Row],[EndMP]]), "Yes", "")</f>
        <v/>
      </c>
      <c r="Q522" s="1" t="str">
        <f>IF( AND( Table4[[#This Row],[Route]]=ClosureLocation!$B$3, ClosureLocation!$B$6 &lt;= Table4[[#This Row],[StartMP]], ClosureLocation!$B$6 &gt;= Table4[[#This Row],[EndMP]]), "Yes", "")</f>
        <v/>
      </c>
      <c r="R522" s="1" t="str">
        <f>IF( OR( Table4[[#This Row],[PrimaryMatch]]="Yes", Table4[[#This Row],[SecondaryMatch]]="Yes"), "Yes", "")</f>
        <v/>
      </c>
    </row>
    <row r="523" spans="1:18" hidden="1" x14ac:dyDescent="0.25">
      <c r="A523" t="s">
        <v>1661</v>
      </c>
      <c r="B523" t="s">
        <v>3209</v>
      </c>
      <c r="C523" t="s">
        <v>3222</v>
      </c>
      <c r="D523" t="s">
        <v>4403</v>
      </c>
      <c r="E523" s="1">
        <v>51.790999999999997</v>
      </c>
      <c r="F523" s="1">
        <v>48.496000000000002</v>
      </c>
      <c r="G523">
        <v>2</v>
      </c>
      <c r="H523">
        <v>2</v>
      </c>
      <c r="I523" t="s">
        <v>3188</v>
      </c>
      <c r="J523" t="s">
        <v>1691</v>
      </c>
      <c r="K523" s="39">
        <v>17.727419999999999</v>
      </c>
      <c r="L523" s="1">
        <v>8.3086789999999997</v>
      </c>
      <c r="M523" s="1" t="s">
        <v>4405</v>
      </c>
      <c r="N523" s="1">
        <v>948.20899999999995</v>
      </c>
      <c r="O523" s="1">
        <f>ABS(Table4[[#This Row],[EndMP]]-Table4[[#This Row],[StartMP]])</f>
        <v>3.2949999999999946</v>
      </c>
      <c r="P523" s="1" t="str">
        <f>IF( AND( Table4[[#This Row],[Route]]=ClosureLocation!$B$3, ClosureLocation!$B$6 &gt;= Table4[[#This Row],[StartMP]], ClosureLocation!$B$6 &lt;= Table4[[#This Row],[EndMP]]), "Yes", "")</f>
        <v/>
      </c>
      <c r="Q523" s="1" t="str">
        <f>IF( AND( Table4[[#This Row],[Route]]=ClosureLocation!$B$3, ClosureLocation!$B$6 &lt;= Table4[[#This Row],[StartMP]], ClosureLocation!$B$6 &gt;= Table4[[#This Row],[EndMP]]), "Yes", "")</f>
        <v/>
      </c>
      <c r="R523" s="1" t="str">
        <f>IF( OR( Table4[[#This Row],[PrimaryMatch]]="Yes", Table4[[#This Row],[SecondaryMatch]]="Yes"), "Yes", "")</f>
        <v/>
      </c>
    </row>
    <row r="524" spans="1:18" hidden="1" x14ac:dyDescent="0.25">
      <c r="A524" t="s">
        <v>1661</v>
      </c>
      <c r="B524" t="s">
        <v>3205</v>
      </c>
      <c r="C524" t="s">
        <v>3226</v>
      </c>
      <c r="D524" t="s">
        <v>4406</v>
      </c>
      <c r="E524" s="1">
        <v>48.496000000000002</v>
      </c>
      <c r="F524" s="1">
        <v>51.807000000000002</v>
      </c>
      <c r="G524">
        <v>1</v>
      </c>
      <c r="H524">
        <v>3</v>
      </c>
      <c r="I524" t="s">
        <v>3185</v>
      </c>
      <c r="J524" t="s">
        <v>1691</v>
      </c>
      <c r="K524" s="39">
        <v>17.676091</v>
      </c>
      <c r="L524" s="1">
        <v>9.074776</v>
      </c>
      <c r="M524" s="1" t="s">
        <v>4407</v>
      </c>
      <c r="N524" s="1">
        <v>48.496000000000002</v>
      </c>
      <c r="O524" s="1">
        <f>ABS(Table4[[#This Row],[EndMP]]-Table4[[#This Row],[StartMP]])</f>
        <v>3.3109999999999999</v>
      </c>
      <c r="P524" s="1" t="str">
        <f>IF( AND( Table4[[#This Row],[Route]]=ClosureLocation!$B$3, ClosureLocation!$B$6 &gt;= Table4[[#This Row],[StartMP]], ClosureLocation!$B$6 &lt;= Table4[[#This Row],[EndMP]]), "Yes", "")</f>
        <v/>
      </c>
      <c r="Q524" s="1" t="str">
        <f>IF( AND( Table4[[#This Row],[Route]]=ClosureLocation!$B$3, ClosureLocation!$B$6 &lt;= Table4[[#This Row],[StartMP]], ClosureLocation!$B$6 &gt;= Table4[[#This Row],[EndMP]]), "Yes", "")</f>
        <v/>
      </c>
      <c r="R524" s="1" t="str">
        <f>IF( OR( Table4[[#This Row],[PrimaryMatch]]="Yes", Table4[[#This Row],[SecondaryMatch]]="Yes"), "Yes", "")</f>
        <v/>
      </c>
    </row>
    <row r="525" spans="1:18" hidden="1" x14ac:dyDescent="0.25">
      <c r="A525" t="s">
        <v>310</v>
      </c>
      <c r="B525" t="s">
        <v>3205</v>
      </c>
      <c r="C525" t="s">
        <v>3206</v>
      </c>
      <c r="D525" t="s">
        <v>3427</v>
      </c>
      <c r="E525" s="1">
        <v>269.51900000000001</v>
      </c>
      <c r="F525" s="1">
        <v>277.714</v>
      </c>
      <c r="G525">
        <v>32</v>
      </c>
      <c r="H525">
        <v>23</v>
      </c>
      <c r="I525" t="s">
        <v>2238</v>
      </c>
      <c r="J525" t="s">
        <v>1694</v>
      </c>
      <c r="K525" s="39">
        <v>17.632141000000001</v>
      </c>
      <c r="L525" s="1">
        <v>7.830209</v>
      </c>
      <c r="M525" s="1" t="s">
        <v>4894</v>
      </c>
      <c r="N525" s="1">
        <v>269.51900000000001</v>
      </c>
      <c r="O525" s="1">
        <f>ABS(Table4[[#This Row],[EndMP]]-Table4[[#This Row],[StartMP]])</f>
        <v>8.1949999999999932</v>
      </c>
      <c r="P525" s="1" t="str">
        <f>IF( AND( Table4[[#This Row],[Route]]=ClosureLocation!$B$3, ClosureLocation!$B$6 &gt;= Table4[[#This Row],[StartMP]], ClosureLocation!$B$6 &lt;= Table4[[#This Row],[EndMP]]), "Yes", "")</f>
        <v/>
      </c>
      <c r="Q525" s="1" t="str">
        <f>IF( AND( Table4[[#This Row],[Route]]=ClosureLocation!$B$3, ClosureLocation!$B$6 &lt;= Table4[[#This Row],[StartMP]], ClosureLocation!$B$6 &gt;= Table4[[#This Row],[EndMP]]), "Yes", "")</f>
        <v/>
      </c>
      <c r="R525" s="1" t="str">
        <f>IF( OR( Table4[[#This Row],[PrimaryMatch]]="Yes", Table4[[#This Row],[SecondaryMatch]]="Yes"), "Yes", "")</f>
        <v/>
      </c>
    </row>
    <row r="526" spans="1:18" hidden="1" x14ac:dyDescent="0.25">
      <c r="A526" t="s">
        <v>1065</v>
      </c>
      <c r="B526" t="s">
        <v>3209</v>
      </c>
      <c r="C526" t="s">
        <v>3226</v>
      </c>
      <c r="D526" t="s">
        <v>3959</v>
      </c>
      <c r="E526" s="1">
        <v>86.174000000000007</v>
      </c>
      <c r="F526" s="1">
        <v>0.54800000000000004</v>
      </c>
      <c r="G526">
        <v>1</v>
      </c>
      <c r="H526">
        <v>2</v>
      </c>
      <c r="I526" t="s">
        <v>2837</v>
      </c>
      <c r="J526" t="s">
        <v>1689</v>
      </c>
      <c r="K526" s="39">
        <v>17.623497</v>
      </c>
      <c r="L526" s="1">
        <v>22.211337</v>
      </c>
      <c r="M526" s="1" t="s">
        <v>3960</v>
      </c>
      <c r="N526" s="1">
        <v>913.82600000000002</v>
      </c>
      <c r="O526" s="1">
        <f>ABS(Table4[[#This Row],[EndMP]]-Table4[[#This Row],[StartMP]])</f>
        <v>85.626000000000005</v>
      </c>
      <c r="P526" s="1" t="str">
        <f>IF( AND( Table4[[#This Row],[Route]]=ClosureLocation!$B$3, ClosureLocation!$B$6 &gt;= Table4[[#This Row],[StartMP]], ClosureLocation!$B$6 &lt;= Table4[[#This Row],[EndMP]]), "Yes", "")</f>
        <v/>
      </c>
      <c r="Q526" s="1" t="str">
        <f>IF( AND( Table4[[#This Row],[Route]]=ClosureLocation!$B$3, ClosureLocation!$B$6 &lt;= Table4[[#This Row],[StartMP]], ClosureLocation!$B$6 &gt;= Table4[[#This Row],[EndMP]]), "Yes", "")</f>
        <v/>
      </c>
      <c r="R526" s="1" t="str">
        <f>IF( OR( Table4[[#This Row],[PrimaryMatch]]="Yes", Table4[[#This Row],[SecondaryMatch]]="Yes"), "Yes", "")</f>
        <v/>
      </c>
    </row>
    <row r="527" spans="1:18" hidden="1" x14ac:dyDescent="0.25">
      <c r="A527" t="s">
        <v>304</v>
      </c>
      <c r="B527" t="s">
        <v>3209</v>
      </c>
      <c r="C527" t="s">
        <v>3226</v>
      </c>
      <c r="D527" t="s">
        <v>3422</v>
      </c>
      <c r="E527" s="1">
        <v>304.48399999999998</v>
      </c>
      <c r="F527" s="1">
        <v>304.12200000000001</v>
      </c>
      <c r="G527">
        <v>3</v>
      </c>
      <c r="H527">
        <v>5</v>
      </c>
      <c r="I527" t="s">
        <v>3425</v>
      </c>
      <c r="J527" t="s">
        <v>1690</v>
      </c>
      <c r="K527" s="39">
        <v>17.612680999999998</v>
      </c>
      <c r="L527" s="1">
        <v>15.825340000000001</v>
      </c>
      <c r="M527" s="1" t="s">
        <v>3426</v>
      </c>
      <c r="N527" s="1">
        <v>695.51599999999996</v>
      </c>
      <c r="O527" s="1">
        <f>ABS(Table4[[#This Row],[EndMP]]-Table4[[#This Row],[StartMP]])</f>
        <v>0.36199999999996635</v>
      </c>
      <c r="P527" s="1" t="str">
        <f>IF( AND( Table4[[#This Row],[Route]]=ClosureLocation!$B$3, ClosureLocation!$B$6 &gt;= Table4[[#This Row],[StartMP]], ClosureLocation!$B$6 &lt;= Table4[[#This Row],[EndMP]]), "Yes", "")</f>
        <v/>
      </c>
      <c r="Q527" s="1" t="str">
        <f>IF( AND( Table4[[#This Row],[Route]]=ClosureLocation!$B$3, ClosureLocation!$B$6 &lt;= Table4[[#This Row],[StartMP]], ClosureLocation!$B$6 &gt;= Table4[[#This Row],[EndMP]]), "Yes", "")</f>
        <v/>
      </c>
      <c r="R527" s="1" t="str">
        <f>IF( OR( Table4[[#This Row],[PrimaryMatch]]="Yes", Table4[[#This Row],[SecondaryMatch]]="Yes"), "Yes", "")</f>
        <v/>
      </c>
    </row>
    <row r="528" spans="1:18" hidden="1" x14ac:dyDescent="0.25">
      <c r="A528" t="s">
        <v>225</v>
      </c>
      <c r="B528" t="s">
        <v>3209</v>
      </c>
      <c r="C528" t="s">
        <v>3226</v>
      </c>
      <c r="D528" t="s">
        <v>3370</v>
      </c>
      <c r="E528" s="1">
        <v>3.1179999999999999</v>
      </c>
      <c r="F528" s="1">
        <v>0.93400000000000005</v>
      </c>
      <c r="G528">
        <v>1</v>
      </c>
      <c r="H528">
        <v>3</v>
      </c>
      <c r="I528" t="s">
        <v>2165</v>
      </c>
      <c r="J528" t="s">
        <v>1696</v>
      </c>
      <c r="K528" s="39">
        <v>17.594386</v>
      </c>
      <c r="L528" s="1">
        <v>16.698471000000001</v>
      </c>
      <c r="M528" s="1" t="s">
        <v>3371</v>
      </c>
      <c r="N528" s="1">
        <v>996.88199999999995</v>
      </c>
      <c r="O528" s="1">
        <f>ABS(Table4[[#This Row],[EndMP]]-Table4[[#This Row],[StartMP]])</f>
        <v>2.1839999999999997</v>
      </c>
      <c r="P528" s="1" t="str">
        <f>IF( AND( Table4[[#This Row],[Route]]=ClosureLocation!$B$3, ClosureLocation!$B$6 &gt;= Table4[[#This Row],[StartMP]], ClosureLocation!$B$6 &lt;= Table4[[#This Row],[EndMP]]), "Yes", "")</f>
        <v/>
      </c>
      <c r="Q528" s="1" t="str">
        <f>IF( AND( Table4[[#This Row],[Route]]=ClosureLocation!$B$3, ClosureLocation!$B$6 &lt;= Table4[[#This Row],[StartMP]], ClosureLocation!$B$6 &gt;= Table4[[#This Row],[EndMP]]), "Yes", "")</f>
        <v/>
      </c>
      <c r="R528" s="1" t="str">
        <f>IF( OR( Table4[[#This Row],[PrimaryMatch]]="Yes", Table4[[#This Row],[SecondaryMatch]]="Yes"), "Yes", "")</f>
        <v/>
      </c>
    </row>
    <row r="529" spans="1:18" hidden="1" x14ac:dyDescent="0.25">
      <c r="A529" t="s">
        <v>310</v>
      </c>
      <c r="B529" t="s">
        <v>3209</v>
      </c>
      <c r="C529" t="s">
        <v>3210</v>
      </c>
      <c r="D529" t="s">
        <v>3444</v>
      </c>
      <c r="E529" s="1">
        <v>269.21800000000002</v>
      </c>
      <c r="F529" s="1">
        <v>262.46600000000001</v>
      </c>
      <c r="G529">
        <v>3</v>
      </c>
      <c r="H529">
        <v>27</v>
      </c>
      <c r="I529" t="s">
        <v>2242</v>
      </c>
      <c r="J529" t="s">
        <v>1694</v>
      </c>
      <c r="K529" s="39">
        <v>17.582519999999999</v>
      </c>
      <c r="L529" s="1">
        <v>9.6045020000000001</v>
      </c>
      <c r="M529" s="1" t="s">
        <v>4898</v>
      </c>
      <c r="N529" s="1">
        <v>730.78200000000004</v>
      </c>
      <c r="O529" s="1">
        <f>ABS(Table4[[#This Row],[EndMP]]-Table4[[#This Row],[StartMP]])</f>
        <v>6.7520000000000095</v>
      </c>
      <c r="P529" s="1" t="str">
        <f>IF( AND( Table4[[#This Row],[Route]]=ClosureLocation!$B$3, ClosureLocation!$B$6 &gt;= Table4[[#This Row],[StartMP]], ClosureLocation!$B$6 &lt;= Table4[[#This Row],[EndMP]]), "Yes", "")</f>
        <v/>
      </c>
      <c r="Q529" s="1" t="str">
        <f>IF( AND( Table4[[#This Row],[Route]]=ClosureLocation!$B$3, ClosureLocation!$B$6 &lt;= Table4[[#This Row],[StartMP]], ClosureLocation!$B$6 &gt;= Table4[[#This Row],[EndMP]]), "Yes", "")</f>
        <v/>
      </c>
      <c r="R529" s="1" t="str">
        <f>IF( OR( Table4[[#This Row],[PrimaryMatch]]="Yes", Table4[[#This Row],[SecondaryMatch]]="Yes"), "Yes", "")</f>
        <v/>
      </c>
    </row>
    <row r="530" spans="1:18" hidden="1" x14ac:dyDescent="0.25">
      <c r="A530" t="s">
        <v>304</v>
      </c>
      <c r="B530" t="s">
        <v>3209</v>
      </c>
      <c r="C530" t="s">
        <v>3226</v>
      </c>
      <c r="D530" t="s">
        <v>3422</v>
      </c>
      <c r="E530" s="1">
        <v>308.23</v>
      </c>
      <c r="F530" s="1">
        <v>304.94</v>
      </c>
      <c r="G530">
        <v>2</v>
      </c>
      <c r="H530">
        <v>4</v>
      </c>
      <c r="I530" t="s">
        <v>2206</v>
      </c>
      <c r="J530" t="s">
        <v>1690</v>
      </c>
      <c r="K530" s="39">
        <v>17.515176</v>
      </c>
      <c r="L530" s="1">
        <v>15.589164</v>
      </c>
      <c r="M530" s="1" t="s">
        <v>3424</v>
      </c>
      <c r="N530" s="1">
        <v>691.77</v>
      </c>
      <c r="O530" s="1">
        <f>ABS(Table4[[#This Row],[EndMP]]-Table4[[#This Row],[StartMP]])</f>
        <v>3.2900000000000205</v>
      </c>
      <c r="P530" s="1" t="str">
        <f>IF( AND( Table4[[#This Row],[Route]]=ClosureLocation!$B$3, ClosureLocation!$B$6 &gt;= Table4[[#This Row],[StartMP]], ClosureLocation!$B$6 &lt;= Table4[[#This Row],[EndMP]]), "Yes", "")</f>
        <v/>
      </c>
      <c r="Q530" s="1" t="str">
        <f>IF( AND( Table4[[#This Row],[Route]]=ClosureLocation!$B$3, ClosureLocation!$B$6 &lt;= Table4[[#This Row],[StartMP]], ClosureLocation!$B$6 &gt;= Table4[[#This Row],[EndMP]]), "Yes", "")</f>
        <v/>
      </c>
      <c r="R530" s="1" t="str">
        <f>IF( OR( Table4[[#This Row],[PrimaryMatch]]="Yes", Table4[[#This Row],[SecondaryMatch]]="Yes"), "Yes", "")</f>
        <v/>
      </c>
    </row>
    <row r="531" spans="1:18" hidden="1" x14ac:dyDescent="0.25">
      <c r="A531" t="s">
        <v>413</v>
      </c>
      <c r="B531" t="s">
        <v>3209</v>
      </c>
      <c r="C531" t="s">
        <v>3226</v>
      </c>
      <c r="D531" t="s">
        <v>3498</v>
      </c>
      <c r="E531" s="1">
        <v>259.529</v>
      </c>
      <c r="F531" s="1">
        <v>173.852</v>
      </c>
      <c r="G531">
        <v>1</v>
      </c>
      <c r="H531">
        <v>3</v>
      </c>
      <c r="I531" t="s">
        <v>2310</v>
      </c>
      <c r="J531" t="s">
        <v>1707</v>
      </c>
      <c r="K531" s="39">
        <v>17.461036</v>
      </c>
      <c r="L531" s="1">
        <v>12.756323</v>
      </c>
      <c r="M531" s="58" t="s">
        <v>4912</v>
      </c>
      <c r="N531" s="1">
        <v>740.471</v>
      </c>
      <c r="O531" s="1">
        <f>ABS(Table4[[#This Row],[EndMP]]-Table4[[#This Row],[StartMP]])</f>
        <v>85.676999999999992</v>
      </c>
      <c r="P531" s="1" t="str">
        <f>IF( AND( Table4[[#This Row],[Route]]=ClosureLocation!$B$3, ClosureLocation!$B$6 &gt;= Table4[[#This Row],[StartMP]], ClosureLocation!$B$6 &lt;= Table4[[#This Row],[EndMP]]), "Yes", "")</f>
        <v/>
      </c>
      <c r="Q531" s="1" t="str">
        <f>IF( AND( Table4[[#This Row],[Route]]=ClosureLocation!$B$3, ClosureLocation!$B$6 &lt;= Table4[[#This Row],[StartMP]], ClosureLocation!$B$6 &gt;= Table4[[#This Row],[EndMP]]), "Yes", "")</f>
        <v/>
      </c>
      <c r="R531" s="1" t="str">
        <f>IF( OR( Table4[[#This Row],[PrimaryMatch]]="Yes", Table4[[#This Row],[SecondaryMatch]]="Yes"), "Yes", "")</f>
        <v/>
      </c>
    </row>
    <row r="532" spans="1:18" hidden="1" x14ac:dyDescent="0.25">
      <c r="A532" t="s">
        <v>917</v>
      </c>
      <c r="B532" t="s">
        <v>3205</v>
      </c>
      <c r="C532" t="s">
        <v>3222</v>
      </c>
      <c r="D532" t="s">
        <v>3837</v>
      </c>
      <c r="E532" s="1">
        <v>165.126</v>
      </c>
      <c r="F532" s="1">
        <v>179.983</v>
      </c>
      <c r="G532">
        <v>21</v>
      </c>
      <c r="H532">
        <v>21</v>
      </c>
      <c r="I532" t="s">
        <v>2724</v>
      </c>
      <c r="J532" t="s">
        <v>1694</v>
      </c>
      <c r="K532" s="39">
        <v>17.346188000000001</v>
      </c>
      <c r="L532" s="1">
        <v>1.6552800000000001</v>
      </c>
      <c r="M532" s="58" t="s">
        <v>3838</v>
      </c>
      <c r="N532" s="1">
        <v>165.126</v>
      </c>
      <c r="O532" s="1">
        <f>ABS(Table4[[#This Row],[EndMP]]-Table4[[#This Row],[StartMP]])</f>
        <v>14.856999999999999</v>
      </c>
      <c r="P532" s="1" t="str">
        <f>IF( AND( Table4[[#This Row],[Route]]=ClosureLocation!$B$3, ClosureLocation!$B$6 &gt;= Table4[[#This Row],[StartMP]], ClosureLocation!$B$6 &lt;= Table4[[#This Row],[EndMP]]), "Yes", "")</f>
        <v/>
      </c>
      <c r="Q532" s="1" t="str">
        <f>IF( AND( Table4[[#This Row],[Route]]=ClosureLocation!$B$3, ClosureLocation!$B$6 &lt;= Table4[[#This Row],[StartMP]], ClosureLocation!$B$6 &gt;= Table4[[#This Row],[EndMP]]), "Yes", "")</f>
        <v/>
      </c>
      <c r="R532" s="1" t="str">
        <f>IF( OR( Table4[[#This Row],[PrimaryMatch]]="Yes", Table4[[#This Row],[SecondaryMatch]]="Yes"), "Yes", "")</f>
        <v/>
      </c>
    </row>
    <row r="533" spans="1:18" hidden="1" x14ac:dyDescent="0.25">
      <c r="A533" t="s">
        <v>1065</v>
      </c>
      <c r="B533" t="s">
        <v>3205</v>
      </c>
      <c r="C533" t="s">
        <v>3222</v>
      </c>
      <c r="D533" t="s">
        <v>3957</v>
      </c>
      <c r="E533" s="1">
        <v>0.54800000000000004</v>
      </c>
      <c r="F533" s="1">
        <v>86.174000000000007</v>
      </c>
      <c r="G533">
        <v>1</v>
      </c>
      <c r="H533">
        <v>1</v>
      </c>
      <c r="I533" t="s">
        <v>2836</v>
      </c>
      <c r="J533" t="s">
        <v>1689</v>
      </c>
      <c r="K533" s="39">
        <v>17.314633000000001</v>
      </c>
      <c r="L533" s="1">
        <v>22.004325999999999</v>
      </c>
      <c r="M533" s="1" t="s">
        <v>3958</v>
      </c>
      <c r="N533" s="1">
        <v>0.54800000000000004</v>
      </c>
      <c r="O533" s="1">
        <f>ABS(Table4[[#This Row],[EndMP]]-Table4[[#This Row],[StartMP]])</f>
        <v>85.626000000000005</v>
      </c>
      <c r="P533" s="1" t="str">
        <f>IF( AND( Table4[[#This Row],[Route]]=ClosureLocation!$B$3, ClosureLocation!$B$6 &gt;= Table4[[#This Row],[StartMP]], ClosureLocation!$B$6 &lt;= Table4[[#This Row],[EndMP]]), "Yes", "")</f>
        <v/>
      </c>
      <c r="Q533" s="1" t="str">
        <f>IF( AND( Table4[[#This Row],[Route]]=ClosureLocation!$B$3, ClosureLocation!$B$6 &lt;= Table4[[#This Row],[StartMP]], ClosureLocation!$B$6 &gt;= Table4[[#This Row],[EndMP]]), "Yes", "")</f>
        <v/>
      </c>
      <c r="R533" s="1" t="str">
        <f>IF( OR( Table4[[#This Row],[PrimaryMatch]]="Yes", Table4[[#This Row],[SecondaryMatch]]="Yes"), "Yes", "")</f>
        <v/>
      </c>
    </row>
    <row r="534" spans="1:18" hidden="1" x14ac:dyDescent="0.25">
      <c r="A534" t="s">
        <v>1236</v>
      </c>
      <c r="B534" t="s">
        <v>3205</v>
      </c>
      <c r="C534" t="s">
        <v>3222</v>
      </c>
      <c r="D534" t="s">
        <v>4085</v>
      </c>
      <c r="E534" s="1">
        <v>54.81</v>
      </c>
      <c r="F534" s="1">
        <v>56.956000000000003</v>
      </c>
      <c r="H534">
        <v>1</v>
      </c>
      <c r="I534" t="s">
        <v>2933</v>
      </c>
      <c r="J534" t="s">
        <v>1708</v>
      </c>
      <c r="K534" s="39">
        <v>17.308156</v>
      </c>
      <c r="L534" s="1">
        <v>19.896813999999999</v>
      </c>
      <c r="M534" s="58" t="s">
        <v>4999</v>
      </c>
      <c r="N534" s="1">
        <v>54.81</v>
      </c>
      <c r="O534" s="1">
        <f>ABS(Table4[[#This Row],[EndMP]]-Table4[[#This Row],[StartMP]])</f>
        <v>2.1460000000000008</v>
      </c>
      <c r="P534" s="1" t="str">
        <f>IF( AND( Table4[[#This Row],[Route]]=ClosureLocation!$B$3, ClosureLocation!$B$6 &gt;= Table4[[#This Row],[StartMP]], ClosureLocation!$B$6 &lt;= Table4[[#This Row],[EndMP]]), "Yes", "")</f>
        <v/>
      </c>
      <c r="Q534" s="1" t="str">
        <f>IF( AND( Table4[[#This Row],[Route]]=ClosureLocation!$B$3, ClosureLocation!$B$6 &lt;= Table4[[#This Row],[StartMP]], ClosureLocation!$B$6 &gt;= Table4[[#This Row],[EndMP]]), "Yes", "")</f>
        <v/>
      </c>
      <c r="R534" s="1" t="str">
        <f>IF( OR( Table4[[#This Row],[PrimaryMatch]]="Yes", Table4[[#This Row],[SecondaryMatch]]="Yes"), "Yes", "")</f>
        <v/>
      </c>
    </row>
    <row r="535" spans="1:18" hidden="1" x14ac:dyDescent="0.25">
      <c r="A535" t="s">
        <v>1236</v>
      </c>
      <c r="B535" t="s">
        <v>3209</v>
      </c>
      <c r="C535" t="s">
        <v>3226</v>
      </c>
      <c r="D535" t="s">
        <v>4089</v>
      </c>
      <c r="E535" s="1">
        <v>56.956000000000003</v>
      </c>
      <c r="F535" s="1">
        <v>54.81</v>
      </c>
      <c r="H535">
        <v>5</v>
      </c>
      <c r="I535" t="s">
        <v>2937</v>
      </c>
      <c r="J535" t="s">
        <v>1708</v>
      </c>
      <c r="K535" s="39">
        <v>17.308154999999999</v>
      </c>
      <c r="L535" s="1">
        <v>19.896813999999999</v>
      </c>
      <c r="M535" s="58" t="s">
        <v>5003</v>
      </c>
      <c r="N535" s="1">
        <v>943.04399999999998</v>
      </c>
      <c r="O535" s="1">
        <f>ABS(Table4[[#This Row],[EndMP]]-Table4[[#This Row],[StartMP]])</f>
        <v>2.1460000000000008</v>
      </c>
      <c r="P535" s="1" t="str">
        <f>IF( AND( Table4[[#This Row],[Route]]=ClosureLocation!$B$3, ClosureLocation!$B$6 &gt;= Table4[[#This Row],[StartMP]], ClosureLocation!$B$6 &lt;= Table4[[#This Row],[EndMP]]), "Yes", "")</f>
        <v/>
      </c>
      <c r="Q535" s="1" t="str">
        <f>IF( AND( Table4[[#This Row],[Route]]=ClosureLocation!$B$3, ClosureLocation!$B$6 &lt;= Table4[[#This Row],[StartMP]], ClosureLocation!$B$6 &gt;= Table4[[#This Row],[EndMP]]), "Yes", "")</f>
        <v/>
      </c>
      <c r="R535" s="1" t="str">
        <f>IF( OR( Table4[[#This Row],[PrimaryMatch]]="Yes", Table4[[#This Row],[SecondaryMatch]]="Yes"), "Yes", "")</f>
        <v/>
      </c>
    </row>
    <row r="536" spans="1:18" hidden="1" x14ac:dyDescent="0.25">
      <c r="A536" t="s">
        <v>1471</v>
      </c>
      <c r="B536" t="s">
        <v>3209</v>
      </c>
      <c r="C536" t="s">
        <v>3210</v>
      </c>
      <c r="D536" t="s">
        <v>4237</v>
      </c>
      <c r="E536" s="1">
        <v>26.829000000000001</v>
      </c>
      <c r="F536" s="1">
        <v>20.417999999999999</v>
      </c>
      <c r="G536">
        <v>4</v>
      </c>
      <c r="H536">
        <v>10</v>
      </c>
      <c r="I536" t="s">
        <v>3057</v>
      </c>
      <c r="J536" t="s">
        <v>1695</v>
      </c>
      <c r="K536" s="39">
        <v>17.198782000000001</v>
      </c>
      <c r="L536" s="1">
        <v>10.396666</v>
      </c>
      <c r="M536" s="1" t="s">
        <v>5023</v>
      </c>
      <c r="N536" s="1">
        <v>973.17100000000005</v>
      </c>
      <c r="O536" s="1">
        <f>ABS(Table4[[#This Row],[EndMP]]-Table4[[#This Row],[StartMP]])</f>
        <v>6.4110000000000014</v>
      </c>
      <c r="P536" s="1" t="str">
        <f>IF( AND( Table4[[#This Row],[Route]]=ClosureLocation!$B$3, ClosureLocation!$B$6 &gt;= Table4[[#This Row],[StartMP]], ClosureLocation!$B$6 &lt;= Table4[[#This Row],[EndMP]]), "Yes", "")</f>
        <v/>
      </c>
      <c r="Q536" s="1" t="str">
        <f>IF( AND( Table4[[#This Row],[Route]]=ClosureLocation!$B$3, ClosureLocation!$B$6 &lt;= Table4[[#This Row],[StartMP]], ClosureLocation!$B$6 &gt;= Table4[[#This Row],[EndMP]]), "Yes", "")</f>
        <v/>
      </c>
      <c r="R536" s="1" t="str">
        <f>IF( OR( Table4[[#This Row],[PrimaryMatch]]="Yes", Table4[[#This Row],[SecondaryMatch]]="Yes"), "Yes", "")</f>
        <v/>
      </c>
    </row>
    <row r="537" spans="1:18" hidden="1" x14ac:dyDescent="0.25">
      <c r="A537" t="s">
        <v>1471</v>
      </c>
      <c r="B537" t="s">
        <v>3205</v>
      </c>
      <c r="C537" t="s">
        <v>3206</v>
      </c>
      <c r="D537" t="s">
        <v>4236</v>
      </c>
      <c r="E537" s="1">
        <v>20.417999999999999</v>
      </c>
      <c r="F537" s="1">
        <v>26.829000000000001</v>
      </c>
      <c r="G537">
        <v>3</v>
      </c>
      <c r="H537">
        <v>3</v>
      </c>
      <c r="I537" t="s">
        <v>3050</v>
      </c>
      <c r="J537" t="s">
        <v>1695</v>
      </c>
      <c r="K537" s="39">
        <v>17.198409000000002</v>
      </c>
      <c r="L537" s="1">
        <v>10.396666</v>
      </c>
      <c r="M537" s="1" t="s">
        <v>5016</v>
      </c>
      <c r="N537" s="1">
        <v>20.417999999999999</v>
      </c>
      <c r="O537" s="1">
        <f>ABS(Table4[[#This Row],[EndMP]]-Table4[[#This Row],[StartMP]])</f>
        <v>6.4110000000000014</v>
      </c>
      <c r="P537" s="1" t="str">
        <f>IF( AND( Table4[[#This Row],[Route]]=ClosureLocation!$B$3, ClosureLocation!$B$6 &gt;= Table4[[#This Row],[StartMP]], ClosureLocation!$B$6 &lt;= Table4[[#This Row],[EndMP]]), "Yes", "")</f>
        <v/>
      </c>
      <c r="Q537" s="1" t="str">
        <f>IF( AND( Table4[[#This Row],[Route]]=ClosureLocation!$B$3, ClosureLocation!$B$6 &lt;= Table4[[#This Row],[StartMP]], ClosureLocation!$B$6 &gt;= Table4[[#This Row],[EndMP]]), "Yes", "")</f>
        <v/>
      </c>
      <c r="R537" s="1" t="str">
        <f>IF( OR( Table4[[#This Row],[PrimaryMatch]]="Yes", Table4[[#This Row],[SecondaryMatch]]="Yes"), "Yes", "")</f>
        <v/>
      </c>
    </row>
    <row r="538" spans="1:18" hidden="1" x14ac:dyDescent="0.25">
      <c r="A538" t="s">
        <v>310</v>
      </c>
      <c r="B538" t="s">
        <v>3209</v>
      </c>
      <c r="C538" t="s">
        <v>3210</v>
      </c>
      <c r="D538" t="s">
        <v>3444</v>
      </c>
      <c r="E538" s="1">
        <v>277.714</v>
      </c>
      <c r="F538" s="1">
        <v>269.51900000000001</v>
      </c>
      <c r="G538">
        <v>2</v>
      </c>
      <c r="H538">
        <v>26</v>
      </c>
      <c r="I538" t="s">
        <v>2241</v>
      </c>
      <c r="J538" t="s">
        <v>1694</v>
      </c>
      <c r="K538" s="39">
        <v>17.182426</v>
      </c>
      <c r="L538" s="1">
        <v>7.4005409999999996</v>
      </c>
      <c r="M538" s="1" t="s">
        <v>4897</v>
      </c>
      <c r="N538" s="1">
        <v>722.28599999999994</v>
      </c>
      <c r="O538" s="1">
        <f>ABS(Table4[[#This Row],[EndMP]]-Table4[[#This Row],[StartMP]])</f>
        <v>8.1949999999999932</v>
      </c>
      <c r="P538" s="1" t="str">
        <f>IF( AND( Table4[[#This Row],[Route]]=ClosureLocation!$B$3, ClosureLocation!$B$6 &gt;= Table4[[#This Row],[StartMP]], ClosureLocation!$B$6 &lt;= Table4[[#This Row],[EndMP]]), "Yes", "")</f>
        <v/>
      </c>
      <c r="Q538" s="1" t="str">
        <f>IF( AND( Table4[[#This Row],[Route]]=ClosureLocation!$B$3, ClosureLocation!$B$6 &lt;= Table4[[#This Row],[StartMP]], ClosureLocation!$B$6 &gt;= Table4[[#This Row],[EndMP]]), "Yes", "")</f>
        <v/>
      </c>
      <c r="R538" s="1" t="str">
        <f>IF( OR( Table4[[#This Row],[PrimaryMatch]]="Yes", Table4[[#This Row],[SecondaryMatch]]="Yes"), "Yes", "")</f>
        <v/>
      </c>
    </row>
    <row r="539" spans="1:18" hidden="1" x14ac:dyDescent="0.25">
      <c r="A539" t="s">
        <v>126</v>
      </c>
      <c r="B539" t="s">
        <v>3205</v>
      </c>
      <c r="C539" t="s">
        <v>3222</v>
      </c>
      <c r="D539" t="s">
        <v>3275</v>
      </c>
      <c r="E539" s="1">
        <v>0</v>
      </c>
      <c r="F539" s="1">
        <v>19.248999999999999</v>
      </c>
      <c r="G539">
        <v>1</v>
      </c>
      <c r="H539">
        <v>1</v>
      </c>
      <c r="I539" t="s">
        <v>2099</v>
      </c>
      <c r="J539" t="s">
        <v>1702</v>
      </c>
      <c r="K539" s="39">
        <v>17.126850999999998</v>
      </c>
      <c r="L539" s="1">
        <v>14.963436</v>
      </c>
      <c r="M539" s="1" t="s">
        <v>454</v>
      </c>
      <c r="N539" s="1">
        <v>0</v>
      </c>
      <c r="O539" s="1">
        <f>ABS(Table4[[#This Row],[EndMP]]-Table4[[#This Row],[StartMP]])</f>
        <v>19.248999999999999</v>
      </c>
      <c r="P539" s="1" t="str">
        <f>IF( AND( Table4[[#This Row],[Route]]=ClosureLocation!$B$3, ClosureLocation!$B$6 &gt;= Table4[[#This Row],[StartMP]], ClosureLocation!$B$6 &lt;= Table4[[#This Row],[EndMP]]), "Yes", "")</f>
        <v/>
      </c>
      <c r="Q539" s="1" t="str">
        <f>IF( AND( Table4[[#This Row],[Route]]=ClosureLocation!$B$3, ClosureLocation!$B$6 &lt;= Table4[[#This Row],[StartMP]], ClosureLocation!$B$6 &gt;= Table4[[#This Row],[EndMP]]), "Yes", "")</f>
        <v/>
      </c>
      <c r="R539" s="1" t="str">
        <f>IF( OR( Table4[[#This Row],[PrimaryMatch]]="Yes", Table4[[#This Row],[SecondaryMatch]]="Yes"), "Yes", "")</f>
        <v/>
      </c>
    </row>
    <row r="540" spans="1:18" hidden="1" x14ac:dyDescent="0.25">
      <c r="A540" t="s">
        <v>310</v>
      </c>
      <c r="B540" t="s">
        <v>3205</v>
      </c>
      <c r="C540" t="s">
        <v>3206</v>
      </c>
      <c r="D540" t="s">
        <v>3427</v>
      </c>
      <c r="E540" s="1">
        <v>262.46600000000001</v>
      </c>
      <c r="F540" s="1">
        <v>269.21800000000002</v>
      </c>
      <c r="G540">
        <v>31</v>
      </c>
      <c r="H540">
        <v>22</v>
      </c>
      <c r="I540" t="s">
        <v>2237</v>
      </c>
      <c r="J540" t="s">
        <v>1694</v>
      </c>
      <c r="K540" s="39">
        <v>17.100124000000001</v>
      </c>
      <c r="L540" s="1">
        <v>9.1739519999999999</v>
      </c>
      <c r="M540" s="1" t="s">
        <v>4893</v>
      </c>
      <c r="N540" s="1">
        <v>262.46600000000001</v>
      </c>
      <c r="O540" s="1">
        <f>ABS(Table4[[#This Row],[EndMP]]-Table4[[#This Row],[StartMP]])</f>
        <v>6.7520000000000095</v>
      </c>
      <c r="P540" s="1" t="str">
        <f>IF( AND( Table4[[#This Row],[Route]]=ClosureLocation!$B$3, ClosureLocation!$B$6 &gt;= Table4[[#This Row],[StartMP]], ClosureLocation!$B$6 &lt;= Table4[[#This Row],[EndMP]]), "Yes", "")</f>
        <v/>
      </c>
      <c r="Q540" s="1" t="str">
        <f>IF( AND( Table4[[#This Row],[Route]]=ClosureLocation!$B$3, ClosureLocation!$B$6 &lt;= Table4[[#This Row],[StartMP]], ClosureLocation!$B$6 &gt;= Table4[[#This Row],[EndMP]]), "Yes", "")</f>
        <v/>
      </c>
      <c r="R540" s="1" t="str">
        <f>IF( OR( Table4[[#This Row],[PrimaryMatch]]="Yes", Table4[[#This Row],[SecondaryMatch]]="Yes"), "Yes", "")</f>
        <v/>
      </c>
    </row>
    <row r="541" spans="1:18" hidden="1" x14ac:dyDescent="0.25">
      <c r="A541" t="s">
        <v>990</v>
      </c>
      <c r="B541" t="s">
        <v>3205</v>
      </c>
      <c r="C541" t="s">
        <v>3206</v>
      </c>
      <c r="D541" t="s">
        <v>3883</v>
      </c>
      <c r="E541" s="1">
        <v>230.767</v>
      </c>
      <c r="F541" s="1">
        <v>265.38299999999998</v>
      </c>
      <c r="G541">
        <v>2</v>
      </c>
      <c r="H541">
        <v>2</v>
      </c>
      <c r="I541" t="s">
        <v>2780</v>
      </c>
      <c r="J541" t="s">
        <v>1693</v>
      </c>
      <c r="K541" s="39">
        <v>16.97109</v>
      </c>
      <c r="L541" s="1">
        <v>20.490165000000001</v>
      </c>
      <c r="M541" s="1" t="s">
        <v>3885</v>
      </c>
      <c r="N541" s="1">
        <v>230.767</v>
      </c>
      <c r="O541" s="1">
        <f>ABS(Table4[[#This Row],[EndMP]]-Table4[[#This Row],[StartMP]])</f>
        <v>34.615999999999985</v>
      </c>
      <c r="P541" s="1" t="str">
        <f>IF( AND( Table4[[#This Row],[Route]]=ClosureLocation!$B$3, ClosureLocation!$B$6 &gt;= Table4[[#This Row],[StartMP]], ClosureLocation!$B$6 &lt;= Table4[[#This Row],[EndMP]]), "Yes", "")</f>
        <v/>
      </c>
      <c r="Q541" s="1" t="str">
        <f>IF( AND( Table4[[#This Row],[Route]]=ClosureLocation!$B$3, ClosureLocation!$B$6 &lt;= Table4[[#This Row],[StartMP]], ClosureLocation!$B$6 &gt;= Table4[[#This Row],[EndMP]]), "Yes", "")</f>
        <v/>
      </c>
      <c r="R541" s="1" t="str">
        <f>IF( OR( Table4[[#This Row],[PrimaryMatch]]="Yes", Table4[[#This Row],[SecondaryMatch]]="Yes"), "Yes", "")</f>
        <v/>
      </c>
    </row>
    <row r="542" spans="1:18" hidden="1" x14ac:dyDescent="0.25">
      <c r="A542" t="s">
        <v>225</v>
      </c>
      <c r="B542" t="s">
        <v>3205</v>
      </c>
      <c r="C542" t="s">
        <v>3222</v>
      </c>
      <c r="D542" t="s">
        <v>3367</v>
      </c>
      <c r="E542" s="1">
        <v>0.93400000000000005</v>
      </c>
      <c r="F542" s="1">
        <v>3.1179999999999999</v>
      </c>
      <c r="G542">
        <v>2</v>
      </c>
      <c r="H542">
        <v>2</v>
      </c>
      <c r="I542" t="s">
        <v>2164</v>
      </c>
      <c r="J542" t="s">
        <v>1696</v>
      </c>
      <c r="K542" s="39">
        <v>16.929887000000001</v>
      </c>
      <c r="L542" s="1">
        <v>16.017968</v>
      </c>
      <c r="M542" s="1" t="s">
        <v>3369</v>
      </c>
      <c r="N542" s="1">
        <v>0.93400000000000005</v>
      </c>
      <c r="O542" s="1">
        <f>ABS(Table4[[#This Row],[EndMP]]-Table4[[#This Row],[StartMP]])</f>
        <v>2.1839999999999997</v>
      </c>
      <c r="P542" s="1" t="str">
        <f>IF( AND( Table4[[#This Row],[Route]]=ClosureLocation!$B$3, ClosureLocation!$B$6 &gt;= Table4[[#This Row],[StartMP]], ClosureLocation!$B$6 &lt;= Table4[[#This Row],[EndMP]]), "Yes", "")</f>
        <v/>
      </c>
      <c r="Q542" s="1" t="str">
        <f>IF( AND( Table4[[#This Row],[Route]]=ClosureLocation!$B$3, ClosureLocation!$B$6 &lt;= Table4[[#This Row],[StartMP]], ClosureLocation!$B$6 &gt;= Table4[[#This Row],[EndMP]]), "Yes", "")</f>
        <v/>
      </c>
      <c r="R542" s="1" t="str">
        <f>IF( OR( Table4[[#This Row],[PrimaryMatch]]="Yes", Table4[[#This Row],[SecondaryMatch]]="Yes"), "Yes", "")</f>
        <v/>
      </c>
    </row>
    <row r="543" spans="1:18" hidden="1" x14ac:dyDescent="0.25">
      <c r="A543" t="s">
        <v>310</v>
      </c>
      <c r="B543" t="s">
        <v>3209</v>
      </c>
      <c r="C543" t="s">
        <v>3210</v>
      </c>
      <c r="D543" t="s">
        <v>3444</v>
      </c>
      <c r="E543" s="1">
        <v>234.94800000000001</v>
      </c>
      <c r="F543" s="1">
        <v>229.42699999999999</v>
      </c>
      <c r="G543">
        <v>11</v>
      </c>
      <c r="H543">
        <v>13</v>
      </c>
      <c r="I543" t="s">
        <v>2250</v>
      </c>
      <c r="J543" t="s">
        <v>1701</v>
      </c>
      <c r="K543" s="39">
        <v>16.891373999999999</v>
      </c>
      <c r="L543" s="1">
        <v>11.871943</v>
      </c>
      <c r="M543" s="1" t="s">
        <v>3449</v>
      </c>
      <c r="N543" s="1">
        <v>765.05200000000002</v>
      </c>
      <c r="O543" s="1">
        <f>ABS(Table4[[#This Row],[EndMP]]-Table4[[#This Row],[StartMP]])</f>
        <v>5.521000000000015</v>
      </c>
      <c r="P543" s="1" t="str">
        <f>IF( AND( Table4[[#This Row],[Route]]=ClosureLocation!$B$3, ClosureLocation!$B$6 &gt;= Table4[[#This Row],[StartMP]], ClosureLocation!$B$6 &lt;= Table4[[#This Row],[EndMP]]), "Yes", "")</f>
        <v/>
      </c>
      <c r="Q543" s="1" t="str">
        <f>IF( AND( Table4[[#This Row],[Route]]=ClosureLocation!$B$3, ClosureLocation!$B$6 &lt;= Table4[[#This Row],[StartMP]], ClosureLocation!$B$6 &gt;= Table4[[#This Row],[EndMP]]), "Yes", "")</f>
        <v/>
      </c>
      <c r="R543" s="1" t="str">
        <f>IF( OR( Table4[[#This Row],[PrimaryMatch]]="Yes", Table4[[#This Row],[SecondaryMatch]]="Yes"), "Yes", "")</f>
        <v/>
      </c>
    </row>
    <row r="544" spans="1:18" hidden="1" x14ac:dyDescent="0.25">
      <c r="A544" t="s">
        <v>310</v>
      </c>
      <c r="B544" t="s">
        <v>3205</v>
      </c>
      <c r="C544" t="s">
        <v>3206</v>
      </c>
      <c r="D544" t="s">
        <v>3427</v>
      </c>
      <c r="E544" s="1">
        <v>255.44800000000001</v>
      </c>
      <c r="F544" s="1">
        <v>257.17599999999999</v>
      </c>
      <c r="G544">
        <v>29</v>
      </c>
      <c r="H544">
        <v>20</v>
      </c>
      <c r="I544" t="s">
        <v>2235</v>
      </c>
      <c r="J544" t="s">
        <v>1694</v>
      </c>
      <c r="K544" s="39">
        <v>16.848088000000001</v>
      </c>
      <c r="L544" s="1">
        <v>8.6696969999999993</v>
      </c>
      <c r="M544" s="1" t="s">
        <v>4891</v>
      </c>
      <c r="N544" s="1">
        <v>255.44800000000001</v>
      </c>
      <c r="O544" s="1">
        <f>ABS(Table4[[#This Row],[EndMP]]-Table4[[#This Row],[StartMP]])</f>
        <v>1.7279999999999802</v>
      </c>
      <c r="P544" s="1" t="str">
        <f>IF( AND( Table4[[#This Row],[Route]]=ClosureLocation!$B$3, ClosureLocation!$B$6 &gt;= Table4[[#This Row],[StartMP]], ClosureLocation!$B$6 &lt;= Table4[[#This Row],[EndMP]]), "Yes", "")</f>
        <v/>
      </c>
      <c r="Q544" s="1" t="str">
        <f>IF( AND( Table4[[#This Row],[Route]]=ClosureLocation!$B$3, ClosureLocation!$B$6 &lt;= Table4[[#This Row],[StartMP]], ClosureLocation!$B$6 &gt;= Table4[[#This Row],[EndMP]]), "Yes", "")</f>
        <v/>
      </c>
      <c r="R544" s="1" t="str">
        <f>IF( OR( Table4[[#This Row],[PrimaryMatch]]="Yes", Table4[[#This Row],[SecondaryMatch]]="Yes"), "Yes", "")</f>
        <v/>
      </c>
    </row>
    <row r="545" spans="1:18" hidden="1" x14ac:dyDescent="0.25">
      <c r="A545" t="s">
        <v>1431</v>
      </c>
      <c r="B545" t="s">
        <v>3209</v>
      </c>
      <c r="C545" t="s">
        <v>3210</v>
      </c>
      <c r="D545" t="s">
        <v>4211</v>
      </c>
      <c r="E545" s="1">
        <v>9.6969999999999992</v>
      </c>
      <c r="F545" s="1">
        <v>9.2349999999999994</v>
      </c>
      <c r="G545">
        <v>2</v>
      </c>
      <c r="H545">
        <v>5</v>
      </c>
      <c r="I545" t="s">
        <v>3028</v>
      </c>
      <c r="J545" t="s">
        <v>1692</v>
      </c>
      <c r="K545" s="39">
        <v>16.826366</v>
      </c>
      <c r="L545" s="1">
        <v>6.5343140000000002</v>
      </c>
      <c r="M545" s="1" t="s">
        <v>4213</v>
      </c>
      <c r="N545" s="1">
        <v>990.303</v>
      </c>
      <c r="O545" s="1">
        <f>ABS(Table4[[#This Row],[EndMP]]-Table4[[#This Row],[StartMP]])</f>
        <v>0.46199999999999974</v>
      </c>
      <c r="P545" s="1" t="str">
        <f>IF( AND( Table4[[#This Row],[Route]]=ClosureLocation!$B$3, ClosureLocation!$B$6 &gt;= Table4[[#This Row],[StartMP]], ClosureLocation!$B$6 &lt;= Table4[[#This Row],[EndMP]]), "Yes", "")</f>
        <v/>
      </c>
      <c r="Q545" s="1" t="str">
        <f>IF( AND( Table4[[#This Row],[Route]]=ClosureLocation!$B$3, ClosureLocation!$B$6 &lt;= Table4[[#This Row],[StartMP]], ClosureLocation!$B$6 &gt;= Table4[[#This Row],[EndMP]]), "Yes", "")</f>
        <v/>
      </c>
      <c r="R545" s="1" t="str">
        <f>IF( OR( Table4[[#This Row],[PrimaryMatch]]="Yes", Table4[[#This Row],[SecondaryMatch]]="Yes"), "Yes", "")</f>
        <v/>
      </c>
    </row>
    <row r="546" spans="1:18" hidden="1" x14ac:dyDescent="0.25">
      <c r="A546" t="s">
        <v>126</v>
      </c>
      <c r="B546" t="s">
        <v>3209</v>
      </c>
      <c r="C546" t="s">
        <v>3226</v>
      </c>
      <c r="D546" t="s">
        <v>3276</v>
      </c>
      <c r="E546" s="1">
        <v>19.248999999999999</v>
      </c>
      <c r="F546" s="1">
        <v>0</v>
      </c>
      <c r="G546">
        <v>2</v>
      </c>
      <c r="H546">
        <v>3</v>
      </c>
      <c r="I546" t="s">
        <v>2103</v>
      </c>
      <c r="J546" t="s">
        <v>1702</v>
      </c>
      <c r="K546" s="39">
        <v>16.820633000000001</v>
      </c>
      <c r="L546" s="1">
        <v>14.963436</v>
      </c>
      <c r="M546" s="1" t="s">
        <v>454</v>
      </c>
      <c r="N546" s="1">
        <v>980.75099999999998</v>
      </c>
      <c r="O546" s="1">
        <f>ABS(Table4[[#This Row],[EndMP]]-Table4[[#This Row],[StartMP]])</f>
        <v>19.248999999999999</v>
      </c>
      <c r="P546" s="1" t="str">
        <f>IF( AND( Table4[[#This Row],[Route]]=ClosureLocation!$B$3, ClosureLocation!$B$6 &gt;= Table4[[#This Row],[StartMP]], ClosureLocation!$B$6 &lt;= Table4[[#This Row],[EndMP]]), "Yes", "")</f>
        <v/>
      </c>
      <c r="Q546" s="1" t="str">
        <f>IF( AND( Table4[[#This Row],[Route]]=ClosureLocation!$B$3, ClosureLocation!$B$6 &lt;= Table4[[#This Row],[StartMP]], ClosureLocation!$B$6 &gt;= Table4[[#This Row],[EndMP]]), "Yes", "")</f>
        <v/>
      </c>
      <c r="R546" s="1" t="str">
        <f>IF( OR( Table4[[#This Row],[PrimaryMatch]]="Yes", Table4[[#This Row],[SecondaryMatch]]="Yes"), "Yes", "")</f>
        <v/>
      </c>
    </row>
    <row r="547" spans="1:18" hidden="1" x14ac:dyDescent="0.25">
      <c r="A547" t="s">
        <v>732</v>
      </c>
      <c r="B547" t="s">
        <v>3209</v>
      </c>
      <c r="C547" t="s">
        <v>3210</v>
      </c>
      <c r="D547" t="s">
        <v>3714</v>
      </c>
      <c r="E547" s="1">
        <v>56.411999999999999</v>
      </c>
      <c r="F547" s="1">
        <v>53.378999999999998</v>
      </c>
      <c r="G547">
        <v>1</v>
      </c>
      <c r="H547">
        <v>2</v>
      </c>
      <c r="I547" t="s">
        <v>2523</v>
      </c>
      <c r="J547" t="s">
        <v>2040</v>
      </c>
      <c r="K547" s="39">
        <v>16.763826000000002</v>
      </c>
      <c r="L547" s="1">
        <v>14.809531</v>
      </c>
      <c r="M547" s="1" t="s">
        <v>3715</v>
      </c>
      <c r="N547" s="1">
        <v>943.58799999999997</v>
      </c>
      <c r="O547" s="1">
        <f>ABS(Table4[[#This Row],[EndMP]]-Table4[[#This Row],[StartMP]])</f>
        <v>3.0330000000000013</v>
      </c>
      <c r="P547" s="1" t="str">
        <f>IF( AND( Table4[[#This Row],[Route]]=ClosureLocation!$B$3, ClosureLocation!$B$6 &gt;= Table4[[#This Row],[StartMP]], ClosureLocation!$B$6 &lt;= Table4[[#This Row],[EndMP]]), "Yes", "")</f>
        <v/>
      </c>
      <c r="Q547" s="1" t="str">
        <f>IF( AND( Table4[[#This Row],[Route]]=ClosureLocation!$B$3, ClosureLocation!$B$6 &lt;= Table4[[#This Row],[StartMP]], ClosureLocation!$B$6 &gt;= Table4[[#This Row],[EndMP]]), "Yes", "")</f>
        <v/>
      </c>
      <c r="R547" s="1" t="str">
        <f>IF( OR( Table4[[#This Row],[PrimaryMatch]]="Yes", Table4[[#This Row],[SecondaryMatch]]="Yes"), "Yes", "")</f>
        <v/>
      </c>
    </row>
    <row r="548" spans="1:18" hidden="1" x14ac:dyDescent="0.25">
      <c r="A548" t="s">
        <v>1595</v>
      </c>
      <c r="B548" t="s">
        <v>3205</v>
      </c>
      <c r="C548" t="s">
        <v>3206</v>
      </c>
      <c r="D548" t="s">
        <v>4334</v>
      </c>
      <c r="E548" s="1">
        <v>0</v>
      </c>
      <c r="F548" s="1">
        <v>6.0670000000000002</v>
      </c>
      <c r="G548">
        <v>1</v>
      </c>
      <c r="H548">
        <v>1</v>
      </c>
      <c r="I548" t="s">
        <v>3135</v>
      </c>
      <c r="J548" t="s">
        <v>1691</v>
      </c>
      <c r="K548" s="39">
        <v>16.72101</v>
      </c>
      <c r="L548" s="1">
        <v>10.987302</v>
      </c>
      <c r="M548" s="1" t="s">
        <v>4335</v>
      </c>
      <c r="N548" s="1">
        <v>0</v>
      </c>
      <c r="O548" s="1">
        <f>ABS(Table4[[#This Row],[EndMP]]-Table4[[#This Row],[StartMP]])</f>
        <v>6.0670000000000002</v>
      </c>
      <c r="P548" s="1" t="str">
        <f>IF( AND( Table4[[#This Row],[Route]]=ClosureLocation!$B$3, ClosureLocation!$B$6 &gt;= Table4[[#This Row],[StartMP]], ClosureLocation!$B$6 &lt;= Table4[[#This Row],[EndMP]]), "Yes", "")</f>
        <v/>
      </c>
      <c r="Q548" s="1" t="str">
        <f>IF( AND( Table4[[#This Row],[Route]]=ClosureLocation!$B$3, ClosureLocation!$B$6 &lt;= Table4[[#This Row],[StartMP]], ClosureLocation!$B$6 &gt;= Table4[[#This Row],[EndMP]]), "Yes", "")</f>
        <v/>
      </c>
      <c r="R548" s="1" t="str">
        <f>IF( OR( Table4[[#This Row],[PrimaryMatch]]="Yes", Table4[[#This Row],[SecondaryMatch]]="Yes"), "Yes", "")</f>
        <v/>
      </c>
    </row>
    <row r="549" spans="1:18" hidden="1" x14ac:dyDescent="0.25">
      <c r="A549" t="s">
        <v>1595</v>
      </c>
      <c r="B549" t="s">
        <v>3209</v>
      </c>
      <c r="C549" t="s">
        <v>3210</v>
      </c>
      <c r="D549" t="s">
        <v>4336</v>
      </c>
      <c r="E549" s="1">
        <v>6.0670000000000002</v>
      </c>
      <c r="F549" s="1">
        <v>0</v>
      </c>
      <c r="G549">
        <v>1</v>
      </c>
      <c r="H549">
        <v>2</v>
      </c>
      <c r="I549" t="s">
        <v>3136</v>
      </c>
      <c r="J549" t="s">
        <v>1691</v>
      </c>
      <c r="K549" s="39">
        <v>16.720637</v>
      </c>
      <c r="L549" s="1">
        <v>10.987302</v>
      </c>
      <c r="M549" s="1" t="s">
        <v>4337</v>
      </c>
      <c r="N549" s="1">
        <v>993.93299999999999</v>
      </c>
      <c r="O549" s="1">
        <f>ABS(Table4[[#This Row],[EndMP]]-Table4[[#This Row],[StartMP]])</f>
        <v>6.0670000000000002</v>
      </c>
      <c r="P549" s="1" t="str">
        <f>IF( AND( Table4[[#This Row],[Route]]=ClosureLocation!$B$3, ClosureLocation!$B$6 &gt;= Table4[[#This Row],[StartMP]], ClosureLocation!$B$6 &lt;= Table4[[#This Row],[EndMP]]), "Yes", "")</f>
        <v/>
      </c>
      <c r="Q549" s="1" t="str">
        <f>IF( AND( Table4[[#This Row],[Route]]=ClosureLocation!$B$3, ClosureLocation!$B$6 &lt;= Table4[[#This Row],[StartMP]], ClosureLocation!$B$6 &gt;= Table4[[#This Row],[EndMP]]), "Yes", "")</f>
        <v/>
      </c>
      <c r="R549" s="1" t="str">
        <f>IF( OR( Table4[[#This Row],[PrimaryMatch]]="Yes", Table4[[#This Row],[SecondaryMatch]]="Yes"), "Yes", "")</f>
        <v/>
      </c>
    </row>
    <row r="550" spans="1:18" hidden="1" x14ac:dyDescent="0.25">
      <c r="A550" t="s">
        <v>160</v>
      </c>
      <c r="B550" t="s">
        <v>3209</v>
      </c>
      <c r="C550" t="s">
        <v>3210</v>
      </c>
      <c r="D550" t="s">
        <v>3305</v>
      </c>
      <c r="E550" s="1">
        <v>63.731999999999999</v>
      </c>
      <c r="F550" s="1">
        <v>47.582000000000001</v>
      </c>
      <c r="G550">
        <v>1</v>
      </c>
      <c r="H550">
        <v>2</v>
      </c>
      <c r="I550" t="s">
        <v>2122</v>
      </c>
      <c r="J550" t="s">
        <v>1696</v>
      </c>
      <c r="K550" s="39">
        <v>16.479793999999998</v>
      </c>
      <c r="L550" s="1">
        <v>15.67337</v>
      </c>
      <c r="M550" s="1" t="s">
        <v>3306</v>
      </c>
      <c r="N550" s="1">
        <v>936.26800000000003</v>
      </c>
      <c r="O550" s="1">
        <f>ABS(Table4[[#This Row],[EndMP]]-Table4[[#This Row],[StartMP]])</f>
        <v>16.149999999999999</v>
      </c>
      <c r="P550" s="1" t="str">
        <f>IF( AND( Table4[[#This Row],[Route]]=ClosureLocation!$B$3, ClosureLocation!$B$6 &gt;= Table4[[#This Row],[StartMP]], ClosureLocation!$B$6 &lt;= Table4[[#This Row],[EndMP]]), "Yes", "")</f>
        <v/>
      </c>
      <c r="Q550" s="1" t="str">
        <f>IF( AND( Table4[[#This Row],[Route]]=ClosureLocation!$B$3, ClosureLocation!$B$6 &lt;= Table4[[#This Row],[StartMP]], ClosureLocation!$B$6 &gt;= Table4[[#This Row],[EndMP]]), "Yes", "")</f>
        <v/>
      </c>
      <c r="R550" s="1" t="str">
        <f>IF( OR( Table4[[#This Row],[PrimaryMatch]]="Yes", Table4[[#This Row],[SecondaryMatch]]="Yes"), "Yes", "")</f>
        <v/>
      </c>
    </row>
    <row r="551" spans="1:18" hidden="1" x14ac:dyDescent="0.25">
      <c r="A551" t="s">
        <v>160</v>
      </c>
      <c r="B551" t="s">
        <v>3205</v>
      </c>
      <c r="C551" t="s">
        <v>3206</v>
      </c>
      <c r="D551" t="s">
        <v>3303</v>
      </c>
      <c r="E551" s="1">
        <v>47.582000000000001</v>
      </c>
      <c r="F551" s="1">
        <v>63.731999999999999</v>
      </c>
      <c r="G551">
        <v>1</v>
      </c>
      <c r="H551">
        <v>1</v>
      </c>
      <c r="I551" t="s">
        <v>2121</v>
      </c>
      <c r="J551" t="s">
        <v>1696</v>
      </c>
      <c r="K551" s="39">
        <v>16.479165999999999</v>
      </c>
      <c r="L551" s="1">
        <v>15.67337</v>
      </c>
      <c r="M551" s="1" t="s">
        <v>3304</v>
      </c>
      <c r="N551" s="1">
        <v>47.582000000000001</v>
      </c>
      <c r="O551" s="1">
        <f>ABS(Table4[[#This Row],[EndMP]]-Table4[[#This Row],[StartMP]])</f>
        <v>16.149999999999999</v>
      </c>
      <c r="P551" s="1" t="str">
        <f>IF( AND( Table4[[#This Row],[Route]]=ClosureLocation!$B$3, ClosureLocation!$B$6 &gt;= Table4[[#This Row],[StartMP]], ClosureLocation!$B$6 &lt;= Table4[[#This Row],[EndMP]]), "Yes", "")</f>
        <v/>
      </c>
      <c r="Q551" s="1" t="str">
        <f>IF( AND( Table4[[#This Row],[Route]]=ClosureLocation!$B$3, ClosureLocation!$B$6 &lt;= Table4[[#This Row],[StartMP]], ClosureLocation!$B$6 &gt;= Table4[[#This Row],[EndMP]]), "Yes", "")</f>
        <v/>
      </c>
      <c r="R551" s="1" t="str">
        <f>IF( OR( Table4[[#This Row],[PrimaryMatch]]="Yes", Table4[[#This Row],[SecondaryMatch]]="Yes"), "Yes", "")</f>
        <v/>
      </c>
    </row>
    <row r="552" spans="1:18" hidden="1" x14ac:dyDescent="0.25">
      <c r="A552" t="s">
        <v>732</v>
      </c>
      <c r="B552" t="s">
        <v>3205</v>
      </c>
      <c r="C552" t="s">
        <v>3206</v>
      </c>
      <c r="D552" t="s">
        <v>3710</v>
      </c>
      <c r="E552" s="1">
        <v>53.378999999999998</v>
      </c>
      <c r="F552" s="1">
        <v>56.411999999999999</v>
      </c>
      <c r="G552">
        <v>3</v>
      </c>
      <c r="H552">
        <v>1</v>
      </c>
      <c r="I552" t="s">
        <v>2522</v>
      </c>
      <c r="J552" t="s">
        <v>2040</v>
      </c>
      <c r="K552" s="39">
        <v>16.467324000000001</v>
      </c>
      <c r="L552" s="1">
        <v>15.357025999999999</v>
      </c>
      <c r="M552" s="1" t="s">
        <v>3713</v>
      </c>
      <c r="N552" s="1">
        <v>53.378999999999998</v>
      </c>
      <c r="O552" s="1">
        <f>ABS(Table4[[#This Row],[EndMP]]-Table4[[#This Row],[StartMP]])</f>
        <v>3.0330000000000013</v>
      </c>
      <c r="P552" s="1" t="str">
        <f>IF( AND( Table4[[#This Row],[Route]]=ClosureLocation!$B$3, ClosureLocation!$B$6 &gt;= Table4[[#This Row],[StartMP]], ClosureLocation!$B$6 &lt;= Table4[[#This Row],[EndMP]]), "Yes", "")</f>
        <v/>
      </c>
      <c r="Q552" s="1" t="str">
        <f>IF( AND( Table4[[#This Row],[Route]]=ClosureLocation!$B$3, ClosureLocation!$B$6 &lt;= Table4[[#This Row],[StartMP]], ClosureLocation!$B$6 &gt;= Table4[[#This Row],[EndMP]]), "Yes", "")</f>
        <v/>
      </c>
      <c r="R552" s="1" t="str">
        <f>IF( OR( Table4[[#This Row],[PrimaryMatch]]="Yes", Table4[[#This Row],[SecondaryMatch]]="Yes"), "Yes", "")</f>
        <v/>
      </c>
    </row>
    <row r="553" spans="1:18" hidden="1" x14ac:dyDescent="0.25">
      <c r="A553" t="s">
        <v>310</v>
      </c>
      <c r="B553" t="s">
        <v>3209</v>
      </c>
      <c r="C553" t="s">
        <v>3210</v>
      </c>
      <c r="D553" t="s">
        <v>3444</v>
      </c>
      <c r="E553" s="1">
        <v>257.20600000000002</v>
      </c>
      <c r="F553" s="1">
        <v>255.44800000000001</v>
      </c>
      <c r="G553">
        <v>5</v>
      </c>
      <c r="H553">
        <v>29</v>
      </c>
      <c r="I553" t="s">
        <v>2244</v>
      </c>
      <c r="J553" t="s">
        <v>1694</v>
      </c>
      <c r="K553" s="39">
        <v>16.467196999999999</v>
      </c>
      <c r="L553" s="1">
        <v>8.4188340000000004</v>
      </c>
      <c r="M553" s="1" t="s">
        <v>4900</v>
      </c>
      <c r="N553" s="1">
        <v>742.79399999999998</v>
      </c>
      <c r="O553" s="1">
        <f>ABS(Table4[[#This Row],[EndMP]]-Table4[[#This Row],[StartMP]])</f>
        <v>1.7580000000000098</v>
      </c>
      <c r="P553" s="1" t="str">
        <f>IF( AND( Table4[[#This Row],[Route]]=ClosureLocation!$B$3, ClosureLocation!$B$6 &gt;= Table4[[#This Row],[StartMP]], ClosureLocation!$B$6 &lt;= Table4[[#This Row],[EndMP]]), "Yes", "")</f>
        <v/>
      </c>
      <c r="Q553" s="1" t="str">
        <f>IF( AND( Table4[[#This Row],[Route]]=ClosureLocation!$B$3, ClosureLocation!$B$6 &lt;= Table4[[#This Row],[StartMP]], ClosureLocation!$B$6 &gt;= Table4[[#This Row],[EndMP]]), "Yes", "")</f>
        <v/>
      </c>
      <c r="R553" s="1" t="str">
        <f>IF( OR( Table4[[#This Row],[PrimaryMatch]]="Yes", Table4[[#This Row],[SecondaryMatch]]="Yes"), "Yes", "")</f>
        <v/>
      </c>
    </row>
    <row r="554" spans="1:18" hidden="1" x14ac:dyDescent="0.25">
      <c r="A554" t="s">
        <v>93</v>
      </c>
      <c r="B554" t="s">
        <v>3205</v>
      </c>
      <c r="C554" t="s">
        <v>3222</v>
      </c>
      <c r="D554" t="s">
        <v>3264</v>
      </c>
      <c r="E554" s="1">
        <v>406.67</v>
      </c>
      <c r="F554" s="1">
        <v>467.28399999999999</v>
      </c>
      <c r="G554">
        <v>3</v>
      </c>
      <c r="H554">
        <v>2</v>
      </c>
      <c r="I554" t="s">
        <v>2091</v>
      </c>
      <c r="J554" t="s">
        <v>1705</v>
      </c>
      <c r="K554" s="39">
        <v>16.464587999999999</v>
      </c>
      <c r="L554" s="1">
        <v>46.43282</v>
      </c>
      <c r="M554" s="58" t="s">
        <v>3266</v>
      </c>
      <c r="N554" s="1">
        <v>406.67</v>
      </c>
      <c r="O554" s="1">
        <f>ABS(Table4[[#This Row],[EndMP]]-Table4[[#This Row],[StartMP]])</f>
        <v>60.613999999999976</v>
      </c>
      <c r="P554" s="1" t="str">
        <f>IF( AND( Table4[[#This Row],[Route]]=ClosureLocation!$B$3, ClosureLocation!$B$6 &gt;= Table4[[#This Row],[StartMP]], ClosureLocation!$B$6 &lt;= Table4[[#This Row],[EndMP]]), "Yes", "")</f>
        <v/>
      </c>
      <c r="Q554" s="1" t="str">
        <f>IF( AND( Table4[[#This Row],[Route]]=ClosureLocation!$B$3, ClosureLocation!$B$6 &lt;= Table4[[#This Row],[StartMP]], ClosureLocation!$B$6 &gt;= Table4[[#This Row],[EndMP]]), "Yes", "")</f>
        <v/>
      </c>
      <c r="R554" s="1" t="str">
        <f>IF( OR( Table4[[#This Row],[PrimaryMatch]]="Yes", Table4[[#This Row],[SecondaryMatch]]="Yes"), "Yes", "")</f>
        <v/>
      </c>
    </row>
    <row r="555" spans="1:18" hidden="1" x14ac:dyDescent="0.25">
      <c r="A555" t="s">
        <v>310</v>
      </c>
      <c r="B555" t="s">
        <v>3205</v>
      </c>
      <c r="C555" t="s">
        <v>3206</v>
      </c>
      <c r="D555" t="s">
        <v>3427</v>
      </c>
      <c r="E555" s="1">
        <v>229.42699999999999</v>
      </c>
      <c r="F555" s="1">
        <v>234.94800000000001</v>
      </c>
      <c r="G555">
        <v>23</v>
      </c>
      <c r="H555">
        <v>4</v>
      </c>
      <c r="I555" t="s">
        <v>2229</v>
      </c>
      <c r="J555" t="s">
        <v>1701</v>
      </c>
      <c r="K555" s="39">
        <v>16.324703</v>
      </c>
      <c r="L555" s="1">
        <v>11.543716999999999</v>
      </c>
      <c r="M555" s="1" t="s">
        <v>3439</v>
      </c>
      <c r="N555" s="1">
        <v>229.42699999999999</v>
      </c>
      <c r="O555" s="1">
        <f>ABS(Table4[[#This Row],[EndMP]]-Table4[[#This Row],[StartMP]])</f>
        <v>5.521000000000015</v>
      </c>
      <c r="P555" s="1" t="str">
        <f>IF( AND( Table4[[#This Row],[Route]]=ClosureLocation!$B$3, ClosureLocation!$B$6 &gt;= Table4[[#This Row],[StartMP]], ClosureLocation!$B$6 &lt;= Table4[[#This Row],[EndMP]]), "Yes", "")</f>
        <v/>
      </c>
      <c r="Q555" s="1" t="str">
        <f>IF( AND( Table4[[#This Row],[Route]]=ClosureLocation!$B$3, ClosureLocation!$B$6 &lt;= Table4[[#This Row],[StartMP]], ClosureLocation!$B$6 &gt;= Table4[[#This Row],[EndMP]]), "Yes", "")</f>
        <v/>
      </c>
      <c r="R555" s="1" t="str">
        <f>IF( OR( Table4[[#This Row],[PrimaryMatch]]="Yes", Table4[[#This Row],[SecondaryMatch]]="Yes"), "Yes", "")</f>
        <v/>
      </c>
    </row>
    <row r="556" spans="1:18" hidden="1" x14ac:dyDescent="0.25">
      <c r="A556" t="s">
        <v>1671</v>
      </c>
      <c r="B556" t="s">
        <v>3205</v>
      </c>
      <c r="C556" t="s">
        <v>3206</v>
      </c>
      <c r="D556" t="s">
        <v>4411</v>
      </c>
      <c r="E556" s="1">
        <v>26.718</v>
      </c>
      <c r="F556" s="1">
        <v>36.801000000000002</v>
      </c>
      <c r="G556">
        <v>2</v>
      </c>
      <c r="H556">
        <v>2</v>
      </c>
      <c r="I556" t="s">
        <v>3192</v>
      </c>
      <c r="J556" t="s">
        <v>1694</v>
      </c>
      <c r="K556" s="39">
        <v>16.155062000000001</v>
      </c>
      <c r="L556" s="1">
        <v>7.8949009999999999</v>
      </c>
      <c r="M556" s="1" t="s">
        <v>5037</v>
      </c>
      <c r="N556" s="1">
        <v>26.718</v>
      </c>
      <c r="O556" s="1">
        <f>ABS(Table4[[#This Row],[EndMP]]-Table4[[#This Row],[StartMP]])</f>
        <v>10.083000000000002</v>
      </c>
      <c r="P556" s="1" t="str">
        <f>IF( AND( Table4[[#This Row],[Route]]=ClosureLocation!$B$3, ClosureLocation!$B$6 &gt;= Table4[[#This Row],[StartMP]], ClosureLocation!$B$6 &lt;= Table4[[#This Row],[EndMP]]), "Yes", "")</f>
        <v/>
      </c>
      <c r="Q556" s="1" t="str">
        <f>IF( AND( Table4[[#This Row],[Route]]=ClosureLocation!$B$3, ClosureLocation!$B$6 &lt;= Table4[[#This Row],[StartMP]], ClosureLocation!$B$6 &gt;= Table4[[#This Row],[EndMP]]), "Yes", "")</f>
        <v/>
      </c>
      <c r="R556" s="1" t="str">
        <f>IF( OR( Table4[[#This Row],[PrimaryMatch]]="Yes", Table4[[#This Row],[SecondaryMatch]]="Yes"), "Yes", "")</f>
        <v/>
      </c>
    </row>
    <row r="557" spans="1:18" hidden="1" x14ac:dyDescent="0.25">
      <c r="A557" t="s">
        <v>1671</v>
      </c>
      <c r="B557" t="s">
        <v>3209</v>
      </c>
      <c r="C557" t="s">
        <v>3210</v>
      </c>
      <c r="D557" t="s">
        <v>4413</v>
      </c>
      <c r="E557" s="1">
        <v>36.801000000000002</v>
      </c>
      <c r="F557" s="1">
        <v>26.718</v>
      </c>
      <c r="G557">
        <v>2</v>
      </c>
      <c r="H557">
        <v>5</v>
      </c>
      <c r="I557" t="s">
        <v>3195</v>
      </c>
      <c r="J557" t="s">
        <v>1694</v>
      </c>
      <c r="K557" s="39">
        <v>16.154346</v>
      </c>
      <c r="L557" s="1">
        <v>7.8949009999999999</v>
      </c>
      <c r="M557" s="1" t="s">
        <v>5038</v>
      </c>
      <c r="N557" s="1">
        <v>963.19899999999996</v>
      </c>
      <c r="O557" s="1">
        <f>ABS(Table4[[#This Row],[EndMP]]-Table4[[#This Row],[StartMP]])</f>
        <v>10.083000000000002</v>
      </c>
      <c r="P557" s="1" t="str">
        <f>IF( AND( Table4[[#This Row],[Route]]=ClosureLocation!$B$3, ClosureLocation!$B$6 &gt;= Table4[[#This Row],[StartMP]], ClosureLocation!$B$6 &lt;= Table4[[#This Row],[EndMP]]), "Yes", "")</f>
        <v/>
      </c>
      <c r="Q557" s="1" t="str">
        <f>IF( AND( Table4[[#This Row],[Route]]=ClosureLocation!$B$3, ClosureLocation!$B$6 &lt;= Table4[[#This Row],[StartMP]], ClosureLocation!$B$6 &gt;= Table4[[#This Row],[EndMP]]), "Yes", "")</f>
        <v/>
      </c>
      <c r="R557" s="1" t="str">
        <f>IF( OR( Table4[[#This Row],[PrimaryMatch]]="Yes", Table4[[#This Row],[SecondaryMatch]]="Yes"), "Yes", "")</f>
        <v/>
      </c>
    </row>
    <row r="558" spans="1:18" hidden="1" x14ac:dyDescent="0.25">
      <c r="A558" t="s">
        <v>981</v>
      </c>
      <c r="B558" t="s">
        <v>3205</v>
      </c>
      <c r="C558" t="s">
        <v>3206</v>
      </c>
      <c r="D558" t="s">
        <v>3873</v>
      </c>
      <c r="E558" s="1">
        <v>190.36699999999999</v>
      </c>
      <c r="F558" s="1">
        <v>200.31100000000001</v>
      </c>
      <c r="G558">
        <v>2</v>
      </c>
      <c r="H558">
        <v>1</v>
      </c>
      <c r="I558" t="s">
        <v>2770</v>
      </c>
      <c r="J558" t="s">
        <v>1702</v>
      </c>
      <c r="K558" s="39">
        <v>16.152193</v>
      </c>
      <c r="L558" s="1">
        <v>15.200964000000001</v>
      </c>
      <c r="M558" s="1" t="s">
        <v>3874</v>
      </c>
      <c r="N558" s="1">
        <v>190.36699999999999</v>
      </c>
      <c r="O558" s="1">
        <f>ABS(Table4[[#This Row],[EndMP]]-Table4[[#This Row],[StartMP]])</f>
        <v>9.9440000000000168</v>
      </c>
      <c r="P558" s="1" t="str">
        <f>IF( AND( Table4[[#This Row],[Route]]=ClosureLocation!$B$3, ClosureLocation!$B$6 &gt;= Table4[[#This Row],[StartMP]], ClosureLocation!$B$6 &lt;= Table4[[#This Row],[EndMP]]), "Yes", "")</f>
        <v/>
      </c>
      <c r="Q558" s="1" t="str">
        <f>IF( AND( Table4[[#This Row],[Route]]=ClosureLocation!$B$3, ClosureLocation!$B$6 &lt;= Table4[[#This Row],[StartMP]], ClosureLocation!$B$6 &gt;= Table4[[#This Row],[EndMP]]), "Yes", "")</f>
        <v/>
      </c>
      <c r="R558" s="1" t="str">
        <f>IF( OR( Table4[[#This Row],[PrimaryMatch]]="Yes", Table4[[#This Row],[SecondaryMatch]]="Yes"), "Yes", "")</f>
        <v/>
      </c>
    </row>
    <row r="559" spans="1:18" hidden="1" x14ac:dyDescent="0.25">
      <c r="A559" t="s">
        <v>477</v>
      </c>
      <c r="B559" t="s">
        <v>3205</v>
      </c>
      <c r="C559" t="s">
        <v>3222</v>
      </c>
      <c r="D559" t="s">
        <v>3539</v>
      </c>
      <c r="E559" s="1">
        <v>88.835999999999999</v>
      </c>
      <c r="F559" s="1">
        <v>89.21</v>
      </c>
      <c r="H559">
        <v>1</v>
      </c>
      <c r="I559" t="s">
        <v>2340</v>
      </c>
      <c r="J559" t="s">
        <v>1724</v>
      </c>
      <c r="K559" s="39">
        <v>15.450457</v>
      </c>
      <c r="L559" s="1">
        <v>13.440300000000001</v>
      </c>
      <c r="M559" s="1" t="s">
        <v>3540</v>
      </c>
      <c r="N559" s="1">
        <v>88.835999999999999</v>
      </c>
      <c r="O559" s="1">
        <f>ABS(Table4[[#This Row],[EndMP]]-Table4[[#This Row],[StartMP]])</f>
        <v>0.37399999999999523</v>
      </c>
      <c r="P559" s="1" t="str">
        <f>IF( AND( Table4[[#This Row],[Route]]=ClosureLocation!$B$3, ClosureLocation!$B$6 &gt;= Table4[[#This Row],[StartMP]], ClosureLocation!$B$6 &lt;= Table4[[#This Row],[EndMP]]), "Yes", "")</f>
        <v/>
      </c>
      <c r="Q559" s="1" t="str">
        <f>IF( AND( Table4[[#This Row],[Route]]=ClosureLocation!$B$3, ClosureLocation!$B$6 &lt;= Table4[[#This Row],[StartMP]], ClosureLocation!$B$6 &gt;= Table4[[#This Row],[EndMP]]), "Yes", "")</f>
        <v/>
      </c>
      <c r="R559" s="1" t="str">
        <f>IF( OR( Table4[[#This Row],[PrimaryMatch]]="Yes", Table4[[#This Row],[SecondaryMatch]]="Yes"), "Yes", "")</f>
        <v/>
      </c>
    </row>
    <row r="560" spans="1:18" hidden="1" x14ac:dyDescent="0.25">
      <c r="A560" t="s">
        <v>394</v>
      </c>
      <c r="B560" t="s">
        <v>3209</v>
      </c>
      <c r="C560" t="s">
        <v>3226</v>
      </c>
      <c r="D560" t="s">
        <v>3487</v>
      </c>
      <c r="E560" s="1">
        <v>144.47</v>
      </c>
      <c r="F560" s="1">
        <v>115.746</v>
      </c>
      <c r="G560">
        <v>2</v>
      </c>
      <c r="H560">
        <v>6</v>
      </c>
      <c r="I560" t="s">
        <v>2298</v>
      </c>
      <c r="J560" t="s">
        <v>1704</v>
      </c>
      <c r="K560" s="39">
        <v>15.428069000000001</v>
      </c>
      <c r="L560" s="1">
        <v>22.176127999999999</v>
      </c>
      <c r="M560" s="1" t="s">
        <v>3489</v>
      </c>
      <c r="N560" s="1">
        <v>855.53</v>
      </c>
      <c r="O560" s="1">
        <f>ABS(Table4[[#This Row],[EndMP]]-Table4[[#This Row],[StartMP]])</f>
        <v>28.724000000000004</v>
      </c>
      <c r="P560" s="1" t="str">
        <f>IF( AND( Table4[[#This Row],[Route]]=ClosureLocation!$B$3, ClosureLocation!$B$6 &gt;= Table4[[#This Row],[StartMP]], ClosureLocation!$B$6 &lt;= Table4[[#This Row],[EndMP]]), "Yes", "")</f>
        <v/>
      </c>
      <c r="Q560" s="1" t="str">
        <f>IF( AND( Table4[[#This Row],[Route]]=ClosureLocation!$B$3, ClosureLocation!$B$6 &lt;= Table4[[#This Row],[StartMP]], ClosureLocation!$B$6 &gt;= Table4[[#This Row],[EndMP]]), "Yes", "")</f>
        <v/>
      </c>
      <c r="R560" s="1" t="str">
        <f>IF( OR( Table4[[#This Row],[PrimaryMatch]]="Yes", Table4[[#This Row],[SecondaryMatch]]="Yes"), "Yes", "")</f>
        <v/>
      </c>
    </row>
    <row r="561" spans="1:18" hidden="1" x14ac:dyDescent="0.25">
      <c r="A561" t="s">
        <v>981</v>
      </c>
      <c r="B561" t="s">
        <v>3209</v>
      </c>
      <c r="C561" t="s">
        <v>3210</v>
      </c>
      <c r="D561" t="s">
        <v>3878</v>
      </c>
      <c r="E561" s="1">
        <v>200.31100000000001</v>
      </c>
      <c r="F561" s="1">
        <v>190.36699999999999</v>
      </c>
      <c r="G561">
        <v>4</v>
      </c>
      <c r="H561">
        <v>2</v>
      </c>
      <c r="I561" t="s">
        <v>2777</v>
      </c>
      <c r="J561" t="s">
        <v>1702</v>
      </c>
      <c r="K561" s="39">
        <v>15.393219</v>
      </c>
      <c r="L561" s="1">
        <v>14.728571000000001</v>
      </c>
      <c r="M561" s="1" t="s">
        <v>3882</v>
      </c>
      <c r="N561" s="1">
        <v>799.68899999999996</v>
      </c>
      <c r="O561" s="1">
        <f>ABS(Table4[[#This Row],[EndMP]]-Table4[[#This Row],[StartMP]])</f>
        <v>9.9440000000000168</v>
      </c>
      <c r="P561" s="1" t="str">
        <f>IF( AND( Table4[[#This Row],[Route]]=ClosureLocation!$B$3, ClosureLocation!$B$6 &gt;= Table4[[#This Row],[StartMP]], ClosureLocation!$B$6 &lt;= Table4[[#This Row],[EndMP]]), "Yes", "")</f>
        <v/>
      </c>
      <c r="Q561" s="1" t="str">
        <f>IF( AND( Table4[[#This Row],[Route]]=ClosureLocation!$B$3, ClosureLocation!$B$6 &lt;= Table4[[#This Row],[StartMP]], ClosureLocation!$B$6 &gt;= Table4[[#This Row],[EndMP]]), "Yes", "")</f>
        <v/>
      </c>
      <c r="R561" s="1" t="str">
        <f>IF( OR( Table4[[#This Row],[PrimaryMatch]]="Yes", Table4[[#This Row],[SecondaryMatch]]="Yes"), "Yes", "")</f>
        <v/>
      </c>
    </row>
    <row r="562" spans="1:18" hidden="1" x14ac:dyDescent="0.25">
      <c r="A562" t="s">
        <v>1140</v>
      </c>
      <c r="B562" t="s">
        <v>3209</v>
      </c>
      <c r="C562" t="s">
        <v>3210</v>
      </c>
      <c r="D562" t="s">
        <v>4011</v>
      </c>
      <c r="E562" s="1">
        <v>47.417000000000002</v>
      </c>
      <c r="F562" s="1">
        <v>13.978999999999999</v>
      </c>
      <c r="H562">
        <v>3</v>
      </c>
      <c r="I562" t="s">
        <v>2873</v>
      </c>
      <c r="J562" t="s">
        <v>1702</v>
      </c>
      <c r="K562" s="39">
        <v>15.391393000000001</v>
      </c>
      <c r="L562" s="1">
        <v>30.116137999999999</v>
      </c>
      <c r="M562" s="1" t="s">
        <v>4012</v>
      </c>
      <c r="N562" s="1">
        <v>952.58299999999997</v>
      </c>
      <c r="O562" s="1">
        <f>ABS(Table4[[#This Row],[EndMP]]-Table4[[#This Row],[StartMP]])</f>
        <v>33.438000000000002</v>
      </c>
      <c r="P562" s="1" t="str">
        <f>IF( AND( Table4[[#This Row],[Route]]=ClosureLocation!$B$3, ClosureLocation!$B$6 &gt;= Table4[[#This Row],[StartMP]], ClosureLocation!$B$6 &lt;= Table4[[#This Row],[EndMP]]), "Yes", "")</f>
        <v/>
      </c>
      <c r="Q562" s="1" t="str">
        <f>IF( AND( Table4[[#This Row],[Route]]=ClosureLocation!$B$3, ClosureLocation!$B$6 &lt;= Table4[[#This Row],[StartMP]], ClosureLocation!$B$6 &gt;= Table4[[#This Row],[EndMP]]), "Yes", "")</f>
        <v/>
      </c>
      <c r="R562" s="1" t="str">
        <f>IF( OR( Table4[[#This Row],[PrimaryMatch]]="Yes", Table4[[#This Row],[SecondaryMatch]]="Yes"), "Yes", "")</f>
        <v/>
      </c>
    </row>
    <row r="563" spans="1:18" hidden="1" x14ac:dyDescent="0.25">
      <c r="A563" t="s">
        <v>1439</v>
      </c>
      <c r="B563" t="s">
        <v>3205</v>
      </c>
      <c r="C563" t="s">
        <v>3206</v>
      </c>
      <c r="D563" t="s">
        <v>4216</v>
      </c>
      <c r="E563" s="1">
        <v>0</v>
      </c>
      <c r="F563" s="1">
        <v>2.0499999999999998</v>
      </c>
      <c r="G563">
        <v>1</v>
      </c>
      <c r="H563">
        <v>1</v>
      </c>
      <c r="I563" t="s">
        <v>3031</v>
      </c>
      <c r="J563" t="s">
        <v>1691</v>
      </c>
      <c r="K563" s="39">
        <v>15.329091</v>
      </c>
      <c r="L563" s="1">
        <v>13.836081</v>
      </c>
      <c r="M563" s="1" t="s">
        <v>4217</v>
      </c>
      <c r="N563" s="1">
        <v>0</v>
      </c>
      <c r="O563" s="1">
        <f>ABS(Table4[[#This Row],[EndMP]]-Table4[[#This Row],[StartMP]])</f>
        <v>2.0499999999999998</v>
      </c>
      <c r="P563" s="1" t="str">
        <f>IF( AND( Table4[[#This Row],[Route]]=ClosureLocation!$B$3, ClosureLocation!$B$6 &gt;= Table4[[#This Row],[StartMP]], ClosureLocation!$B$6 &lt;= Table4[[#This Row],[EndMP]]), "Yes", "")</f>
        <v/>
      </c>
      <c r="Q563" s="1" t="str">
        <f>IF( AND( Table4[[#This Row],[Route]]=ClosureLocation!$B$3, ClosureLocation!$B$6 &lt;= Table4[[#This Row],[StartMP]], ClosureLocation!$B$6 &gt;= Table4[[#This Row],[EndMP]]), "Yes", "")</f>
        <v/>
      </c>
      <c r="R563" s="1" t="str">
        <f>IF( OR( Table4[[#This Row],[PrimaryMatch]]="Yes", Table4[[#This Row],[SecondaryMatch]]="Yes"), "Yes", "")</f>
        <v/>
      </c>
    </row>
    <row r="564" spans="1:18" hidden="1" x14ac:dyDescent="0.25">
      <c r="A564" t="s">
        <v>1439</v>
      </c>
      <c r="B564" t="s">
        <v>3209</v>
      </c>
      <c r="C564" t="s">
        <v>3210</v>
      </c>
      <c r="D564" t="s">
        <v>4218</v>
      </c>
      <c r="E564" s="1">
        <v>2.0499999999999998</v>
      </c>
      <c r="F564" s="1">
        <v>0</v>
      </c>
      <c r="G564">
        <v>1</v>
      </c>
      <c r="H564">
        <v>2</v>
      </c>
      <c r="I564" t="s">
        <v>3032</v>
      </c>
      <c r="J564" t="s">
        <v>1691</v>
      </c>
      <c r="K564" s="39">
        <v>15.328716999999999</v>
      </c>
      <c r="L564" s="1">
        <v>13.836081</v>
      </c>
      <c r="M564" s="1" t="s">
        <v>4219</v>
      </c>
      <c r="N564" s="1">
        <v>997.95</v>
      </c>
      <c r="O564" s="1">
        <f>ABS(Table4[[#This Row],[EndMP]]-Table4[[#This Row],[StartMP]])</f>
        <v>2.0499999999999998</v>
      </c>
      <c r="P564" s="1" t="str">
        <f>IF( AND( Table4[[#This Row],[Route]]=ClosureLocation!$B$3, ClosureLocation!$B$6 &gt;= Table4[[#This Row],[StartMP]], ClosureLocation!$B$6 &lt;= Table4[[#This Row],[EndMP]]), "Yes", "")</f>
        <v/>
      </c>
      <c r="Q564" s="1" t="str">
        <f>IF( AND( Table4[[#This Row],[Route]]=ClosureLocation!$B$3, ClosureLocation!$B$6 &lt;= Table4[[#This Row],[StartMP]], ClosureLocation!$B$6 &gt;= Table4[[#This Row],[EndMP]]), "Yes", "")</f>
        <v/>
      </c>
      <c r="R564" s="1" t="str">
        <f>IF( OR( Table4[[#This Row],[PrimaryMatch]]="Yes", Table4[[#This Row],[SecondaryMatch]]="Yes"), "Yes", "")</f>
        <v/>
      </c>
    </row>
    <row r="565" spans="1:18" hidden="1" x14ac:dyDescent="0.25">
      <c r="A565" t="s">
        <v>640</v>
      </c>
      <c r="B565" t="s">
        <v>3209</v>
      </c>
      <c r="C565" t="s">
        <v>3226</v>
      </c>
      <c r="D565" t="s">
        <v>3640</v>
      </c>
      <c r="E565" s="1">
        <v>366.97</v>
      </c>
      <c r="F565" s="1">
        <v>359.71199999999999</v>
      </c>
      <c r="G565">
        <v>8</v>
      </c>
      <c r="H565">
        <v>8</v>
      </c>
      <c r="I565" t="s">
        <v>2466</v>
      </c>
      <c r="J565" t="s">
        <v>1694</v>
      </c>
      <c r="K565" s="39">
        <v>15.244681</v>
      </c>
      <c r="L565" s="1">
        <v>9.2629219999999997</v>
      </c>
      <c r="M565" s="1" t="s">
        <v>4945</v>
      </c>
      <c r="N565" s="1">
        <v>633.03</v>
      </c>
      <c r="O565" s="1">
        <f>ABS(Table4[[#This Row],[EndMP]]-Table4[[#This Row],[StartMP]])</f>
        <v>7.2580000000000382</v>
      </c>
      <c r="P565" s="1" t="str">
        <f>IF( AND( Table4[[#This Row],[Route]]=ClosureLocation!$B$3, ClosureLocation!$B$6 &gt;= Table4[[#This Row],[StartMP]], ClosureLocation!$B$6 &lt;= Table4[[#This Row],[EndMP]]), "Yes", "")</f>
        <v/>
      </c>
      <c r="Q565" s="1" t="str">
        <f>IF( AND( Table4[[#This Row],[Route]]=ClosureLocation!$B$3, ClosureLocation!$B$6 &lt;= Table4[[#This Row],[StartMP]], ClosureLocation!$B$6 &gt;= Table4[[#This Row],[EndMP]]), "Yes", "")</f>
        <v/>
      </c>
      <c r="R565" s="1" t="str">
        <f>IF( OR( Table4[[#This Row],[PrimaryMatch]]="Yes", Table4[[#This Row],[SecondaryMatch]]="Yes"), "Yes", "")</f>
        <v/>
      </c>
    </row>
    <row r="566" spans="1:18" hidden="1" x14ac:dyDescent="0.25">
      <c r="A566" t="s">
        <v>640</v>
      </c>
      <c r="B566" t="s">
        <v>3205</v>
      </c>
      <c r="C566" t="s">
        <v>3222</v>
      </c>
      <c r="D566" t="s">
        <v>3638</v>
      </c>
      <c r="E566" s="1">
        <v>359.71199999999999</v>
      </c>
      <c r="F566" s="1">
        <v>366.97</v>
      </c>
      <c r="G566">
        <v>7</v>
      </c>
      <c r="H566">
        <v>21</v>
      </c>
      <c r="I566" t="s">
        <v>2451</v>
      </c>
      <c r="J566" t="s">
        <v>1694</v>
      </c>
      <c r="K566" s="39">
        <v>15.244501</v>
      </c>
      <c r="L566" s="1">
        <v>9.2629219999999997</v>
      </c>
      <c r="M566" s="1" t="s">
        <v>4930</v>
      </c>
      <c r="N566" s="1">
        <v>359.71199999999999</v>
      </c>
      <c r="O566" s="1">
        <f>ABS(Table4[[#This Row],[EndMP]]-Table4[[#This Row],[StartMP]])</f>
        <v>7.2580000000000382</v>
      </c>
      <c r="P566" s="1" t="str">
        <f>IF( AND( Table4[[#This Row],[Route]]=ClosureLocation!$B$3, ClosureLocation!$B$6 &gt;= Table4[[#This Row],[StartMP]], ClosureLocation!$B$6 &lt;= Table4[[#This Row],[EndMP]]), "Yes", "")</f>
        <v/>
      </c>
      <c r="Q566" s="1" t="str">
        <f>IF( AND( Table4[[#This Row],[Route]]=ClosureLocation!$B$3, ClosureLocation!$B$6 &lt;= Table4[[#This Row],[StartMP]], ClosureLocation!$B$6 &gt;= Table4[[#This Row],[EndMP]]), "Yes", "")</f>
        <v/>
      </c>
      <c r="R566" s="1" t="str">
        <f>IF( OR( Table4[[#This Row],[PrimaryMatch]]="Yes", Table4[[#This Row],[SecondaryMatch]]="Yes"), "Yes", "")</f>
        <v/>
      </c>
    </row>
    <row r="567" spans="1:18" hidden="1" x14ac:dyDescent="0.25">
      <c r="A567" t="s">
        <v>310</v>
      </c>
      <c r="B567" t="s">
        <v>3209</v>
      </c>
      <c r="C567" t="s">
        <v>3210</v>
      </c>
      <c r="D567" t="s">
        <v>3444</v>
      </c>
      <c r="E567" s="1">
        <v>228.9</v>
      </c>
      <c r="F567" s="1">
        <v>228.22900000000001</v>
      </c>
      <c r="G567">
        <v>12</v>
      </c>
      <c r="H567">
        <v>14</v>
      </c>
      <c r="I567" t="s">
        <v>2251</v>
      </c>
      <c r="J567" t="s">
        <v>1701</v>
      </c>
      <c r="K567" s="39">
        <v>15.147468999999999</v>
      </c>
      <c r="L567" s="1">
        <v>11.346080000000001</v>
      </c>
      <c r="M567" s="1" t="s">
        <v>3450</v>
      </c>
      <c r="N567" s="1">
        <v>771.1</v>
      </c>
      <c r="O567" s="1">
        <f>ABS(Table4[[#This Row],[EndMP]]-Table4[[#This Row],[StartMP]])</f>
        <v>0.67099999999999227</v>
      </c>
      <c r="P567" s="1" t="str">
        <f>IF( AND( Table4[[#This Row],[Route]]=ClosureLocation!$B$3, ClosureLocation!$B$6 &gt;= Table4[[#This Row],[StartMP]], ClosureLocation!$B$6 &lt;= Table4[[#This Row],[EndMP]]), "Yes", "")</f>
        <v/>
      </c>
      <c r="Q567" s="1" t="str">
        <f>IF( AND( Table4[[#This Row],[Route]]=ClosureLocation!$B$3, ClosureLocation!$B$6 &lt;= Table4[[#This Row],[StartMP]], ClosureLocation!$B$6 &gt;= Table4[[#This Row],[EndMP]]), "Yes", "")</f>
        <v/>
      </c>
      <c r="R567" s="1" t="str">
        <f>IF( OR( Table4[[#This Row],[PrimaryMatch]]="Yes", Table4[[#This Row],[SecondaryMatch]]="Yes"), "Yes", "")</f>
        <v/>
      </c>
    </row>
    <row r="568" spans="1:18" hidden="1" x14ac:dyDescent="0.25">
      <c r="A568" t="s">
        <v>836</v>
      </c>
      <c r="B568" t="s">
        <v>3205</v>
      </c>
      <c r="C568" t="s">
        <v>3222</v>
      </c>
      <c r="D568" t="s">
        <v>3750</v>
      </c>
      <c r="E568" s="1">
        <v>11.715999999999999</v>
      </c>
      <c r="F568" s="1">
        <v>12.869</v>
      </c>
      <c r="G568">
        <v>5</v>
      </c>
      <c r="H568">
        <v>5</v>
      </c>
      <c r="I568" t="s">
        <v>2659</v>
      </c>
      <c r="J568" t="s">
        <v>1707</v>
      </c>
      <c r="K568" s="39">
        <v>15.074983</v>
      </c>
      <c r="L568" s="1">
        <v>18.964853000000002</v>
      </c>
      <c r="M568" s="1" t="s">
        <v>3755</v>
      </c>
      <c r="N568" s="1">
        <v>11.715999999999999</v>
      </c>
      <c r="O568" s="1">
        <f>ABS(Table4[[#This Row],[EndMP]]-Table4[[#This Row],[StartMP]])</f>
        <v>1.1530000000000005</v>
      </c>
      <c r="P568" s="1" t="str">
        <f>IF( AND( Table4[[#This Row],[Route]]=ClosureLocation!$B$3, ClosureLocation!$B$6 &gt;= Table4[[#This Row],[StartMP]], ClosureLocation!$B$6 &lt;= Table4[[#This Row],[EndMP]]), "Yes", "")</f>
        <v/>
      </c>
      <c r="Q568" s="1" t="str">
        <f>IF( AND( Table4[[#This Row],[Route]]=ClosureLocation!$B$3, ClosureLocation!$B$6 &lt;= Table4[[#This Row],[StartMP]], ClosureLocation!$B$6 &gt;= Table4[[#This Row],[EndMP]]), "Yes", "")</f>
        <v/>
      </c>
      <c r="R568" s="1" t="str">
        <f>IF( OR( Table4[[#This Row],[PrimaryMatch]]="Yes", Table4[[#This Row],[SecondaryMatch]]="Yes"), "Yes", "")</f>
        <v/>
      </c>
    </row>
    <row r="569" spans="1:18" hidden="1" x14ac:dyDescent="0.25">
      <c r="A569" t="s">
        <v>1591</v>
      </c>
      <c r="B569" t="s">
        <v>3209</v>
      </c>
      <c r="C569" t="s">
        <v>3226</v>
      </c>
      <c r="D569" t="s">
        <v>4331</v>
      </c>
      <c r="E569" s="1">
        <v>3.996</v>
      </c>
      <c r="F569" s="1">
        <v>0</v>
      </c>
      <c r="G569">
        <v>2</v>
      </c>
      <c r="H569">
        <v>4</v>
      </c>
      <c r="I569" t="s">
        <v>3134</v>
      </c>
      <c r="J569" t="s">
        <v>1691</v>
      </c>
      <c r="K569" s="39">
        <v>15.066879</v>
      </c>
      <c r="L569" s="1">
        <v>16.179511000000002</v>
      </c>
      <c r="M569" s="1" t="s">
        <v>4333</v>
      </c>
      <c r="N569" s="1">
        <v>996.00400000000002</v>
      </c>
      <c r="O569" s="1">
        <f>ABS(Table4[[#This Row],[EndMP]]-Table4[[#This Row],[StartMP]])</f>
        <v>3.996</v>
      </c>
      <c r="P569" s="1" t="str">
        <f>IF( AND( Table4[[#This Row],[Route]]=ClosureLocation!$B$3, ClosureLocation!$B$6 &gt;= Table4[[#This Row],[StartMP]], ClosureLocation!$B$6 &lt;= Table4[[#This Row],[EndMP]]), "Yes", "")</f>
        <v/>
      </c>
      <c r="Q569" s="1" t="str">
        <f>IF( AND( Table4[[#This Row],[Route]]=ClosureLocation!$B$3, ClosureLocation!$B$6 &lt;= Table4[[#This Row],[StartMP]], ClosureLocation!$B$6 &gt;= Table4[[#This Row],[EndMP]]), "Yes", "")</f>
        <v/>
      </c>
      <c r="R569" s="1" t="str">
        <f>IF( OR( Table4[[#This Row],[PrimaryMatch]]="Yes", Table4[[#This Row],[SecondaryMatch]]="Yes"), "Yes", "")</f>
        <v/>
      </c>
    </row>
    <row r="570" spans="1:18" hidden="1" x14ac:dyDescent="0.25">
      <c r="A570" t="s">
        <v>588</v>
      </c>
      <c r="B570" t="s">
        <v>3205</v>
      </c>
      <c r="C570" t="s">
        <v>3206</v>
      </c>
      <c r="D570" t="s">
        <v>3599</v>
      </c>
      <c r="E570" s="1">
        <v>0</v>
      </c>
      <c r="F570" s="1">
        <v>9.5050000000000008</v>
      </c>
      <c r="G570">
        <v>1</v>
      </c>
      <c r="H570">
        <v>1</v>
      </c>
      <c r="I570" t="s">
        <v>2400</v>
      </c>
      <c r="J570" t="s">
        <v>1695</v>
      </c>
      <c r="K570" s="39">
        <v>14.99525</v>
      </c>
      <c r="L570" s="1">
        <v>28.689990999999999</v>
      </c>
      <c r="M570" s="58" t="s">
        <v>3600</v>
      </c>
      <c r="N570" s="1">
        <v>0</v>
      </c>
      <c r="O570" s="1">
        <f>ABS(Table4[[#This Row],[EndMP]]-Table4[[#This Row],[StartMP]])</f>
        <v>9.5050000000000008</v>
      </c>
      <c r="P570" s="1" t="str">
        <f>IF( AND( Table4[[#This Row],[Route]]=ClosureLocation!$B$3, ClosureLocation!$B$6 &gt;= Table4[[#This Row],[StartMP]], ClosureLocation!$B$6 &lt;= Table4[[#This Row],[EndMP]]), "Yes", "")</f>
        <v/>
      </c>
      <c r="Q570" s="1" t="str">
        <f>IF( AND( Table4[[#This Row],[Route]]=ClosureLocation!$B$3, ClosureLocation!$B$6 &lt;= Table4[[#This Row],[StartMP]], ClosureLocation!$B$6 &gt;= Table4[[#This Row],[EndMP]]), "Yes", "")</f>
        <v/>
      </c>
      <c r="R570" s="1" t="str">
        <f>IF( OR( Table4[[#This Row],[PrimaryMatch]]="Yes", Table4[[#This Row],[SecondaryMatch]]="Yes"), "Yes", "")</f>
        <v/>
      </c>
    </row>
    <row r="571" spans="1:18" hidden="1" x14ac:dyDescent="0.25">
      <c r="A571" t="s">
        <v>588</v>
      </c>
      <c r="B571" t="s">
        <v>3209</v>
      </c>
      <c r="C571" t="s">
        <v>3210</v>
      </c>
      <c r="D571" t="s">
        <v>3601</v>
      </c>
      <c r="E571" s="1">
        <v>9.5050000000000008</v>
      </c>
      <c r="F571" s="1">
        <v>0</v>
      </c>
      <c r="G571">
        <v>1</v>
      </c>
      <c r="H571">
        <v>2</v>
      </c>
      <c r="I571" t="s">
        <v>2401</v>
      </c>
      <c r="J571" t="s">
        <v>1695</v>
      </c>
      <c r="K571" s="39">
        <v>14.995248</v>
      </c>
      <c r="L571" s="1">
        <v>28.689990999999999</v>
      </c>
      <c r="M571" s="58" t="s">
        <v>3602</v>
      </c>
      <c r="N571" s="1">
        <v>990.495</v>
      </c>
      <c r="O571" s="1">
        <f>ABS(Table4[[#This Row],[EndMP]]-Table4[[#This Row],[StartMP]])</f>
        <v>9.5050000000000008</v>
      </c>
      <c r="P571" s="1" t="str">
        <f>IF( AND( Table4[[#This Row],[Route]]=ClosureLocation!$B$3, ClosureLocation!$B$6 &gt;= Table4[[#This Row],[StartMP]], ClosureLocation!$B$6 &lt;= Table4[[#This Row],[EndMP]]), "Yes", "")</f>
        <v/>
      </c>
      <c r="Q571" s="1" t="str">
        <f>IF( AND( Table4[[#This Row],[Route]]=ClosureLocation!$B$3, ClosureLocation!$B$6 &lt;= Table4[[#This Row],[StartMP]], ClosureLocation!$B$6 &gt;= Table4[[#This Row],[EndMP]]), "Yes", "")</f>
        <v/>
      </c>
      <c r="R571" s="1" t="str">
        <f>IF( OR( Table4[[#This Row],[PrimaryMatch]]="Yes", Table4[[#This Row],[SecondaryMatch]]="Yes"), "Yes", "")</f>
        <v/>
      </c>
    </row>
    <row r="572" spans="1:18" hidden="1" x14ac:dyDescent="0.25">
      <c r="A572" t="s">
        <v>1591</v>
      </c>
      <c r="B572" t="s">
        <v>3205</v>
      </c>
      <c r="C572" t="s">
        <v>3222</v>
      </c>
      <c r="D572" t="s">
        <v>4328</v>
      </c>
      <c r="E572" s="1">
        <v>0</v>
      </c>
      <c r="F572" s="1">
        <v>3.996</v>
      </c>
      <c r="G572">
        <v>1</v>
      </c>
      <c r="H572">
        <v>1</v>
      </c>
      <c r="I572" t="s">
        <v>3131</v>
      </c>
      <c r="J572" t="s">
        <v>1691</v>
      </c>
      <c r="K572" s="39">
        <v>14.966811999999999</v>
      </c>
      <c r="L572" s="1">
        <v>16.125232</v>
      </c>
      <c r="M572" s="1" t="s">
        <v>4329</v>
      </c>
      <c r="N572" s="1">
        <v>0</v>
      </c>
      <c r="O572" s="1">
        <f>ABS(Table4[[#This Row],[EndMP]]-Table4[[#This Row],[StartMP]])</f>
        <v>3.996</v>
      </c>
      <c r="P572" s="1" t="str">
        <f>IF( AND( Table4[[#This Row],[Route]]=ClosureLocation!$B$3, ClosureLocation!$B$6 &gt;= Table4[[#This Row],[StartMP]], ClosureLocation!$B$6 &lt;= Table4[[#This Row],[EndMP]]), "Yes", "")</f>
        <v/>
      </c>
      <c r="Q572" s="1" t="str">
        <f>IF( AND( Table4[[#This Row],[Route]]=ClosureLocation!$B$3, ClosureLocation!$B$6 &lt;= Table4[[#This Row],[StartMP]], ClosureLocation!$B$6 &gt;= Table4[[#This Row],[EndMP]]), "Yes", "")</f>
        <v/>
      </c>
      <c r="R572" s="1" t="str">
        <f>IF( OR( Table4[[#This Row],[PrimaryMatch]]="Yes", Table4[[#This Row],[SecondaryMatch]]="Yes"), "Yes", "")</f>
        <v/>
      </c>
    </row>
    <row r="573" spans="1:18" hidden="1" x14ac:dyDescent="0.25">
      <c r="A573" t="s">
        <v>1431</v>
      </c>
      <c r="B573" t="s">
        <v>3209</v>
      </c>
      <c r="C573" t="s">
        <v>3210</v>
      </c>
      <c r="D573" t="s">
        <v>4211</v>
      </c>
      <c r="E573" s="1">
        <v>11.529</v>
      </c>
      <c r="F573" s="1">
        <v>10.397</v>
      </c>
      <c r="G573">
        <v>1</v>
      </c>
      <c r="H573">
        <v>4</v>
      </c>
      <c r="I573" t="s">
        <v>3027</v>
      </c>
      <c r="J573" t="s">
        <v>1692</v>
      </c>
      <c r="K573" s="39">
        <v>14.842769000000001</v>
      </c>
      <c r="L573" s="1">
        <v>10.397346000000001</v>
      </c>
      <c r="M573" s="1" t="s">
        <v>4212</v>
      </c>
      <c r="N573" s="1">
        <v>988.471</v>
      </c>
      <c r="O573" s="1">
        <f>ABS(Table4[[#This Row],[EndMP]]-Table4[[#This Row],[StartMP]])</f>
        <v>1.1319999999999997</v>
      </c>
      <c r="P573" s="1" t="str">
        <f>IF( AND( Table4[[#This Row],[Route]]=ClosureLocation!$B$3, ClosureLocation!$B$6 &gt;= Table4[[#This Row],[StartMP]], ClosureLocation!$B$6 &lt;= Table4[[#This Row],[EndMP]]), "Yes", "")</f>
        <v/>
      </c>
      <c r="Q573" s="1" t="str">
        <f>IF( AND( Table4[[#This Row],[Route]]=ClosureLocation!$B$3, ClosureLocation!$B$6 &lt;= Table4[[#This Row],[StartMP]], ClosureLocation!$B$6 &gt;= Table4[[#This Row],[EndMP]]), "Yes", "")</f>
        <v/>
      </c>
      <c r="R573" s="1" t="str">
        <f>IF( OR( Table4[[#This Row],[PrimaryMatch]]="Yes", Table4[[#This Row],[SecondaryMatch]]="Yes"), "Yes", "")</f>
        <v/>
      </c>
    </row>
    <row r="574" spans="1:18" hidden="1" x14ac:dyDescent="0.25">
      <c r="A574" t="s">
        <v>917</v>
      </c>
      <c r="B574" t="s">
        <v>3209</v>
      </c>
      <c r="C574" t="s">
        <v>3226</v>
      </c>
      <c r="D574" t="s">
        <v>3840</v>
      </c>
      <c r="E574" s="1">
        <v>179.983</v>
      </c>
      <c r="F574" s="1">
        <v>165.126</v>
      </c>
      <c r="G574">
        <v>2</v>
      </c>
      <c r="H574">
        <v>24</v>
      </c>
      <c r="I574" t="s">
        <v>2727</v>
      </c>
      <c r="J574" t="s">
        <v>1694</v>
      </c>
      <c r="K574" s="39">
        <v>14.835535999999999</v>
      </c>
      <c r="L574" s="1">
        <v>1.5671649999999999</v>
      </c>
      <c r="M574" s="58" t="s">
        <v>3842</v>
      </c>
      <c r="N574" s="1">
        <v>820.01700000000005</v>
      </c>
      <c r="O574" s="1">
        <f>ABS(Table4[[#This Row],[EndMP]]-Table4[[#This Row],[StartMP]])</f>
        <v>14.856999999999999</v>
      </c>
      <c r="P574" s="1" t="str">
        <f>IF( AND( Table4[[#This Row],[Route]]=ClosureLocation!$B$3, ClosureLocation!$B$6 &gt;= Table4[[#This Row],[StartMP]], ClosureLocation!$B$6 &lt;= Table4[[#This Row],[EndMP]]), "Yes", "")</f>
        <v/>
      </c>
      <c r="Q574" s="1" t="str">
        <f>IF( AND( Table4[[#This Row],[Route]]=ClosureLocation!$B$3, ClosureLocation!$B$6 &lt;= Table4[[#This Row],[StartMP]], ClosureLocation!$B$6 &gt;= Table4[[#This Row],[EndMP]]), "Yes", "")</f>
        <v/>
      </c>
      <c r="R574" s="1" t="str">
        <f>IF( OR( Table4[[#This Row],[PrimaryMatch]]="Yes", Table4[[#This Row],[SecondaryMatch]]="Yes"), "Yes", "")</f>
        <v/>
      </c>
    </row>
    <row r="575" spans="1:18" hidden="1" x14ac:dyDescent="0.25">
      <c r="A575" t="s">
        <v>776</v>
      </c>
      <c r="B575" t="s">
        <v>3205</v>
      </c>
      <c r="C575" t="s">
        <v>3222</v>
      </c>
      <c r="D575" t="s">
        <v>3748</v>
      </c>
      <c r="E575" s="1">
        <v>61.966999999999999</v>
      </c>
      <c r="F575" s="1">
        <v>74.429000000000002</v>
      </c>
      <c r="G575">
        <v>8</v>
      </c>
      <c r="H575">
        <v>8</v>
      </c>
      <c r="I575" t="s">
        <v>2553</v>
      </c>
      <c r="J575" t="s">
        <v>1694</v>
      </c>
      <c r="K575" s="39">
        <v>14.820847000000001</v>
      </c>
      <c r="L575" s="1">
        <v>0.67413299999999998</v>
      </c>
      <c r="M575" s="1" t="s">
        <v>4458</v>
      </c>
      <c r="N575" s="1">
        <v>61.966999999999999</v>
      </c>
      <c r="O575" s="1">
        <f>ABS(Table4[[#This Row],[EndMP]]-Table4[[#This Row],[StartMP]])</f>
        <v>12.462000000000003</v>
      </c>
      <c r="P575" s="1" t="str">
        <f>IF( AND( Table4[[#This Row],[Route]]=ClosureLocation!$B$3, ClosureLocation!$B$6 &gt;= Table4[[#This Row],[StartMP]], ClosureLocation!$B$6 &lt;= Table4[[#This Row],[EndMP]]), "Yes", "")</f>
        <v/>
      </c>
      <c r="Q575" s="1" t="str">
        <f>IF( AND( Table4[[#This Row],[Route]]=ClosureLocation!$B$3, ClosureLocation!$B$6 &lt;= Table4[[#This Row],[StartMP]], ClosureLocation!$B$6 &gt;= Table4[[#This Row],[EndMP]]), "Yes", "")</f>
        <v/>
      </c>
      <c r="R575" s="1" t="str">
        <f>IF( OR( Table4[[#This Row],[PrimaryMatch]]="Yes", Table4[[#This Row],[SecondaryMatch]]="Yes"), "Yes", "")</f>
        <v/>
      </c>
    </row>
    <row r="576" spans="1:18" hidden="1" x14ac:dyDescent="0.25">
      <c r="A576" t="s">
        <v>304</v>
      </c>
      <c r="B576" t="s">
        <v>3205</v>
      </c>
      <c r="C576" t="s">
        <v>3222</v>
      </c>
      <c r="D576" t="s">
        <v>3419</v>
      </c>
      <c r="E576" s="1">
        <v>304.12200000000001</v>
      </c>
      <c r="F576" s="1">
        <v>308.23</v>
      </c>
      <c r="G576">
        <v>1</v>
      </c>
      <c r="H576">
        <v>1</v>
      </c>
      <c r="I576" t="s">
        <v>2203</v>
      </c>
      <c r="J576" t="s">
        <v>1690</v>
      </c>
      <c r="K576" s="39">
        <v>14.804539</v>
      </c>
      <c r="L576" s="1">
        <v>13.775869</v>
      </c>
      <c r="M576" s="1" t="s">
        <v>3420</v>
      </c>
      <c r="N576" s="1">
        <v>304.12200000000001</v>
      </c>
      <c r="O576" s="1">
        <f>ABS(Table4[[#This Row],[EndMP]]-Table4[[#This Row],[StartMP]])</f>
        <v>4.1080000000000041</v>
      </c>
      <c r="P576" s="1" t="str">
        <f>IF( AND( Table4[[#This Row],[Route]]=ClosureLocation!$B$3, ClosureLocation!$B$6 &gt;= Table4[[#This Row],[StartMP]], ClosureLocation!$B$6 &lt;= Table4[[#This Row],[EndMP]]), "Yes", "")</f>
        <v/>
      </c>
      <c r="Q576" s="1" t="str">
        <f>IF( AND( Table4[[#This Row],[Route]]=ClosureLocation!$B$3, ClosureLocation!$B$6 &lt;= Table4[[#This Row],[StartMP]], ClosureLocation!$B$6 &gt;= Table4[[#This Row],[EndMP]]), "Yes", "")</f>
        <v/>
      </c>
      <c r="R576" s="1" t="str">
        <f>IF( OR( Table4[[#This Row],[PrimaryMatch]]="Yes", Table4[[#This Row],[SecondaryMatch]]="Yes"), "Yes", "")</f>
        <v/>
      </c>
    </row>
    <row r="577" spans="1:18" hidden="1" x14ac:dyDescent="0.25">
      <c r="A577" t="s">
        <v>310</v>
      </c>
      <c r="B577" t="s">
        <v>3205</v>
      </c>
      <c r="C577" t="s">
        <v>3206</v>
      </c>
      <c r="D577" t="s">
        <v>3427</v>
      </c>
      <c r="E577" s="1">
        <v>228.13200000000001</v>
      </c>
      <c r="F577" s="1">
        <v>228.82900000000001</v>
      </c>
      <c r="G577">
        <v>22</v>
      </c>
      <c r="H577">
        <v>3</v>
      </c>
      <c r="I577" t="s">
        <v>2228</v>
      </c>
      <c r="J577" t="s">
        <v>1701</v>
      </c>
      <c r="K577" s="39">
        <v>14.728172000000001</v>
      </c>
      <c r="L577" s="1">
        <v>11.136340000000001</v>
      </c>
      <c r="M577" s="1" t="s">
        <v>3438</v>
      </c>
      <c r="N577" s="1">
        <v>228.13200000000001</v>
      </c>
      <c r="O577" s="1">
        <f>ABS(Table4[[#This Row],[EndMP]]-Table4[[#This Row],[StartMP]])</f>
        <v>0.69700000000000273</v>
      </c>
      <c r="P577" s="1" t="str">
        <f>IF( AND( Table4[[#This Row],[Route]]=ClosureLocation!$B$3, ClosureLocation!$B$6 &gt;= Table4[[#This Row],[StartMP]], ClosureLocation!$B$6 &lt;= Table4[[#This Row],[EndMP]]), "Yes", "")</f>
        <v/>
      </c>
      <c r="Q577" s="1" t="str">
        <f>IF( AND( Table4[[#This Row],[Route]]=ClosureLocation!$B$3, ClosureLocation!$B$6 &lt;= Table4[[#This Row],[StartMP]], ClosureLocation!$B$6 &gt;= Table4[[#This Row],[EndMP]]), "Yes", "")</f>
        <v/>
      </c>
      <c r="R577" s="1" t="str">
        <f>IF( OR( Table4[[#This Row],[PrimaryMatch]]="Yes", Table4[[#This Row],[SecondaryMatch]]="Yes"), "Yes", "")</f>
        <v/>
      </c>
    </row>
    <row r="578" spans="1:18" hidden="1" x14ac:dyDescent="0.25">
      <c r="A578" t="s">
        <v>248</v>
      </c>
      <c r="B578" t="s">
        <v>3209</v>
      </c>
      <c r="C578" t="s">
        <v>3210</v>
      </c>
      <c r="D578" t="s">
        <v>3391</v>
      </c>
      <c r="E578" s="1">
        <v>17.507000000000001</v>
      </c>
      <c r="F578" s="1">
        <v>0</v>
      </c>
      <c r="G578">
        <v>1</v>
      </c>
      <c r="H578">
        <v>2</v>
      </c>
      <c r="I578" t="s">
        <v>2176</v>
      </c>
      <c r="J578" t="s">
        <v>1695</v>
      </c>
      <c r="K578" s="39">
        <v>14.717017</v>
      </c>
      <c r="L578" s="1">
        <v>41.958663999999999</v>
      </c>
      <c r="M578" s="58" t="s">
        <v>3392</v>
      </c>
      <c r="N578" s="1">
        <v>982.49300000000005</v>
      </c>
      <c r="O578" s="1">
        <f>ABS(Table4[[#This Row],[EndMP]]-Table4[[#This Row],[StartMP]])</f>
        <v>17.507000000000001</v>
      </c>
      <c r="P578" s="1" t="str">
        <f>IF( AND( Table4[[#This Row],[Route]]=ClosureLocation!$B$3, ClosureLocation!$B$6 &gt;= Table4[[#This Row],[StartMP]], ClosureLocation!$B$6 &lt;= Table4[[#This Row],[EndMP]]), "Yes", "")</f>
        <v/>
      </c>
      <c r="Q578" s="1" t="str">
        <f>IF( AND( Table4[[#This Row],[Route]]=ClosureLocation!$B$3, ClosureLocation!$B$6 &lt;= Table4[[#This Row],[StartMP]], ClosureLocation!$B$6 &gt;= Table4[[#This Row],[EndMP]]), "Yes", "")</f>
        <v/>
      </c>
      <c r="R578" s="1" t="str">
        <f>IF( OR( Table4[[#This Row],[PrimaryMatch]]="Yes", Table4[[#This Row],[SecondaryMatch]]="Yes"), "Yes", "")</f>
        <v/>
      </c>
    </row>
    <row r="579" spans="1:18" hidden="1" x14ac:dyDescent="0.25">
      <c r="A579" t="s">
        <v>1516</v>
      </c>
      <c r="B579" t="s">
        <v>3205</v>
      </c>
      <c r="C579" t="s">
        <v>3206</v>
      </c>
      <c r="D579" t="s">
        <v>4285</v>
      </c>
      <c r="E579" s="1">
        <v>305.36099999999999</v>
      </c>
      <c r="F579" s="1">
        <v>310.39</v>
      </c>
      <c r="G579">
        <v>7</v>
      </c>
      <c r="H579">
        <v>1</v>
      </c>
      <c r="I579" t="s">
        <v>3103</v>
      </c>
      <c r="J579" t="s">
        <v>1700</v>
      </c>
      <c r="K579" s="39">
        <v>14.595511999999999</v>
      </c>
      <c r="L579" s="1">
        <v>15.250672</v>
      </c>
      <c r="M579" s="1" t="s">
        <v>4292</v>
      </c>
      <c r="N579" s="1">
        <v>305.36099999999999</v>
      </c>
      <c r="O579" s="1">
        <f>ABS(Table4[[#This Row],[EndMP]]-Table4[[#This Row],[StartMP]])</f>
        <v>5.0289999999999964</v>
      </c>
      <c r="P579" s="1" t="str">
        <f>IF( AND( Table4[[#This Row],[Route]]=ClosureLocation!$B$3, ClosureLocation!$B$6 &gt;= Table4[[#This Row],[StartMP]], ClosureLocation!$B$6 &lt;= Table4[[#This Row],[EndMP]]), "Yes", "")</f>
        <v/>
      </c>
      <c r="Q579" s="1" t="str">
        <f>IF( AND( Table4[[#This Row],[Route]]=ClosureLocation!$B$3, ClosureLocation!$B$6 &lt;= Table4[[#This Row],[StartMP]], ClosureLocation!$B$6 &gt;= Table4[[#This Row],[EndMP]]), "Yes", "")</f>
        <v/>
      </c>
      <c r="R579" s="1" t="str">
        <f>IF( OR( Table4[[#This Row],[PrimaryMatch]]="Yes", Table4[[#This Row],[SecondaryMatch]]="Yes"), "Yes", "")</f>
        <v/>
      </c>
    </row>
    <row r="580" spans="1:18" hidden="1" x14ac:dyDescent="0.25">
      <c r="A580" t="s">
        <v>776</v>
      </c>
      <c r="B580" t="s">
        <v>3209</v>
      </c>
      <c r="C580" t="s">
        <v>3226</v>
      </c>
      <c r="D580" t="s">
        <v>3749</v>
      </c>
      <c r="E580" s="1">
        <v>74.429000000000002</v>
      </c>
      <c r="F580" s="1">
        <v>62</v>
      </c>
      <c r="G580">
        <v>48</v>
      </c>
      <c r="H580">
        <v>101</v>
      </c>
      <c r="I580" t="s">
        <v>2647</v>
      </c>
      <c r="J580" t="s">
        <v>1694</v>
      </c>
      <c r="K580" s="39">
        <v>14.508338</v>
      </c>
      <c r="L580" s="1">
        <v>0.483989</v>
      </c>
      <c r="M580" s="1" t="s">
        <v>4538</v>
      </c>
      <c r="N580" s="1">
        <v>925.57100000000003</v>
      </c>
      <c r="O580" s="1">
        <f>ABS(Table4[[#This Row],[EndMP]]-Table4[[#This Row],[StartMP]])</f>
        <v>12.429000000000002</v>
      </c>
      <c r="P580" s="1" t="str">
        <f>IF( AND( Table4[[#This Row],[Route]]=ClosureLocation!$B$3, ClosureLocation!$B$6 &gt;= Table4[[#This Row],[StartMP]], ClosureLocation!$B$6 &lt;= Table4[[#This Row],[EndMP]]), "Yes", "")</f>
        <v/>
      </c>
      <c r="Q580" s="1" t="str">
        <f>IF( AND( Table4[[#This Row],[Route]]=ClosureLocation!$B$3, ClosureLocation!$B$6 &lt;= Table4[[#This Row],[StartMP]], ClosureLocation!$B$6 &gt;= Table4[[#This Row],[EndMP]]), "Yes", "")</f>
        <v/>
      </c>
      <c r="R580" s="1" t="str">
        <f>IF( OR( Table4[[#This Row],[PrimaryMatch]]="Yes", Table4[[#This Row],[SecondaryMatch]]="Yes"), "Yes", "")</f>
        <v/>
      </c>
    </row>
    <row r="581" spans="1:18" hidden="1" x14ac:dyDescent="0.25">
      <c r="A581" t="s">
        <v>1416</v>
      </c>
      <c r="B581" t="s">
        <v>3209</v>
      </c>
      <c r="C581" t="s">
        <v>3210</v>
      </c>
      <c r="D581" t="s">
        <v>4194</v>
      </c>
      <c r="E581" s="1">
        <v>5.9349999999999996</v>
      </c>
      <c r="F581" s="1">
        <v>0</v>
      </c>
      <c r="G581">
        <v>1</v>
      </c>
      <c r="H581">
        <v>2</v>
      </c>
      <c r="I581" t="s">
        <v>3015</v>
      </c>
      <c r="J581" t="s">
        <v>1692</v>
      </c>
      <c r="K581" s="39">
        <v>14.507071</v>
      </c>
      <c r="L581" s="1">
        <v>14.056501000000001</v>
      </c>
      <c r="M581" s="1" t="s">
        <v>4195</v>
      </c>
      <c r="N581" s="1">
        <v>994.06500000000005</v>
      </c>
      <c r="O581" s="1">
        <f>ABS(Table4[[#This Row],[EndMP]]-Table4[[#This Row],[StartMP]])</f>
        <v>5.9349999999999996</v>
      </c>
      <c r="P581" s="1" t="str">
        <f>IF( AND( Table4[[#This Row],[Route]]=ClosureLocation!$B$3, ClosureLocation!$B$6 &gt;= Table4[[#This Row],[StartMP]], ClosureLocation!$B$6 &lt;= Table4[[#This Row],[EndMP]]), "Yes", "")</f>
        <v/>
      </c>
      <c r="Q581" s="1" t="str">
        <f>IF( AND( Table4[[#This Row],[Route]]=ClosureLocation!$B$3, ClosureLocation!$B$6 &lt;= Table4[[#This Row],[StartMP]], ClosureLocation!$B$6 &gt;= Table4[[#This Row],[EndMP]]), "Yes", "")</f>
        <v/>
      </c>
      <c r="R581" s="1" t="str">
        <f>IF( OR( Table4[[#This Row],[PrimaryMatch]]="Yes", Table4[[#This Row],[SecondaryMatch]]="Yes"), "Yes", "")</f>
        <v/>
      </c>
    </row>
    <row r="582" spans="1:18" hidden="1" x14ac:dyDescent="0.25">
      <c r="A582" t="s">
        <v>1416</v>
      </c>
      <c r="B582" t="s">
        <v>3205</v>
      </c>
      <c r="C582" t="s">
        <v>3206</v>
      </c>
      <c r="D582" t="s">
        <v>4192</v>
      </c>
      <c r="E582" s="1">
        <v>0</v>
      </c>
      <c r="F582" s="1">
        <v>5.9349999999999996</v>
      </c>
      <c r="G582">
        <v>1</v>
      </c>
      <c r="H582">
        <v>1</v>
      </c>
      <c r="I582" t="s">
        <v>3014</v>
      </c>
      <c r="J582" t="s">
        <v>1692</v>
      </c>
      <c r="K582" s="39">
        <v>14.506893</v>
      </c>
      <c r="L582" s="1">
        <v>14.056501000000001</v>
      </c>
      <c r="M582" s="1" t="s">
        <v>4193</v>
      </c>
      <c r="N582" s="1">
        <v>0</v>
      </c>
      <c r="O582" s="1">
        <f>ABS(Table4[[#This Row],[EndMP]]-Table4[[#This Row],[StartMP]])</f>
        <v>5.9349999999999996</v>
      </c>
      <c r="P582" s="1" t="str">
        <f>IF( AND( Table4[[#This Row],[Route]]=ClosureLocation!$B$3, ClosureLocation!$B$6 &gt;= Table4[[#This Row],[StartMP]], ClosureLocation!$B$6 &lt;= Table4[[#This Row],[EndMP]]), "Yes", "")</f>
        <v/>
      </c>
      <c r="Q582" s="1" t="str">
        <f>IF( AND( Table4[[#This Row],[Route]]=ClosureLocation!$B$3, ClosureLocation!$B$6 &lt;= Table4[[#This Row],[StartMP]], ClosureLocation!$B$6 &gt;= Table4[[#This Row],[EndMP]]), "Yes", "")</f>
        <v/>
      </c>
      <c r="R582" s="1" t="str">
        <f>IF( OR( Table4[[#This Row],[PrimaryMatch]]="Yes", Table4[[#This Row],[SecondaryMatch]]="Yes"), "Yes", "")</f>
        <v/>
      </c>
    </row>
    <row r="583" spans="1:18" hidden="1" x14ac:dyDescent="0.25">
      <c r="A583" t="s">
        <v>990</v>
      </c>
      <c r="B583" t="s">
        <v>3209</v>
      </c>
      <c r="C583" t="s">
        <v>3210</v>
      </c>
      <c r="D583" t="s">
        <v>3889</v>
      </c>
      <c r="E583" s="1">
        <v>249.22200000000001</v>
      </c>
      <c r="F583" s="1">
        <v>243</v>
      </c>
      <c r="G583">
        <v>4</v>
      </c>
      <c r="H583">
        <v>9</v>
      </c>
      <c r="I583" t="s">
        <v>2787</v>
      </c>
      <c r="J583" t="s">
        <v>1693</v>
      </c>
      <c r="K583" s="39">
        <v>14.491215</v>
      </c>
      <c r="L583" s="1">
        <v>13.198763</v>
      </c>
      <c r="M583" s="1" t="s">
        <v>3893</v>
      </c>
      <c r="N583" s="1">
        <v>750.77800000000002</v>
      </c>
      <c r="O583" s="1">
        <f>ABS(Table4[[#This Row],[EndMP]]-Table4[[#This Row],[StartMP]])</f>
        <v>6.2220000000000084</v>
      </c>
      <c r="P583" s="1" t="str">
        <f>IF( AND( Table4[[#This Row],[Route]]=ClosureLocation!$B$3, ClosureLocation!$B$6 &gt;= Table4[[#This Row],[StartMP]], ClosureLocation!$B$6 &lt;= Table4[[#This Row],[EndMP]]), "Yes", "")</f>
        <v/>
      </c>
      <c r="Q583" s="1" t="str">
        <f>IF( AND( Table4[[#This Row],[Route]]=ClosureLocation!$B$3, ClosureLocation!$B$6 &lt;= Table4[[#This Row],[StartMP]], ClosureLocation!$B$6 &gt;= Table4[[#This Row],[EndMP]]), "Yes", "")</f>
        <v/>
      </c>
      <c r="R583" s="1" t="str">
        <f>IF( OR( Table4[[#This Row],[PrimaryMatch]]="Yes", Table4[[#This Row],[SecondaryMatch]]="Yes"), "Yes", "")</f>
        <v/>
      </c>
    </row>
    <row r="584" spans="1:18" hidden="1" x14ac:dyDescent="0.25">
      <c r="A584" t="s">
        <v>206</v>
      </c>
      <c r="B584" t="s">
        <v>3209</v>
      </c>
      <c r="C584" t="s">
        <v>3226</v>
      </c>
      <c r="D584" t="s">
        <v>3351</v>
      </c>
      <c r="E584" s="1">
        <v>153.37</v>
      </c>
      <c r="F584" s="1">
        <v>139.21199999999999</v>
      </c>
      <c r="G584">
        <v>6</v>
      </c>
      <c r="H584">
        <v>7</v>
      </c>
      <c r="I584" t="s">
        <v>2157</v>
      </c>
      <c r="J584" t="s">
        <v>1702</v>
      </c>
      <c r="K584" s="39">
        <v>14.453851999999999</v>
      </c>
      <c r="L584" s="1">
        <v>11.859064999999999</v>
      </c>
      <c r="M584" s="1" t="s">
        <v>3357</v>
      </c>
      <c r="N584" s="1">
        <v>846.63</v>
      </c>
      <c r="O584" s="1">
        <f>ABS(Table4[[#This Row],[EndMP]]-Table4[[#This Row],[StartMP]])</f>
        <v>14.158000000000015</v>
      </c>
      <c r="P584" s="1" t="str">
        <f>IF( AND( Table4[[#This Row],[Route]]=ClosureLocation!$B$3, ClosureLocation!$B$6 &gt;= Table4[[#This Row],[StartMP]], ClosureLocation!$B$6 &lt;= Table4[[#This Row],[EndMP]]), "Yes", "")</f>
        <v/>
      </c>
      <c r="Q584" s="1" t="str">
        <f>IF( AND( Table4[[#This Row],[Route]]=ClosureLocation!$B$3, ClosureLocation!$B$6 &lt;= Table4[[#This Row],[StartMP]], ClosureLocation!$B$6 &gt;= Table4[[#This Row],[EndMP]]), "Yes", "")</f>
        <v/>
      </c>
      <c r="R584" s="1" t="str">
        <f>IF( OR( Table4[[#This Row],[PrimaryMatch]]="Yes", Table4[[#This Row],[SecondaryMatch]]="Yes"), "Yes", "")</f>
        <v/>
      </c>
    </row>
    <row r="585" spans="1:18" hidden="1" x14ac:dyDescent="0.25">
      <c r="A585" t="s">
        <v>206</v>
      </c>
      <c r="B585" t="s">
        <v>3205</v>
      </c>
      <c r="C585" t="s">
        <v>3222</v>
      </c>
      <c r="D585" t="s">
        <v>3343</v>
      </c>
      <c r="E585" s="1">
        <v>139.21199999999999</v>
      </c>
      <c r="F585" s="1">
        <v>153.37</v>
      </c>
      <c r="G585">
        <v>2</v>
      </c>
      <c r="H585">
        <v>2</v>
      </c>
      <c r="I585" t="s">
        <v>2146</v>
      </c>
      <c r="J585" t="s">
        <v>1702</v>
      </c>
      <c r="K585" s="39">
        <v>14.435828000000001</v>
      </c>
      <c r="L585" s="1">
        <v>11.638400000000001</v>
      </c>
      <c r="M585" s="1" t="s">
        <v>3345</v>
      </c>
      <c r="N585" s="1">
        <v>139.21199999999999</v>
      </c>
      <c r="O585" s="1">
        <f>ABS(Table4[[#This Row],[EndMP]]-Table4[[#This Row],[StartMP]])</f>
        <v>14.158000000000015</v>
      </c>
      <c r="P585" s="1" t="str">
        <f>IF( AND( Table4[[#This Row],[Route]]=ClosureLocation!$B$3, ClosureLocation!$B$6 &gt;= Table4[[#This Row],[StartMP]], ClosureLocation!$B$6 &lt;= Table4[[#This Row],[EndMP]]), "Yes", "")</f>
        <v/>
      </c>
      <c r="Q585" s="1" t="str">
        <f>IF( AND( Table4[[#This Row],[Route]]=ClosureLocation!$B$3, ClosureLocation!$B$6 &lt;= Table4[[#This Row],[StartMP]], ClosureLocation!$B$6 &gt;= Table4[[#This Row],[EndMP]]), "Yes", "")</f>
        <v/>
      </c>
      <c r="R585" s="1" t="str">
        <f>IF( OR( Table4[[#This Row],[PrimaryMatch]]="Yes", Table4[[#This Row],[SecondaryMatch]]="Yes"), "Yes", "")</f>
        <v/>
      </c>
    </row>
    <row r="586" spans="1:18" hidden="1" x14ac:dyDescent="0.25">
      <c r="A586" t="s">
        <v>1172</v>
      </c>
      <c r="B586" t="s">
        <v>3205</v>
      </c>
      <c r="C586" t="s">
        <v>3222</v>
      </c>
      <c r="D586" t="s">
        <v>4034</v>
      </c>
      <c r="E586" s="1">
        <v>59.088999999999999</v>
      </c>
      <c r="F586" s="1">
        <v>63.64</v>
      </c>
      <c r="G586">
        <v>1</v>
      </c>
      <c r="H586">
        <v>1</v>
      </c>
      <c r="I586" t="s">
        <v>2892</v>
      </c>
      <c r="J586" t="s">
        <v>1693</v>
      </c>
      <c r="K586" s="39">
        <v>14.393366</v>
      </c>
      <c r="L586" s="1">
        <v>10.369267000000001</v>
      </c>
      <c r="M586" s="1" t="s">
        <v>4035</v>
      </c>
      <c r="N586" s="1">
        <v>59.088999999999999</v>
      </c>
      <c r="O586" s="1">
        <f>ABS(Table4[[#This Row],[EndMP]]-Table4[[#This Row],[StartMP]])</f>
        <v>4.5510000000000019</v>
      </c>
      <c r="P586" s="1" t="str">
        <f>IF( AND( Table4[[#This Row],[Route]]=ClosureLocation!$B$3, ClosureLocation!$B$6 &gt;= Table4[[#This Row],[StartMP]], ClosureLocation!$B$6 &lt;= Table4[[#This Row],[EndMP]]), "Yes", "")</f>
        <v/>
      </c>
      <c r="Q586" s="1" t="str">
        <f>IF( AND( Table4[[#This Row],[Route]]=ClosureLocation!$B$3, ClosureLocation!$B$6 &lt;= Table4[[#This Row],[StartMP]], ClosureLocation!$B$6 &gt;= Table4[[#This Row],[EndMP]]), "Yes", "")</f>
        <v/>
      </c>
      <c r="R586" s="1" t="str">
        <f>IF( OR( Table4[[#This Row],[PrimaryMatch]]="Yes", Table4[[#This Row],[SecondaryMatch]]="Yes"), "Yes", "")</f>
        <v/>
      </c>
    </row>
    <row r="587" spans="1:18" hidden="1" x14ac:dyDescent="0.25">
      <c r="A587" t="s">
        <v>745</v>
      </c>
      <c r="B587" t="s">
        <v>3205</v>
      </c>
      <c r="C587" t="s">
        <v>3222</v>
      </c>
      <c r="D587" t="s">
        <v>3726</v>
      </c>
      <c r="E587" s="1">
        <v>42.808999999999997</v>
      </c>
      <c r="F587" s="1">
        <v>51.235999999999997</v>
      </c>
      <c r="G587">
        <v>3</v>
      </c>
      <c r="H587">
        <v>3</v>
      </c>
      <c r="I587" t="s">
        <v>2534</v>
      </c>
      <c r="J587" t="s">
        <v>1693</v>
      </c>
      <c r="K587" s="39">
        <v>14.391473</v>
      </c>
      <c r="L587" s="1">
        <v>17.363813</v>
      </c>
      <c r="M587" s="1" t="s">
        <v>3729</v>
      </c>
      <c r="N587" s="1">
        <v>42.808999999999997</v>
      </c>
      <c r="O587" s="1">
        <f>ABS(Table4[[#This Row],[EndMP]]-Table4[[#This Row],[StartMP]])</f>
        <v>8.4269999999999996</v>
      </c>
      <c r="P587" s="1" t="str">
        <f>IF( AND( Table4[[#This Row],[Route]]=ClosureLocation!$B$3, ClosureLocation!$B$6 &gt;= Table4[[#This Row],[StartMP]], ClosureLocation!$B$6 &lt;= Table4[[#This Row],[EndMP]]), "Yes", "")</f>
        <v/>
      </c>
      <c r="Q587" s="1" t="str">
        <f>IF( AND( Table4[[#This Row],[Route]]=ClosureLocation!$B$3, ClosureLocation!$B$6 &lt;= Table4[[#This Row],[StartMP]], ClosureLocation!$B$6 &gt;= Table4[[#This Row],[EndMP]]), "Yes", "")</f>
        <v/>
      </c>
      <c r="R587" s="1" t="str">
        <f>IF( OR( Table4[[#This Row],[PrimaryMatch]]="Yes", Table4[[#This Row],[SecondaryMatch]]="Yes"), "Yes", "")</f>
        <v/>
      </c>
    </row>
    <row r="588" spans="1:18" hidden="1" x14ac:dyDescent="0.25">
      <c r="A588" t="s">
        <v>1516</v>
      </c>
      <c r="B588" t="s">
        <v>3209</v>
      </c>
      <c r="C588" t="s">
        <v>3210</v>
      </c>
      <c r="D588" t="s">
        <v>4296</v>
      </c>
      <c r="E588" s="1">
        <v>310.39</v>
      </c>
      <c r="F588" s="1">
        <v>305.36099999999999</v>
      </c>
      <c r="G588">
        <v>5</v>
      </c>
      <c r="H588">
        <v>6</v>
      </c>
      <c r="I588" t="s">
        <v>3113</v>
      </c>
      <c r="J588" t="s">
        <v>1700</v>
      </c>
      <c r="K588" s="39">
        <v>14.374712000000001</v>
      </c>
      <c r="L588" s="1">
        <v>15.042059</v>
      </c>
      <c r="M588" s="1" t="s">
        <v>4300</v>
      </c>
      <c r="N588" s="1">
        <v>689.61</v>
      </c>
      <c r="O588" s="1">
        <f>ABS(Table4[[#This Row],[EndMP]]-Table4[[#This Row],[StartMP]])</f>
        <v>5.0289999999999964</v>
      </c>
      <c r="P588" s="1" t="str">
        <f>IF( AND( Table4[[#This Row],[Route]]=ClosureLocation!$B$3, ClosureLocation!$B$6 &gt;= Table4[[#This Row],[StartMP]], ClosureLocation!$B$6 &lt;= Table4[[#This Row],[EndMP]]), "Yes", "")</f>
        <v/>
      </c>
      <c r="Q588" s="1" t="str">
        <f>IF( AND( Table4[[#This Row],[Route]]=ClosureLocation!$B$3, ClosureLocation!$B$6 &lt;= Table4[[#This Row],[StartMP]], ClosureLocation!$B$6 &gt;= Table4[[#This Row],[EndMP]]), "Yes", "")</f>
        <v/>
      </c>
      <c r="R588" s="1" t="str">
        <f>IF( OR( Table4[[#This Row],[PrimaryMatch]]="Yes", Table4[[#This Row],[SecondaryMatch]]="Yes"), "Yes", "")</f>
        <v/>
      </c>
    </row>
    <row r="589" spans="1:18" hidden="1" x14ac:dyDescent="0.25">
      <c r="A589" t="s">
        <v>1172</v>
      </c>
      <c r="B589" t="s">
        <v>3209</v>
      </c>
      <c r="C589" t="s">
        <v>3226</v>
      </c>
      <c r="D589" t="s">
        <v>4036</v>
      </c>
      <c r="E589" s="1">
        <v>63.64</v>
      </c>
      <c r="F589" s="1">
        <v>59.088999999999999</v>
      </c>
      <c r="G589">
        <v>1</v>
      </c>
      <c r="H589">
        <v>2</v>
      </c>
      <c r="I589" t="s">
        <v>2893</v>
      </c>
      <c r="J589" t="s">
        <v>1693</v>
      </c>
      <c r="K589" s="39">
        <v>14.334771999999999</v>
      </c>
      <c r="L589" s="1">
        <v>10.40485</v>
      </c>
      <c r="M589" s="1" t="s">
        <v>4037</v>
      </c>
      <c r="N589" s="1">
        <v>936.36</v>
      </c>
      <c r="O589" s="1">
        <f>ABS(Table4[[#This Row],[EndMP]]-Table4[[#This Row],[StartMP]])</f>
        <v>4.5510000000000019</v>
      </c>
      <c r="P589" s="1" t="str">
        <f>IF( AND( Table4[[#This Row],[Route]]=ClosureLocation!$B$3, ClosureLocation!$B$6 &gt;= Table4[[#This Row],[StartMP]], ClosureLocation!$B$6 &lt;= Table4[[#This Row],[EndMP]]), "Yes", "")</f>
        <v/>
      </c>
      <c r="Q589" s="1" t="str">
        <f>IF( AND( Table4[[#This Row],[Route]]=ClosureLocation!$B$3, ClosureLocation!$B$6 &lt;= Table4[[#This Row],[StartMP]], ClosureLocation!$B$6 &gt;= Table4[[#This Row],[EndMP]]), "Yes", "")</f>
        <v/>
      </c>
      <c r="R589" s="1" t="str">
        <f>IF( OR( Table4[[#This Row],[PrimaryMatch]]="Yes", Table4[[#This Row],[SecondaryMatch]]="Yes"), "Yes", "")</f>
        <v/>
      </c>
    </row>
    <row r="590" spans="1:18" hidden="1" x14ac:dyDescent="0.25">
      <c r="A590" t="s">
        <v>888</v>
      </c>
      <c r="B590" t="s">
        <v>3209</v>
      </c>
      <c r="C590" t="s">
        <v>3210</v>
      </c>
      <c r="D590" t="s">
        <v>3807</v>
      </c>
      <c r="E590" s="1">
        <v>26.641999999999999</v>
      </c>
      <c r="F590" s="1">
        <v>16.157</v>
      </c>
      <c r="G590">
        <v>3</v>
      </c>
      <c r="H590">
        <v>6</v>
      </c>
      <c r="I590" t="s">
        <v>2687</v>
      </c>
      <c r="J590" t="s">
        <v>1699</v>
      </c>
      <c r="K590" s="39">
        <v>14.217261000000001</v>
      </c>
      <c r="L590" s="1">
        <v>8.9778070000000003</v>
      </c>
      <c r="M590" s="1" t="s">
        <v>3810</v>
      </c>
      <c r="N590" s="1">
        <v>973.35799999999995</v>
      </c>
      <c r="O590" s="1">
        <f>ABS(Table4[[#This Row],[EndMP]]-Table4[[#This Row],[StartMP]])</f>
        <v>10.484999999999999</v>
      </c>
      <c r="P590" s="1" t="str">
        <f>IF( AND( Table4[[#This Row],[Route]]=ClosureLocation!$B$3, ClosureLocation!$B$6 &gt;= Table4[[#This Row],[StartMP]], ClosureLocation!$B$6 &lt;= Table4[[#This Row],[EndMP]]), "Yes", "")</f>
        <v/>
      </c>
      <c r="Q590" s="1" t="str">
        <f>IF( AND( Table4[[#This Row],[Route]]=ClosureLocation!$B$3, ClosureLocation!$B$6 &lt;= Table4[[#This Row],[StartMP]], ClosureLocation!$B$6 &gt;= Table4[[#This Row],[EndMP]]), "Yes", "")</f>
        <v/>
      </c>
      <c r="R590" s="1" t="str">
        <f>IF( OR( Table4[[#This Row],[PrimaryMatch]]="Yes", Table4[[#This Row],[SecondaryMatch]]="Yes"), "Yes", "")</f>
        <v/>
      </c>
    </row>
    <row r="591" spans="1:18" hidden="1" x14ac:dyDescent="0.25">
      <c r="A591" t="s">
        <v>888</v>
      </c>
      <c r="B591" t="s">
        <v>3205</v>
      </c>
      <c r="C591" t="s">
        <v>3206</v>
      </c>
      <c r="D591" t="s">
        <v>3803</v>
      </c>
      <c r="E591" s="1">
        <v>16.157</v>
      </c>
      <c r="F591" s="1">
        <v>26.641999999999999</v>
      </c>
      <c r="G591">
        <v>1</v>
      </c>
      <c r="H591">
        <v>1</v>
      </c>
      <c r="I591" t="s">
        <v>2682</v>
      </c>
      <c r="J591" t="s">
        <v>1699</v>
      </c>
      <c r="K591" s="39">
        <v>14.21726</v>
      </c>
      <c r="L591" s="1">
        <v>8.9778070000000003</v>
      </c>
      <c r="M591" s="1" t="s">
        <v>3804</v>
      </c>
      <c r="N591" s="1">
        <v>16.157</v>
      </c>
      <c r="O591" s="1">
        <f>ABS(Table4[[#This Row],[EndMP]]-Table4[[#This Row],[StartMP]])</f>
        <v>10.484999999999999</v>
      </c>
      <c r="P591" s="1" t="str">
        <f>IF( AND( Table4[[#This Row],[Route]]=ClosureLocation!$B$3, ClosureLocation!$B$6 &gt;= Table4[[#This Row],[StartMP]], ClosureLocation!$B$6 &lt;= Table4[[#This Row],[EndMP]]), "Yes", "")</f>
        <v/>
      </c>
      <c r="Q591" s="1" t="str">
        <f>IF( AND( Table4[[#This Row],[Route]]=ClosureLocation!$B$3, ClosureLocation!$B$6 &lt;= Table4[[#This Row],[StartMP]], ClosureLocation!$B$6 &gt;= Table4[[#This Row],[EndMP]]), "Yes", "")</f>
        <v/>
      </c>
      <c r="R591" s="1" t="str">
        <f>IF( OR( Table4[[#This Row],[PrimaryMatch]]="Yes", Table4[[#This Row],[SecondaryMatch]]="Yes"), "Yes", "")</f>
        <v/>
      </c>
    </row>
    <row r="592" spans="1:18" hidden="1" x14ac:dyDescent="0.25">
      <c r="A592" t="s">
        <v>745</v>
      </c>
      <c r="B592" t="s">
        <v>3209</v>
      </c>
      <c r="C592" t="s">
        <v>3226</v>
      </c>
      <c r="D592" t="s">
        <v>3731</v>
      </c>
      <c r="E592" s="1">
        <v>51.235999999999997</v>
      </c>
      <c r="F592" s="1">
        <v>42.808999999999997</v>
      </c>
      <c r="G592">
        <v>2</v>
      </c>
      <c r="H592">
        <v>6</v>
      </c>
      <c r="I592" t="s">
        <v>2537</v>
      </c>
      <c r="J592" t="s">
        <v>1693</v>
      </c>
      <c r="K592" s="39">
        <v>14.161675000000001</v>
      </c>
      <c r="L592" s="1">
        <v>17.250662999999999</v>
      </c>
      <c r="M592" s="1" t="s">
        <v>3733</v>
      </c>
      <c r="N592" s="1">
        <v>948.76400000000001</v>
      </c>
      <c r="O592" s="1">
        <f>ABS(Table4[[#This Row],[EndMP]]-Table4[[#This Row],[StartMP]])</f>
        <v>8.4269999999999996</v>
      </c>
      <c r="P592" s="1" t="str">
        <f>IF( AND( Table4[[#This Row],[Route]]=ClosureLocation!$B$3, ClosureLocation!$B$6 &gt;= Table4[[#This Row],[StartMP]], ClosureLocation!$B$6 &lt;= Table4[[#This Row],[EndMP]]), "Yes", "")</f>
        <v/>
      </c>
      <c r="Q592" s="1" t="str">
        <f>IF( AND( Table4[[#This Row],[Route]]=ClosureLocation!$B$3, ClosureLocation!$B$6 &lt;= Table4[[#This Row],[StartMP]], ClosureLocation!$B$6 &gt;= Table4[[#This Row],[EndMP]]), "Yes", "")</f>
        <v/>
      </c>
      <c r="R592" s="1" t="str">
        <f>IF( OR( Table4[[#This Row],[PrimaryMatch]]="Yes", Table4[[#This Row],[SecondaryMatch]]="Yes"), "Yes", "")</f>
        <v/>
      </c>
    </row>
    <row r="593" spans="1:18" hidden="1" x14ac:dyDescent="0.25">
      <c r="A593" t="s">
        <v>1018</v>
      </c>
      <c r="B593" t="s">
        <v>3209</v>
      </c>
      <c r="C593" t="s">
        <v>3226</v>
      </c>
      <c r="D593" t="s">
        <v>3912</v>
      </c>
      <c r="E593" s="1">
        <v>59.164000000000001</v>
      </c>
      <c r="F593" s="1">
        <v>1.8540000000000001</v>
      </c>
      <c r="G593">
        <v>1</v>
      </c>
      <c r="H593">
        <v>2</v>
      </c>
      <c r="I593" t="s">
        <v>2804</v>
      </c>
      <c r="J593" t="s">
        <v>1689</v>
      </c>
      <c r="K593" s="39">
        <v>14.155670000000001</v>
      </c>
      <c r="L593" s="1">
        <v>40.929043</v>
      </c>
      <c r="M593" s="1" t="s">
        <v>3913</v>
      </c>
      <c r="N593" s="1">
        <v>940.83600000000001</v>
      </c>
      <c r="O593" s="1">
        <f>ABS(Table4[[#This Row],[EndMP]]-Table4[[#This Row],[StartMP]])</f>
        <v>57.31</v>
      </c>
      <c r="P593" s="1" t="str">
        <f>IF( AND( Table4[[#This Row],[Route]]=ClosureLocation!$B$3, ClosureLocation!$B$6 &gt;= Table4[[#This Row],[StartMP]], ClosureLocation!$B$6 &lt;= Table4[[#This Row],[EndMP]]), "Yes", "")</f>
        <v/>
      </c>
      <c r="Q593" s="1" t="str">
        <f>IF( AND( Table4[[#This Row],[Route]]=ClosureLocation!$B$3, ClosureLocation!$B$6 &lt;= Table4[[#This Row],[StartMP]], ClosureLocation!$B$6 &gt;= Table4[[#This Row],[EndMP]]), "Yes", "")</f>
        <v/>
      </c>
      <c r="R593" s="1" t="str">
        <f>IF( OR( Table4[[#This Row],[PrimaryMatch]]="Yes", Table4[[#This Row],[SecondaryMatch]]="Yes"), "Yes", "")</f>
        <v/>
      </c>
    </row>
    <row r="594" spans="1:18" hidden="1" x14ac:dyDescent="0.25">
      <c r="A594" t="s">
        <v>248</v>
      </c>
      <c r="B594" t="s">
        <v>3205</v>
      </c>
      <c r="C594" t="s">
        <v>3206</v>
      </c>
      <c r="D594" t="s">
        <v>3389</v>
      </c>
      <c r="E594" s="1">
        <v>0</v>
      </c>
      <c r="F594" s="1">
        <v>17.507000000000001</v>
      </c>
      <c r="G594">
        <v>1</v>
      </c>
      <c r="H594">
        <v>1</v>
      </c>
      <c r="I594" t="s">
        <v>2175</v>
      </c>
      <c r="J594" t="s">
        <v>1695</v>
      </c>
      <c r="K594" s="39">
        <v>14.123186</v>
      </c>
      <c r="L594" s="1">
        <v>41.867542</v>
      </c>
      <c r="M594" s="58" t="s">
        <v>3390</v>
      </c>
      <c r="N594" s="1">
        <v>0</v>
      </c>
      <c r="O594" s="1">
        <f>ABS(Table4[[#This Row],[EndMP]]-Table4[[#This Row],[StartMP]])</f>
        <v>17.507000000000001</v>
      </c>
      <c r="P594" s="1" t="str">
        <f>IF( AND( Table4[[#This Row],[Route]]=ClosureLocation!$B$3, ClosureLocation!$B$6 &gt;= Table4[[#This Row],[StartMP]], ClosureLocation!$B$6 &lt;= Table4[[#This Row],[EndMP]]), "Yes", "")</f>
        <v/>
      </c>
      <c r="Q594" s="1" t="str">
        <f>IF( AND( Table4[[#This Row],[Route]]=ClosureLocation!$B$3, ClosureLocation!$B$6 &lt;= Table4[[#This Row],[StartMP]], ClosureLocation!$B$6 &gt;= Table4[[#This Row],[EndMP]]), "Yes", "")</f>
        <v/>
      </c>
      <c r="R594" s="1" t="str">
        <f>IF( OR( Table4[[#This Row],[PrimaryMatch]]="Yes", Table4[[#This Row],[SecondaryMatch]]="Yes"), "Yes", "")</f>
        <v/>
      </c>
    </row>
    <row r="595" spans="1:18" hidden="1" x14ac:dyDescent="0.25">
      <c r="A595" t="s">
        <v>1630</v>
      </c>
      <c r="B595" t="s">
        <v>3205</v>
      </c>
      <c r="C595" t="s">
        <v>3222</v>
      </c>
      <c r="D595" t="s">
        <v>4378</v>
      </c>
      <c r="E595" s="1">
        <v>100.072</v>
      </c>
      <c r="F595" s="1">
        <v>104.455</v>
      </c>
      <c r="G595">
        <v>2</v>
      </c>
      <c r="H595">
        <v>2</v>
      </c>
      <c r="I595" t="s">
        <v>3168</v>
      </c>
      <c r="J595" t="s">
        <v>1691</v>
      </c>
      <c r="K595" s="39">
        <v>14.110943000000001</v>
      </c>
      <c r="L595" s="1">
        <v>13.580099000000001</v>
      </c>
      <c r="M595" s="1" t="s">
        <v>3702</v>
      </c>
      <c r="N595" s="1">
        <v>100.072</v>
      </c>
      <c r="O595" s="1">
        <f>ABS(Table4[[#This Row],[EndMP]]-Table4[[#This Row],[StartMP]])</f>
        <v>4.3829999999999956</v>
      </c>
      <c r="P595" s="1" t="str">
        <f>IF( AND( Table4[[#This Row],[Route]]=ClosureLocation!$B$3, ClosureLocation!$B$6 &gt;= Table4[[#This Row],[StartMP]], ClosureLocation!$B$6 &lt;= Table4[[#This Row],[EndMP]]), "Yes", "")</f>
        <v/>
      </c>
      <c r="Q595" s="1" t="str">
        <f>IF( AND( Table4[[#This Row],[Route]]=ClosureLocation!$B$3, ClosureLocation!$B$6 &lt;= Table4[[#This Row],[StartMP]], ClosureLocation!$B$6 &gt;= Table4[[#This Row],[EndMP]]), "Yes", "")</f>
        <v/>
      </c>
      <c r="R595" s="1" t="str">
        <f>IF( OR( Table4[[#This Row],[PrimaryMatch]]="Yes", Table4[[#This Row],[SecondaryMatch]]="Yes"), "Yes", "")</f>
        <v/>
      </c>
    </row>
    <row r="596" spans="1:18" hidden="1" x14ac:dyDescent="0.25">
      <c r="A596" t="s">
        <v>1383</v>
      </c>
      <c r="B596" t="s">
        <v>3209</v>
      </c>
      <c r="C596" t="s">
        <v>3226</v>
      </c>
      <c r="D596" t="s">
        <v>4168</v>
      </c>
      <c r="E596" s="1">
        <v>6.8170000000000002</v>
      </c>
      <c r="F596" s="1">
        <v>2.7250000000000001</v>
      </c>
      <c r="G596">
        <v>1</v>
      </c>
      <c r="H596">
        <v>2</v>
      </c>
      <c r="I596" t="s">
        <v>3001</v>
      </c>
      <c r="J596" t="s">
        <v>1692</v>
      </c>
      <c r="K596" s="39">
        <v>14.066404</v>
      </c>
      <c r="L596" s="1">
        <v>10.821856</v>
      </c>
      <c r="M596" s="1" t="s">
        <v>4169</v>
      </c>
      <c r="N596" s="1">
        <v>993.18299999999999</v>
      </c>
      <c r="O596" s="1">
        <f>ABS(Table4[[#This Row],[EndMP]]-Table4[[#This Row],[StartMP]])</f>
        <v>4.0920000000000005</v>
      </c>
      <c r="P596" s="1" t="str">
        <f>IF( AND( Table4[[#This Row],[Route]]=ClosureLocation!$B$3, ClosureLocation!$B$6 &gt;= Table4[[#This Row],[StartMP]], ClosureLocation!$B$6 &lt;= Table4[[#This Row],[EndMP]]), "Yes", "")</f>
        <v/>
      </c>
      <c r="Q596" s="1" t="str">
        <f>IF( AND( Table4[[#This Row],[Route]]=ClosureLocation!$B$3, ClosureLocation!$B$6 &lt;= Table4[[#This Row],[StartMP]], ClosureLocation!$B$6 &gt;= Table4[[#This Row],[EndMP]]), "Yes", "")</f>
        <v/>
      </c>
      <c r="R596" s="1" t="str">
        <f>IF( OR( Table4[[#This Row],[PrimaryMatch]]="Yes", Table4[[#This Row],[SecondaryMatch]]="Yes"), "Yes", "")</f>
        <v/>
      </c>
    </row>
    <row r="597" spans="1:18" hidden="1" x14ac:dyDescent="0.25">
      <c r="A597" t="s">
        <v>640</v>
      </c>
      <c r="B597" t="s">
        <v>3205</v>
      </c>
      <c r="C597" t="s">
        <v>3222</v>
      </c>
      <c r="D597" t="s">
        <v>3638</v>
      </c>
      <c r="E597" s="1">
        <v>380.23099999999999</v>
      </c>
      <c r="F597" s="1">
        <v>400.06299999999999</v>
      </c>
      <c r="G597">
        <v>12</v>
      </c>
      <c r="H597">
        <v>26</v>
      </c>
      <c r="I597" t="s">
        <v>3639</v>
      </c>
      <c r="J597" t="s">
        <v>1694</v>
      </c>
      <c r="K597" s="39">
        <v>13.86829</v>
      </c>
      <c r="L597" s="1">
        <v>1.060098</v>
      </c>
      <c r="M597" s="1" t="s">
        <v>4935</v>
      </c>
      <c r="N597" s="1">
        <v>380.23099999999999</v>
      </c>
      <c r="O597" s="1">
        <f>ABS(Table4[[#This Row],[EndMP]]-Table4[[#This Row],[StartMP]])</f>
        <v>19.831999999999994</v>
      </c>
      <c r="P597" s="1" t="str">
        <f>IF( AND( Table4[[#This Row],[Route]]=ClosureLocation!$B$3, ClosureLocation!$B$6 &gt;= Table4[[#This Row],[StartMP]], ClosureLocation!$B$6 &lt;= Table4[[#This Row],[EndMP]]), "Yes", "")</f>
        <v/>
      </c>
      <c r="Q597" s="1" t="str">
        <f>IF( AND( Table4[[#This Row],[Route]]=ClosureLocation!$B$3, ClosureLocation!$B$6 &lt;= Table4[[#This Row],[StartMP]], ClosureLocation!$B$6 &gt;= Table4[[#This Row],[EndMP]]), "Yes", "")</f>
        <v/>
      </c>
      <c r="R597" s="1" t="str">
        <f>IF( OR( Table4[[#This Row],[PrimaryMatch]]="Yes", Table4[[#This Row],[SecondaryMatch]]="Yes"), "Yes", "")</f>
        <v/>
      </c>
    </row>
    <row r="598" spans="1:18" hidden="1" x14ac:dyDescent="0.25">
      <c r="A598" t="s">
        <v>535</v>
      </c>
      <c r="B598" t="s">
        <v>3209</v>
      </c>
      <c r="C598" t="s">
        <v>3226</v>
      </c>
      <c r="D598" t="s">
        <v>3573</v>
      </c>
      <c r="E598" s="1">
        <v>272.55200000000002</v>
      </c>
      <c r="F598" s="1">
        <v>271.48899999999998</v>
      </c>
      <c r="H598">
        <v>2</v>
      </c>
      <c r="I598" t="s">
        <v>2375</v>
      </c>
      <c r="J598" t="s">
        <v>1702</v>
      </c>
      <c r="K598" s="39">
        <v>13.862097</v>
      </c>
      <c r="L598" s="1">
        <v>11.712604000000001</v>
      </c>
      <c r="M598" s="1" t="s">
        <v>3575</v>
      </c>
      <c r="N598" s="1">
        <v>727.44799999999998</v>
      </c>
      <c r="O598" s="1">
        <f>ABS(Table4[[#This Row],[EndMP]]-Table4[[#This Row],[StartMP]])</f>
        <v>1.063000000000045</v>
      </c>
      <c r="P598" s="1" t="str">
        <f>IF( AND( Table4[[#This Row],[Route]]=ClosureLocation!$B$3, ClosureLocation!$B$6 &gt;= Table4[[#This Row],[StartMP]], ClosureLocation!$B$6 &lt;= Table4[[#This Row],[EndMP]]), "Yes", "")</f>
        <v/>
      </c>
      <c r="Q598" s="1" t="str">
        <f>IF( AND( Table4[[#This Row],[Route]]=ClosureLocation!$B$3, ClosureLocation!$B$6 &lt;= Table4[[#This Row],[StartMP]], ClosureLocation!$B$6 &gt;= Table4[[#This Row],[EndMP]]), "Yes", "")</f>
        <v/>
      </c>
      <c r="R598" s="1" t="str">
        <f>IF( OR( Table4[[#This Row],[PrimaryMatch]]="Yes", Table4[[#This Row],[SecondaryMatch]]="Yes"), "Yes", "")</f>
        <v/>
      </c>
    </row>
    <row r="599" spans="1:18" hidden="1" x14ac:dyDescent="0.25">
      <c r="A599" t="s">
        <v>1630</v>
      </c>
      <c r="B599" t="s">
        <v>3209</v>
      </c>
      <c r="C599" t="s">
        <v>3226</v>
      </c>
      <c r="D599" t="s">
        <v>4380</v>
      </c>
      <c r="E599" s="1">
        <v>104.455</v>
      </c>
      <c r="F599" s="1">
        <v>100.072</v>
      </c>
      <c r="G599">
        <v>1</v>
      </c>
      <c r="H599">
        <v>3</v>
      </c>
      <c r="I599" t="s">
        <v>3169</v>
      </c>
      <c r="J599" t="s">
        <v>1691</v>
      </c>
      <c r="K599" s="39">
        <v>13.785092000000001</v>
      </c>
      <c r="L599" s="1">
        <v>13.355368</v>
      </c>
      <c r="M599" s="1" t="s">
        <v>4381</v>
      </c>
      <c r="N599" s="1">
        <v>895.54499999999996</v>
      </c>
      <c r="O599" s="1">
        <f>ABS(Table4[[#This Row],[EndMP]]-Table4[[#This Row],[StartMP]])</f>
        <v>4.3829999999999956</v>
      </c>
      <c r="P599" s="1" t="str">
        <f>IF( AND( Table4[[#This Row],[Route]]=ClosureLocation!$B$3, ClosureLocation!$B$6 &gt;= Table4[[#This Row],[StartMP]], ClosureLocation!$B$6 &lt;= Table4[[#This Row],[EndMP]]), "Yes", "")</f>
        <v/>
      </c>
      <c r="Q599" s="1" t="str">
        <f>IF( AND( Table4[[#This Row],[Route]]=ClosureLocation!$B$3, ClosureLocation!$B$6 &lt;= Table4[[#This Row],[StartMP]], ClosureLocation!$B$6 &gt;= Table4[[#This Row],[EndMP]]), "Yes", "")</f>
        <v/>
      </c>
      <c r="R599" s="1" t="str">
        <f>IF( OR( Table4[[#This Row],[PrimaryMatch]]="Yes", Table4[[#This Row],[SecondaryMatch]]="Yes"), "Yes", "")</f>
        <v/>
      </c>
    </row>
    <row r="600" spans="1:18" hidden="1" x14ac:dyDescent="0.25">
      <c r="A600" t="s">
        <v>640</v>
      </c>
      <c r="B600" t="s">
        <v>3209</v>
      </c>
      <c r="C600" t="s">
        <v>3226</v>
      </c>
      <c r="D600" t="s">
        <v>3640</v>
      </c>
      <c r="E600" s="1">
        <v>400.06299999999999</v>
      </c>
      <c r="F600" s="1">
        <v>380.23099999999999</v>
      </c>
      <c r="G600">
        <v>4</v>
      </c>
      <c r="H600">
        <v>4</v>
      </c>
      <c r="I600" t="s">
        <v>2461</v>
      </c>
      <c r="J600" t="s">
        <v>1694</v>
      </c>
      <c r="K600" s="39">
        <v>13.711137000000001</v>
      </c>
      <c r="L600" s="1">
        <v>1.0412220000000001</v>
      </c>
      <c r="M600" s="1" t="s">
        <v>4941</v>
      </c>
      <c r="N600" s="1">
        <v>599.93700000000001</v>
      </c>
      <c r="O600" s="1">
        <f>ABS(Table4[[#This Row],[EndMP]]-Table4[[#This Row],[StartMP]])</f>
        <v>19.831999999999994</v>
      </c>
      <c r="P600" s="1" t="str">
        <f>IF( AND( Table4[[#This Row],[Route]]=ClosureLocation!$B$3, ClosureLocation!$B$6 &gt;= Table4[[#This Row],[StartMP]], ClosureLocation!$B$6 &lt;= Table4[[#This Row],[EndMP]]), "Yes", "")</f>
        <v/>
      </c>
      <c r="Q600" s="1" t="str">
        <f>IF( AND( Table4[[#This Row],[Route]]=ClosureLocation!$B$3, ClosureLocation!$B$6 &lt;= Table4[[#This Row],[StartMP]], ClosureLocation!$B$6 &gt;= Table4[[#This Row],[EndMP]]), "Yes", "")</f>
        <v/>
      </c>
      <c r="R600" s="1" t="str">
        <f>IF( OR( Table4[[#This Row],[PrimaryMatch]]="Yes", Table4[[#This Row],[SecondaryMatch]]="Yes"), "Yes", "")</f>
        <v/>
      </c>
    </row>
    <row r="601" spans="1:18" hidden="1" x14ac:dyDescent="0.25">
      <c r="A601" t="s">
        <v>902</v>
      </c>
      <c r="B601" t="s">
        <v>3205</v>
      </c>
      <c r="C601" t="s">
        <v>3226</v>
      </c>
      <c r="D601" t="s">
        <v>3830</v>
      </c>
      <c r="E601" s="1">
        <v>10.659000000000001</v>
      </c>
      <c r="F601" s="1">
        <v>29.378</v>
      </c>
      <c r="G601">
        <v>2</v>
      </c>
      <c r="H601">
        <v>4</v>
      </c>
      <c r="I601" t="s">
        <v>2699</v>
      </c>
      <c r="J601" t="s">
        <v>1693</v>
      </c>
      <c r="K601" s="39">
        <v>13.658961</v>
      </c>
      <c r="L601" s="1">
        <v>10.986818</v>
      </c>
      <c r="M601" s="1" t="s">
        <v>3832</v>
      </c>
      <c r="N601" s="1">
        <v>10.659000000000001</v>
      </c>
      <c r="O601" s="1">
        <f>ABS(Table4[[#This Row],[EndMP]]-Table4[[#This Row],[StartMP]])</f>
        <v>18.719000000000001</v>
      </c>
      <c r="P601" s="1" t="str">
        <f>IF( AND( Table4[[#This Row],[Route]]=ClosureLocation!$B$3, ClosureLocation!$B$6 &gt;= Table4[[#This Row],[StartMP]], ClosureLocation!$B$6 &lt;= Table4[[#This Row],[EndMP]]), "Yes", "")</f>
        <v/>
      </c>
      <c r="Q601" s="1" t="str">
        <f>IF( AND( Table4[[#This Row],[Route]]=ClosureLocation!$B$3, ClosureLocation!$B$6 &lt;= Table4[[#This Row],[StartMP]], ClosureLocation!$B$6 &gt;= Table4[[#This Row],[EndMP]]), "Yes", "")</f>
        <v/>
      </c>
      <c r="R601" s="1" t="str">
        <f>IF( OR( Table4[[#This Row],[PrimaryMatch]]="Yes", Table4[[#This Row],[SecondaryMatch]]="Yes"), "Yes", "")</f>
        <v/>
      </c>
    </row>
    <row r="602" spans="1:18" hidden="1" x14ac:dyDescent="0.25">
      <c r="A602" t="s">
        <v>602</v>
      </c>
      <c r="B602" t="s">
        <v>3209</v>
      </c>
      <c r="C602" t="s">
        <v>3226</v>
      </c>
      <c r="D602" t="s">
        <v>3626</v>
      </c>
      <c r="E602" s="1">
        <v>222.399</v>
      </c>
      <c r="F602" s="1">
        <v>217.51</v>
      </c>
      <c r="G602">
        <v>7</v>
      </c>
      <c r="H602">
        <v>14</v>
      </c>
      <c r="I602" t="s">
        <v>2432</v>
      </c>
      <c r="J602" t="s">
        <v>1700</v>
      </c>
      <c r="K602" s="39">
        <v>13.58774</v>
      </c>
      <c r="L602" s="1">
        <v>11.299053000000001</v>
      </c>
      <c r="M602" s="1" t="s">
        <v>3632</v>
      </c>
      <c r="N602" s="1">
        <v>777.601</v>
      </c>
      <c r="O602" s="1">
        <f>ABS(Table4[[#This Row],[EndMP]]-Table4[[#This Row],[StartMP]])</f>
        <v>4.88900000000001</v>
      </c>
      <c r="P602" s="1" t="str">
        <f>IF( AND( Table4[[#This Row],[Route]]=ClosureLocation!$B$3, ClosureLocation!$B$6 &gt;= Table4[[#This Row],[StartMP]], ClosureLocation!$B$6 &lt;= Table4[[#This Row],[EndMP]]), "Yes", "")</f>
        <v/>
      </c>
      <c r="Q602" s="1" t="str">
        <f>IF( AND( Table4[[#This Row],[Route]]=ClosureLocation!$B$3, ClosureLocation!$B$6 &lt;= Table4[[#This Row],[StartMP]], ClosureLocation!$B$6 &gt;= Table4[[#This Row],[EndMP]]), "Yes", "")</f>
        <v/>
      </c>
      <c r="R602" s="1" t="str">
        <f>IF( OR( Table4[[#This Row],[PrimaryMatch]]="Yes", Table4[[#This Row],[SecondaryMatch]]="Yes"), "Yes", "")</f>
        <v/>
      </c>
    </row>
    <row r="603" spans="1:18" hidden="1" x14ac:dyDescent="0.25">
      <c r="A603" t="s">
        <v>602</v>
      </c>
      <c r="B603" t="s">
        <v>3205</v>
      </c>
      <c r="C603" t="s">
        <v>3222</v>
      </c>
      <c r="D603" t="s">
        <v>3612</v>
      </c>
      <c r="E603" s="1">
        <v>217.51</v>
      </c>
      <c r="F603" s="1">
        <v>222.399</v>
      </c>
      <c r="G603">
        <v>12</v>
      </c>
      <c r="H603">
        <v>1</v>
      </c>
      <c r="I603" t="s">
        <v>2419</v>
      </c>
      <c r="J603" t="s">
        <v>1700</v>
      </c>
      <c r="K603" s="39">
        <v>13.587642000000001</v>
      </c>
      <c r="L603" s="1">
        <v>11.299053000000001</v>
      </c>
      <c r="M603" s="1" t="s">
        <v>3620</v>
      </c>
      <c r="N603" s="1">
        <v>217.51</v>
      </c>
      <c r="O603" s="1">
        <f>ABS(Table4[[#This Row],[EndMP]]-Table4[[#This Row],[StartMP]])</f>
        <v>4.88900000000001</v>
      </c>
      <c r="P603" s="1" t="str">
        <f>IF( AND( Table4[[#This Row],[Route]]=ClosureLocation!$B$3, ClosureLocation!$B$6 &gt;= Table4[[#This Row],[StartMP]], ClosureLocation!$B$6 &lt;= Table4[[#This Row],[EndMP]]), "Yes", "")</f>
        <v/>
      </c>
      <c r="Q603" s="1" t="str">
        <f>IF( AND( Table4[[#This Row],[Route]]=ClosureLocation!$B$3, ClosureLocation!$B$6 &lt;= Table4[[#This Row],[StartMP]], ClosureLocation!$B$6 &gt;= Table4[[#This Row],[EndMP]]), "Yes", "")</f>
        <v/>
      </c>
      <c r="R603" s="1" t="str">
        <f>IF( OR( Table4[[#This Row],[PrimaryMatch]]="Yes", Table4[[#This Row],[SecondaryMatch]]="Yes"), "Yes", "")</f>
        <v/>
      </c>
    </row>
    <row r="604" spans="1:18" hidden="1" x14ac:dyDescent="0.25">
      <c r="A604" t="s">
        <v>917</v>
      </c>
      <c r="B604" t="s">
        <v>3209</v>
      </c>
      <c r="C604" t="s">
        <v>3226</v>
      </c>
      <c r="D604" t="s">
        <v>3840</v>
      </c>
      <c r="E604" s="1">
        <v>12.355</v>
      </c>
      <c r="F604" s="1">
        <v>9.7710000000000008</v>
      </c>
      <c r="G604">
        <v>16</v>
      </c>
      <c r="H604">
        <v>38</v>
      </c>
      <c r="I604" t="s">
        <v>2741</v>
      </c>
      <c r="J604" t="s">
        <v>1694</v>
      </c>
      <c r="K604" s="39">
        <v>13.546310999999999</v>
      </c>
      <c r="L604" s="1">
        <v>13.218311999999999</v>
      </c>
      <c r="M604" s="1" t="s">
        <v>4985</v>
      </c>
      <c r="N604" s="1">
        <v>987.64499999999998</v>
      </c>
      <c r="O604" s="1">
        <f>ABS(Table4[[#This Row],[EndMP]]-Table4[[#This Row],[StartMP]])</f>
        <v>2.5839999999999996</v>
      </c>
      <c r="P604" s="1" t="str">
        <f>IF( AND( Table4[[#This Row],[Route]]=ClosureLocation!$B$3, ClosureLocation!$B$6 &gt;= Table4[[#This Row],[StartMP]], ClosureLocation!$B$6 &lt;= Table4[[#This Row],[EndMP]]), "Yes", "")</f>
        <v/>
      </c>
      <c r="Q604" s="1" t="str">
        <f>IF( AND( Table4[[#This Row],[Route]]=ClosureLocation!$B$3, ClosureLocation!$B$6 &lt;= Table4[[#This Row],[StartMP]], ClosureLocation!$B$6 &gt;= Table4[[#This Row],[EndMP]]), "Yes", "")</f>
        <v/>
      </c>
      <c r="R604" s="1" t="str">
        <f>IF( OR( Table4[[#This Row],[PrimaryMatch]]="Yes", Table4[[#This Row],[SecondaryMatch]]="Yes"), "Yes", "")</f>
        <v/>
      </c>
    </row>
    <row r="605" spans="1:18" hidden="1" x14ac:dyDescent="0.25">
      <c r="A605" t="s">
        <v>535</v>
      </c>
      <c r="B605" t="s">
        <v>3209</v>
      </c>
      <c r="C605" t="s">
        <v>3226</v>
      </c>
      <c r="D605" t="s">
        <v>3573</v>
      </c>
      <c r="E605" s="1">
        <v>276.92</v>
      </c>
      <c r="F605" s="1">
        <v>276.24200000000002</v>
      </c>
      <c r="H605">
        <v>2</v>
      </c>
      <c r="I605" t="s">
        <v>2374</v>
      </c>
      <c r="J605" t="s">
        <v>1702</v>
      </c>
      <c r="K605" s="39">
        <v>13.535506</v>
      </c>
      <c r="L605" s="1">
        <v>11.414735</v>
      </c>
      <c r="M605" s="1" t="s">
        <v>3574</v>
      </c>
      <c r="N605" s="1">
        <v>723.08</v>
      </c>
      <c r="O605" s="1">
        <f>ABS(Table4[[#This Row],[EndMP]]-Table4[[#This Row],[StartMP]])</f>
        <v>0.67799999999999727</v>
      </c>
      <c r="P605" s="1" t="str">
        <f>IF( AND( Table4[[#This Row],[Route]]=ClosureLocation!$B$3, ClosureLocation!$B$6 &gt;= Table4[[#This Row],[StartMP]], ClosureLocation!$B$6 &lt;= Table4[[#This Row],[EndMP]]), "Yes", "")</f>
        <v/>
      </c>
      <c r="Q605" s="1" t="str">
        <f>IF( AND( Table4[[#This Row],[Route]]=ClosureLocation!$B$3, ClosureLocation!$B$6 &lt;= Table4[[#This Row],[StartMP]], ClosureLocation!$B$6 &gt;= Table4[[#This Row],[EndMP]]), "Yes", "")</f>
        <v/>
      </c>
      <c r="R605" s="1" t="str">
        <f>IF( OR( Table4[[#This Row],[PrimaryMatch]]="Yes", Table4[[#This Row],[SecondaryMatch]]="Yes"), "Yes", "")</f>
        <v/>
      </c>
    </row>
    <row r="606" spans="1:18" hidden="1" x14ac:dyDescent="0.25">
      <c r="A606" t="s">
        <v>1431</v>
      </c>
      <c r="B606" t="s">
        <v>3205</v>
      </c>
      <c r="C606" t="s">
        <v>3206</v>
      </c>
      <c r="D606" t="s">
        <v>4207</v>
      </c>
      <c r="E606" s="1">
        <v>9.2349999999999994</v>
      </c>
      <c r="F606" s="1">
        <v>11.813000000000001</v>
      </c>
      <c r="G606">
        <v>3</v>
      </c>
      <c r="H606">
        <v>3</v>
      </c>
      <c r="I606" t="s">
        <v>3026</v>
      </c>
      <c r="J606" t="s">
        <v>1692</v>
      </c>
      <c r="K606" s="39">
        <v>13.491726999999999</v>
      </c>
      <c r="L606" s="1">
        <v>4.8012550000000003</v>
      </c>
      <c r="M606" s="1" t="s">
        <v>4210</v>
      </c>
      <c r="N606" s="1">
        <v>9.2349999999999994</v>
      </c>
      <c r="O606" s="1">
        <f>ABS(Table4[[#This Row],[EndMP]]-Table4[[#This Row],[StartMP]])</f>
        <v>2.5780000000000012</v>
      </c>
      <c r="P606" s="1" t="str">
        <f>IF( AND( Table4[[#This Row],[Route]]=ClosureLocation!$B$3, ClosureLocation!$B$6 &gt;= Table4[[#This Row],[StartMP]], ClosureLocation!$B$6 &lt;= Table4[[#This Row],[EndMP]]), "Yes", "")</f>
        <v/>
      </c>
      <c r="Q606" s="1" t="str">
        <f>IF( AND( Table4[[#This Row],[Route]]=ClosureLocation!$B$3, ClosureLocation!$B$6 &lt;= Table4[[#This Row],[StartMP]], ClosureLocation!$B$6 &gt;= Table4[[#This Row],[EndMP]]), "Yes", "")</f>
        <v/>
      </c>
      <c r="R606" s="1" t="str">
        <f>IF( OR( Table4[[#This Row],[PrimaryMatch]]="Yes", Table4[[#This Row],[SecondaryMatch]]="Yes"), "Yes", "")</f>
        <v/>
      </c>
    </row>
    <row r="607" spans="1:18" hidden="1" x14ac:dyDescent="0.25">
      <c r="A607" t="s">
        <v>602</v>
      </c>
      <c r="B607" t="s">
        <v>3209</v>
      </c>
      <c r="C607" t="s">
        <v>3226</v>
      </c>
      <c r="D607" t="s">
        <v>3626</v>
      </c>
      <c r="E607" s="1">
        <v>294.339</v>
      </c>
      <c r="F607" s="1">
        <v>290.03100000000001</v>
      </c>
      <c r="G607">
        <v>3</v>
      </c>
      <c r="H607">
        <v>10</v>
      </c>
      <c r="I607" t="s">
        <v>2428</v>
      </c>
      <c r="J607" t="s">
        <v>1700</v>
      </c>
      <c r="K607" s="39">
        <v>13.465450000000001</v>
      </c>
      <c r="L607" s="1">
        <v>5.6444289999999997</v>
      </c>
      <c r="M607" s="1" t="s">
        <v>3629</v>
      </c>
      <c r="N607" s="1">
        <v>705.66099999999994</v>
      </c>
      <c r="O607" s="1">
        <f>ABS(Table4[[#This Row],[EndMP]]-Table4[[#This Row],[StartMP]])</f>
        <v>4.3079999999999927</v>
      </c>
      <c r="P607" s="1" t="str">
        <f>IF( AND( Table4[[#This Row],[Route]]=ClosureLocation!$B$3, ClosureLocation!$B$6 &gt;= Table4[[#This Row],[StartMP]], ClosureLocation!$B$6 &lt;= Table4[[#This Row],[EndMP]]), "Yes", "")</f>
        <v/>
      </c>
      <c r="Q607" s="1" t="str">
        <f>IF( AND( Table4[[#This Row],[Route]]=ClosureLocation!$B$3, ClosureLocation!$B$6 &lt;= Table4[[#This Row],[StartMP]], ClosureLocation!$B$6 &gt;= Table4[[#This Row],[EndMP]]), "Yes", "")</f>
        <v/>
      </c>
      <c r="R607" s="1" t="str">
        <f>IF( OR( Table4[[#This Row],[PrimaryMatch]]="Yes", Table4[[#This Row],[SecondaryMatch]]="Yes"), "Yes", "")</f>
        <v/>
      </c>
    </row>
    <row r="608" spans="1:18" hidden="1" x14ac:dyDescent="0.25">
      <c r="A608" t="s">
        <v>1018</v>
      </c>
      <c r="B608" t="s">
        <v>3205</v>
      </c>
      <c r="C608" t="s">
        <v>3222</v>
      </c>
      <c r="D608" t="s">
        <v>3910</v>
      </c>
      <c r="E608" s="1">
        <v>1.8540000000000001</v>
      </c>
      <c r="F608" s="1">
        <v>59.164000000000001</v>
      </c>
      <c r="G608">
        <v>1</v>
      </c>
      <c r="H608">
        <v>1</v>
      </c>
      <c r="I608" t="s">
        <v>2803</v>
      </c>
      <c r="J608" t="s">
        <v>1689</v>
      </c>
      <c r="K608" s="39">
        <v>13.465121</v>
      </c>
      <c r="L608" s="1">
        <v>40.476756000000002</v>
      </c>
      <c r="M608" s="1" t="s">
        <v>3911</v>
      </c>
      <c r="N608" s="1">
        <v>1.8540000000000001</v>
      </c>
      <c r="O608" s="1">
        <f>ABS(Table4[[#This Row],[EndMP]]-Table4[[#This Row],[StartMP]])</f>
        <v>57.31</v>
      </c>
      <c r="P608" s="1" t="str">
        <f>IF( AND( Table4[[#This Row],[Route]]=ClosureLocation!$B$3, ClosureLocation!$B$6 &gt;= Table4[[#This Row],[StartMP]], ClosureLocation!$B$6 &lt;= Table4[[#This Row],[EndMP]]), "Yes", "")</f>
        <v/>
      </c>
      <c r="Q608" s="1" t="str">
        <f>IF( AND( Table4[[#This Row],[Route]]=ClosureLocation!$B$3, ClosureLocation!$B$6 &lt;= Table4[[#This Row],[StartMP]], ClosureLocation!$B$6 &gt;= Table4[[#This Row],[EndMP]]), "Yes", "")</f>
        <v/>
      </c>
      <c r="R608" s="1" t="str">
        <f>IF( OR( Table4[[#This Row],[PrimaryMatch]]="Yes", Table4[[#This Row],[SecondaryMatch]]="Yes"), "Yes", "")</f>
        <v/>
      </c>
    </row>
    <row r="609" spans="1:18" hidden="1" x14ac:dyDescent="0.25">
      <c r="A609" t="s">
        <v>887</v>
      </c>
      <c r="B609" t="s">
        <v>3205</v>
      </c>
      <c r="C609" t="s">
        <v>3206</v>
      </c>
      <c r="D609" t="s">
        <v>3799</v>
      </c>
      <c r="E609" s="1">
        <v>9.6010000000000009</v>
      </c>
      <c r="F609" s="1">
        <v>14.539</v>
      </c>
      <c r="G609">
        <v>1</v>
      </c>
      <c r="H609">
        <v>1</v>
      </c>
      <c r="I609" t="s">
        <v>2680</v>
      </c>
      <c r="J609" t="s">
        <v>1699</v>
      </c>
      <c r="K609" s="39">
        <v>13.417577</v>
      </c>
      <c r="L609" s="1">
        <v>13.499727</v>
      </c>
      <c r="M609" s="1" t="s">
        <v>3800</v>
      </c>
      <c r="N609" s="1">
        <v>9.6010000000000009</v>
      </c>
      <c r="O609" s="1">
        <f>ABS(Table4[[#This Row],[EndMP]]-Table4[[#This Row],[StartMP]])</f>
        <v>4.9379999999999988</v>
      </c>
      <c r="P609" s="1" t="str">
        <f>IF( AND( Table4[[#This Row],[Route]]=ClosureLocation!$B$3, ClosureLocation!$B$6 &gt;= Table4[[#This Row],[StartMP]], ClosureLocation!$B$6 &lt;= Table4[[#This Row],[EndMP]]), "Yes", "")</f>
        <v/>
      </c>
      <c r="Q609" s="1" t="str">
        <f>IF( AND( Table4[[#This Row],[Route]]=ClosureLocation!$B$3, ClosureLocation!$B$6 &lt;= Table4[[#This Row],[StartMP]], ClosureLocation!$B$6 &gt;= Table4[[#This Row],[EndMP]]), "Yes", "")</f>
        <v/>
      </c>
      <c r="R609" s="1" t="str">
        <f>IF( OR( Table4[[#This Row],[PrimaryMatch]]="Yes", Table4[[#This Row],[SecondaryMatch]]="Yes"), "Yes", "")</f>
        <v/>
      </c>
    </row>
    <row r="610" spans="1:18" hidden="1" x14ac:dyDescent="0.25">
      <c r="A610" t="s">
        <v>640</v>
      </c>
      <c r="B610" t="s">
        <v>3209</v>
      </c>
      <c r="C610" t="s">
        <v>3226</v>
      </c>
      <c r="D610" t="s">
        <v>3640</v>
      </c>
      <c r="E610" s="1">
        <v>359.71199999999999</v>
      </c>
      <c r="F610" s="1">
        <v>350.90899999999999</v>
      </c>
      <c r="G610">
        <v>9</v>
      </c>
      <c r="H610">
        <v>9</v>
      </c>
      <c r="I610" t="s">
        <v>2467</v>
      </c>
      <c r="J610" t="s">
        <v>1694</v>
      </c>
      <c r="K610" s="39">
        <v>13.413760999999999</v>
      </c>
      <c r="L610" s="1">
        <v>5.8685109999999998</v>
      </c>
      <c r="M610" s="1" t="s">
        <v>4946</v>
      </c>
      <c r="N610" s="1">
        <v>640.28800000000001</v>
      </c>
      <c r="O610" s="1">
        <f>ABS(Table4[[#This Row],[EndMP]]-Table4[[#This Row],[StartMP]])</f>
        <v>8.8029999999999973</v>
      </c>
      <c r="P610" s="1" t="str">
        <f>IF( AND( Table4[[#This Row],[Route]]=ClosureLocation!$B$3, ClosureLocation!$B$6 &gt;= Table4[[#This Row],[StartMP]], ClosureLocation!$B$6 &lt;= Table4[[#This Row],[EndMP]]), "Yes", "")</f>
        <v/>
      </c>
      <c r="Q610" s="1" t="str">
        <f>IF( AND( Table4[[#This Row],[Route]]=ClosureLocation!$B$3, ClosureLocation!$B$6 &lt;= Table4[[#This Row],[StartMP]], ClosureLocation!$B$6 &gt;= Table4[[#This Row],[EndMP]]), "Yes", "")</f>
        <v/>
      </c>
      <c r="R610" s="1" t="str">
        <f>IF( OR( Table4[[#This Row],[PrimaryMatch]]="Yes", Table4[[#This Row],[SecondaryMatch]]="Yes"), "Yes", "")</f>
        <v/>
      </c>
    </row>
    <row r="611" spans="1:18" hidden="1" x14ac:dyDescent="0.25">
      <c r="A611" t="s">
        <v>640</v>
      </c>
      <c r="B611" t="s">
        <v>3205</v>
      </c>
      <c r="C611" t="s">
        <v>3222</v>
      </c>
      <c r="D611" t="s">
        <v>3638</v>
      </c>
      <c r="E611" s="1">
        <v>350.90899999999999</v>
      </c>
      <c r="F611" s="1">
        <v>359.71199999999999</v>
      </c>
      <c r="G611">
        <v>6</v>
      </c>
      <c r="H611">
        <v>20</v>
      </c>
      <c r="I611" t="s">
        <v>2450</v>
      </c>
      <c r="J611" t="s">
        <v>1694</v>
      </c>
      <c r="K611" s="39">
        <v>13.413582</v>
      </c>
      <c r="L611" s="1">
        <v>5.8685109999999998</v>
      </c>
      <c r="M611" s="1" t="s">
        <v>4929</v>
      </c>
      <c r="N611" s="1">
        <v>350.90899999999999</v>
      </c>
      <c r="O611" s="1">
        <f>ABS(Table4[[#This Row],[EndMP]]-Table4[[#This Row],[StartMP]])</f>
        <v>8.8029999999999973</v>
      </c>
      <c r="P611" s="1" t="str">
        <f>IF( AND( Table4[[#This Row],[Route]]=ClosureLocation!$B$3, ClosureLocation!$B$6 &gt;= Table4[[#This Row],[StartMP]], ClosureLocation!$B$6 &lt;= Table4[[#This Row],[EndMP]]), "Yes", "")</f>
        <v/>
      </c>
      <c r="Q611" s="1" t="str">
        <f>IF( AND( Table4[[#This Row],[Route]]=ClosureLocation!$B$3, ClosureLocation!$B$6 &lt;= Table4[[#This Row],[StartMP]], ClosureLocation!$B$6 &gt;= Table4[[#This Row],[EndMP]]), "Yes", "")</f>
        <v/>
      </c>
      <c r="R611" s="1" t="str">
        <f>IF( OR( Table4[[#This Row],[PrimaryMatch]]="Yes", Table4[[#This Row],[SecondaryMatch]]="Yes"), "Yes", "")</f>
        <v/>
      </c>
    </row>
    <row r="612" spans="1:18" hidden="1" x14ac:dyDescent="0.25">
      <c r="A612" t="s">
        <v>917</v>
      </c>
      <c r="B612" t="s">
        <v>3205</v>
      </c>
      <c r="C612" t="s">
        <v>3222</v>
      </c>
      <c r="D612" t="s">
        <v>3837</v>
      </c>
      <c r="E612" s="1">
        <v>9.6999999999999993</v>
      </c>
      <c r="F612" s="1">
        <v>12.355</v>
      </c>
      <c r="G612">
        <v>7</v>
      </c>
      <c r="H612">
        <v>7</v>
      </c>
      <c r="I612" t="s">
        <v>2710</v>
      </c>
      <c r="J612" t="s">
        <v>1694</v>
      </c>
      <c r="K612" s="39">
        <v>13.377624000000001</v>
      </c>
      <c r="L612" s="1">
        <v>12.324631999999999</v>
      </c>
      <c r="M612" s="1" t="s">
        <v>4958</v>
      </c>
      <c r="N612" s="1">
        <v>9.6999999999999993</v>
      </c>
      <c r="O612" s="1">
        <f>ABS(Table4[[#This Row],[EndMP]]-Table4[[#This Row],[StartMP]])</f>
        <v>2.6550000000000011</v>
      </c>
      <c r="P612" s="1" t="str">
        <f>IF( AND( Table4[[#This Row],[Route]]=ClosureLocation!$B$3, ClosureLocation!$B$6 &gt;= Table4[[#This Row],[StartMP]], ClosureLocation!$B$6 &lt;= Table4[[#This Row],[EndMP]]), "Yes", "")</f>
        <v/>
      </c>
      <c r="Q612" s="1" t="str">
        <f>IF( AND( Table4[[#This Row],[Route]]=ClosureLocation!$B$3, ClosureLocation!$B$6 &lt;= Table4[[#This Row],[StartMP]], ClosureLocation!$B$6 &gt;= Table4[[#This Row],[EndMP]]), "Yes", "")</f>
        <v/>
      </c>
      <c r="R612" s="1" t="str">
        <f>IF( OR( Table4[[#This Row],[PrimaryMatch]]="Yes", Table4[[#This Row],[SecondaryMatch]]="Yes"), "Yes", "")</f>
        <v/>
      </c>
    </row>
    <row r="613" spans="1:18" hidden="1" x14ac:dyDescent="0.25">
      <c r="A613" t="s">
        <v>1140</v>
      </c>
      <c r="B613" t="s">
        <v>3205</v>
      </c>
      <c r="C613" t="s">
        <v>3206</v>
      </c>
      <c r="D613" t="s">
        <v>4008</v>
      </c>
      <c r="E613" s="1">
        <v>13.978999999999999</v>
      </c>
      <c r="F613" s="1">
        <v>47.417000000000002</v>
      </c>
      <c r="H613">
        <v>2</v>
      </c>
      <c r="I613" t="s">
        <v>2872</v>
      </c>
      <c r="J613" t="s">
        <v>1702</v>
      </c>
      <c r="K613" s="39">
        <v>13.352781</v>
      </c>
      <c r="L613" s="1">
        <v>30.121994999999998</v>
      </c>
      <c r="M613" s="1" t="s">
        <v>4010</v>
      </c>
      <c r="N613" s="1">
        <v>13.978999999999999</v>
      </c>
      <c r="O613" s="1">
        <f>ABS(Table4[[#This Row],[EndMP]]-Table4[[#This Row],[StartMP]])</f>
        <v>33.438000000000002</v>
      </c>
      <c r="P613" s="1" t="str">
        <f>IF( AND( Table4[[#This Row],[Route]]=ClosureLocation!$B$3, ClosureLocation!$B$6 &gt;= Table4[[#This Row],[StartMP]], ClosureLocation!$B$6 &lt;= Table4[[#This Row],[EndMP]]), "Yes", "")</f>
        <v/>
      </c>
      <c r="Q613" s="1" t="str">
        <f>IF( AND( Table4[[#This Row],[Route]]=ClosureLocation!$B$3, ClosureLocation!$B$6 &lt;= Table4[[#This Row],[StartMP]], ClosureLocation!$B$6 &gt;= Table4[[#This Row],[EndMP]]), "Yes", "")</f>
        <v/>
      </c>
      <c r="R613" s="1" t="str">
        <f>IF( OR( Table4[[#This Row],[PrimaryMatch]]="Yes", Table4[[#This Row],[SecondaryMatch]]="Yes"), "Yes", "")</f>
        <v/>
      </c>
    </row>
    <row r="614" spans="1:18" hidden="1" x14ac:dyDescent="0.25">
      <c r="A614" t="s">
        <v>884</v>
      </c>
      <c r="B614" t="s">
        <v>3209</v>
      </c>
      <c r="C614" t="s">
        <v>3210</v>
      </c>
      <c r="D614" t="s">
        <v>3797</v>
      </c>
      <c r="E614" s="1">
        <v>9.032</v>
      </c>
      <c r="F614" s="1">
        <v>0</v>
      </c>
      <c r="G614">
        <v>1</v>
      </c>
      <c r="H614">
        <v>2</v>
      </c>
      <c r="I614" t="s">
        <v>2679</v>
      </c>
      <c r="J614" t="s">
        <v>1699</v>
      </c>
      <c r="K614" s="39">
        <v>13.289911999999999</v>
      </c>
      <c r="L614" s="1">
        <v>14.457139</v>
      </c>
      <c r="M614" s="1" t="s">
        <v>3798</v>
      </c>
      <c r="N614" s="1">
        <v>990.96799999999996</v>
      </c>
      <c r="O614" s="1">
        <f>ABS(Table4[[#This Row],[EndMP]]-Table4[[#This Row],[StartMP]])</f>
        <v>9.032</v>
      </c>
      <c r="P614" s="1" t="str">
        <f>IF( AND( Table4[[#This Row],[Route]]=ClosureLocation!$B$3, ClosureLocation!$B$6 &gt;= Table4[[#This Row],[StartMP]], ClosureLocation!$B$6 &lt;= Table4[[#This Row],[EndMP]]), "Yes", "")</f>
        <v/>
      </c>
      <c r="Q614" s="1" t="str">
        <f>IF( AND( Table4[[#This Row],[Route]]=ClosureLocation!$B$3, ClosureLocation!$B$6 &lt;= Table4[[#This Row],[StartMP]], ClosureLocation!$B$6 &gt;= Table4[[#This Row],[EndMP]]), "Yes", "")</f>
        <v/>
      </c>
      <c r="R614" s="1" t="str">
        <f>IF( OR( Table4[[#This Row],[PrimaryMatch]]="Yes", Table4[[#This Row],[SecondaryMatch]]="Yes"), "Yes", "")</f>
        <v/>
      </c>
    </row>
    <row r="615" spans="1:18" hidden="1" x14ac:dyDescent="0.25">
      <c r="A615" t="s">
        <v>884</v>
      </c>
      <c r="B615" t="s">
        <v>3205</v>
      </c>
      <c r="C615" t="s">
        <v>3206</v>
      </c>
      <c r="D615" t="s">
        <v>3795</v>
      </c>
      <c r="E615" s="1">
        <v>0</v>
      </c>
      <c r="F615" s="1">
        <v>9.032</v>
      </c>
      <c r="G615">
        <v>1</v>
      </c>
      <c r="H615">
        <v>1</v>
      </c>
      <c r="I615" t="s">
        <v>2678</v>
      </c>
      <c r="J615" t="s">
        <v>1699</v>
      </c>
      <c r="K615" s="39">
        <v>13.289631999999999</v>
      </c>
      <c r="L615" s="1">
        <v>14.457139</v>
      </c>
      <c r="M615" s="1" t="s">
        <v>3796</v>
      </c>
      <c r="N615" s="1">
        <v>0</v>
      </c>
      <c r="O615" s="1">
        <f>ABS(Table4[[#This Row],[EndMP]]-Table4[[#This Row],[StartMP]])</f>
        <v>9.032</v>
      </c>
      <c r="P615" s="1" t="str">
        <f>IF( AND( Table4[[#This Row],[Route]]=ClosureLocation!$B$3, ClosureLocation!$B$6 &gt;= Table4[[#This Row],[StartMP]], ClosureLocation!$B$6 &lt;= Table4[[#This Row],[EndMP]]), "Yes", "")</f>
        <v/>
      </c>
      <c r="Q615" s="1" t="str">
        <f>IF( AND( Table4[[#This Row],[Route]]=ClosureLocation!$B$3, ClosureLocation!$B$6 &lt;= Table4[[#This Row],[StartMP]], ClosureLocation!$B$6 &gt;= Table4[[#This Row],[EndMP]]), "Yes", "")</f>
        <v/>
      </c>
      <c r="R615" s="1" t="str">
        <f>IF( OR( Table4[[#This Row],[PrimaryMatch]]="Yes", Table4[[#This Row],[SecondaryMatch]]="Yes"), "Yes", "")</f>
        <v/>
      </c>
    </row>
    <row r="616" spans="1:18" hidden="1" x14ac:dyDescent="0.25">
      <c r="A616" t="s">
        <v>394</v>
      </c>
      <c r="B616" t="s">
        <v>3209</v>
      </c>
      <c r="C616" t="s">
        <v>3226</v>
      </c>
      <c r="D616" t="s">
        <v>3487</v>
      </c>
      <c r="E616" s="1">
        <v>102.29300000000001</v>
      </c>
      <c r="F616" s="1">
        <v>96.430999999999997</v>
      </c>
      <c r="G616">
        <v>5</v>
      </c>
      <c r="H616">
        <v>9</v>
      </c>
      <c r="I616" t="s">
        <v>2301</v>
      </c>
      <c r="J616" t="s">
        <v>1704</v>
      </c>
      <c r="K616" s="39">
        <v>13.200616999999999</v>
      </c>
      <c r="L616" s="1">
        <v>9.2615820000000006</v>
      </c>
      <c r="M616" s="1" t="s">
        <v>3491</v>
      </c>
      <c r="N616" s="1">
        <v>897.70699999999999</v>
      </c>
      <c r="O616" s="1">
        <f>ABS(Table4[[#This Row],[EndMP]]-Table4[[#This Row],[StartMP]])</f>
        <v>5.862000000000009</v>
      </c>
      <c r="P616" s="1" t="str">
        <f>IF( AND( Table4[[#This Row],[Route]]=ClosureLocation!$B$3, ClosureLocation!$B$6 &gt;= Table4[[#This Row],[StartMP]], ClosureLocation!$B$6 &lt;= Table4[[#This Row],[EndMP]]), "Yes", "")</f>
        <v/>
      </c>
      <c r="Q616" s="1" t="str">
        <f>IF( AND( Table4[[#This Row],[Route]]=ClosureLocation!$B$3, ClosureLocation!$B$6 &lt;= Table4[[#This Row],[StartMP]], ClosureLocation!$B$6 &gt;= Table4[[#This Row],[EndMP]]), "Yes", "")</f>
        <v/>
      </c>
      <c r="R616" s="1" t="str">
        <f>IF( OR( Table4[[#This Row],[PrimaryMatch]]="Yes", Table4[[#This Row],[SecondaryMatch]]="Yes"), "Yes", "")</f>
        <v/>
      </c>
    </row>
    <row r="617" spans="1:18" hidden="1" x14ac:dyDescent="0.25">
      <c r="A617" t="s">
        <v>1129</v>
      </c>
      <c r="B617" t="s">
        <v>3205</v>
      </c>
      <c r="C617" t="s">
        <v>3222</v>
      </c>
      <c r="D617" t="s">
        <v>3999</v>
      </c>
      <c r="E617" s="1">
        <v>0</v>
      </c>
      <c r="F617" s="1">
        <v>13.138</v>
      </c>
      <c r="G617">
        <v>1</v>
      </c>
      <c r="H617">
        <v>1</v>
      </c>
      <c r="I617" t="s">
        <v>2864</v>
      </c>
      <c r="J617" t="s">
        <v>1689</v>
      </c>
      <c r="K617" s="39">
        <v>13.186617999999999</v>
      </c>
      <c r="L617" s="1">
        <v>12.036921</v>
      </c>
      <c r="M617" s="1" t="s">
        <v>4000</v>
      </c>
      <c r="N617" s="1">
        <v>0</v>
      </c>
      <c r="O617" s="1">
        <f>ABS(Table4[[#This Row],[EndMP]]-Table4[[#This Row],[StartMP]])</f>
        <v>13.138</v>
      </c>
      <c r="P617" s="1" t="str">
        <f>IF( AND( Table4[[#This Row],[Route]]=ClosureLocation!$B$3, ClosureLocation!$B$6 &gt;= Table4[[#This Row],[StartMP]], ClosureLocation!$B$6 &lt;= Table4[[#This Row],[EndMP]]), "Yes", "")</f>
        <v/>
      </c>
      <c r="Q617" s="1" t="str">
        <f>IF( AND( Table4[[#This Row],[Route]]=ClosureLocation!$B$3, ClosureLocation!$B$6 &lt;= Table4[[#This Row],[StartMP]], ClosureLocation!$B$6 &gt;= Table4[[#This Row],[EndMP]]), "Yes", "")</f>
        <v/>
      </c>
      <c r="R617" s="1" t="str">
        <f>IF( OR( Table4[[#This Row],[PrimaryMatch]]="Yes", Table4[[#This Row],[SecondaryMatch]]="Yes"), "Yes", "")</f>
        <v/>
      </c>
    </row>
    <row r="618" spans="1:18" hidden="1" x14ac:dyDescent="0.25">
      <c r="A618" t="s">
        <v>1129</v>
      </c>
      <c r="B618" t="s">
        <v>3209</v>
      </c>
      <c r="C618" t="s">
        <v>3226</v>
      </c>
      <c r="D618" t="s">
        <v>4002</v>
      </c>
      <c r="E618" s="1">
        <v>13.138</v>
      </c>
      <c r="F618" s="1">
        <v>0</v>
      </c>
      <c r="G618">
        <v>2</v>
      </c>
      <c r="H618">
        <v>4</v>
      </c>
      <c r="I618" t="s">
        <v>2867</v>
      </c>
      <c r="J618" t="s">
        <v>1689</v>
      </c>
      <c r="K618" s="39">
        <v>13.186457000000001</v>
      </c>
      <c r="L618" s="1">
        <v>12.036921</v>
      </c>
      <c r="M618" s="1" t="s">
        <v>3380</v>
      </c>
      <c r="N618" s="1">
        <v>986.86199999999997</v>
      </c>
      <c r="O618" s="1">
        <f>ABS(Table4[[#This Row],[EndMP]]-Table4[[#This Row],[StartMP]])</f>
        <v>13.138</v>
      </c>
      <c r="P618" s="1" t="str">
        <f>IF( AND( Table4[[#This Row],[Route]]=ClosureLocation!$B$3, ClosureLocation!$B$6 &gt;= Table4[[#This Row],[StartMP]], ClosureLocation!$B$6 &lt;= Table4[[#This Row],[EndMP]]), "Yes", "")</f>
        <v/>
      </c>
      <c r="Q618" s="1" t="str">
        <f>IF( AND( Table4[[#This Row],[Route]]=ClosureLocation!$B$3, ClosureLocation!$B$6 &lt;= Table4[[#This Row],[StartMP]], ClosureLocation!$B$6 &gt;= Table4[[#This Row],[EndMP]]), "Yes", "")</f>
        <v/>
      </c>
      <c r="R618" s="1" t="str">
        <f>IF( OR( Table4[[#This Row],[PrimaryMatch]]="Yes", Table4[[#This Row],[SecondaryMatch]]="Yes"), "Yes", "")</f>
        <v/>
      </c>
    </row>
    <row r="619" spans="1:18" hidden="1" x14ac:dyDescent="0.25">
      <c r="A619" t="s">
        <v>990</v>
      </c>
      <c r="B619" t="s">
        <v>3209</v>
      </c>
      <c r="C619" t="s">
        <v>3210</v>
      </c>
      <c r="D619" t="s">
        <v>3889</v>
      </c>
      <c r="E619" s="1">
        <v>241.33199999999999</v>
      </c>
      <c r="F619" s="1">
        <v>230.767</v>
      </c>
      <c r="G619">
        <v>6</v>
      </c>
      <c r="H619">
        <v>11</v>
      </c>
      <c r="I619" t="s">
        <v>2789</v>
      </c>
      <c r="J619" t="s">
        <v>1693</v>
      </c>
      <c r="K619" s="39">
        <v>13.150410000000001</v>
      </c>
      <c r="L619" s="1">
        <v>13.114737</v>
      </c>
      <c r="M619" s="1" t="s">
        <v>3895</v>
      </c>
      <c r="N619" s="1">
        <v>758.66800000000001</v>
      </c>
      <c r="O619" s="1">
        <f>ABS(Table4[[#This Row],[EndMP]]-Table4[[#This Row],[StartMP]])</f>
        <v>10.564999999999998</v>
      </c>
      <c r="P619" s="1" t="str">
        <f>IF( AND( Table4[[#This Row],[Route]]=ClosureLocation!$B$3, ClosureLocation!$B$6 &gt;= Table4[[#This Row],[StartMP]], ClosureLocation!$B$6 &lt;= Table4[[#This Row],[EndMP]]), "Yes", "")</f>
        <v/>
      </c>
      <c r="Q619" s="1" t="str">
        <f>IF( AND( Table4[[#This Row],[Route]]=ClosureLocation!$B$3, ClosureLocation!$B$6 &lt;= Table4[[#This Row],[StartMP]], ClosureLocation!$B$6 &gt;= Table4[[#This Row],[EndMP]]), "Yes", "")</f>
        <v/>
      </c>
      <c r="R619" s="1" t="str">
        <f>IF( OR( Table4[[#This Row],[PrimaryMatch]]="Yes", Table4[[#This Row],[SecondaryMatch]]="Yes"), "Yes", "")</f>
        <v/>
      </c>
    </row>
    <row r="620" spans="1:18" hidden="1" x14ac:dyDescent="0.25">
      <c r="A620" t="s">
        <v>602</v>
      </c>
      <c r="B620" t="s">
        <v>3205</v>
      </c>
      <c r="C620" t="s">
        <v>3222</v>
      </c>
      <c r="D620" t="s">
        <v>3612</v>
      </c>
      <c r="E620" s="1">
        <v>290.03100000000001</v>
      </c>
      <c r="F620" s="1">
        <v>294.339</v>
      </c>
      <c r="G620">
        <v>17</v>
      </c>
      <c r="H620">
        <v>6</v>
      </c>
      <c r="I620" t="s">
        <v>2424</v>
      </c>
      <c r="J620" t="s">
        <v>1700</v>
      </c>
      <c r="K620" s="39">
        <v>13.085820999999999</v>
      </c>
      <c r="L620" s="1">
        <v>5.4738730000000002</v>
      </c>
      <c r="M620" s="1" t="s">
        <v>3624</v>
      </c>
      <c r="N620" s="1">
        <v>290.03100000000001</v>
      </c>
      <c r="O620" s="1">
        <f>ABS(Table4[[#This Row],[EndMP]]-Table4[[#This Row],[StartMP]])</f>
        <v>4.3079999999999927</v>
      </c>
      <c r="P620" s="1" t="str">
        <f>IF( AND( Table4[[#This Row],[Route]]=ClosureLocation!$B$3, ClosureLocation!$B$6 &gt;= Table4[[#This Row],[StartMP]], ClosureLocation!$B$6 &lt;= Table4[[#This Row],[EndMP]]), "Yes", "")</f>
        <v/>
      </c>
      <c r="Q620" s="1" t="str">
        <f>IF( AND( Table4[[#This Row],[Route]]=ClosureLocation!$B$3, ClosureLocation!$B$6 &lt;= Table4[[#This Row],[StartMP]], ClosureLocation!$B$6 &gt;= Table4[[#This Row],[EndMP]]), "Yes", "")</f>
        <v/>
      </c>
      <c r="R620" s="1" t="str">
        <f>IF( OR( Table4[[#This Row],[PrimaryMatch]]="Yes", Table4[[#This Row],[SecondaryMatch]]="Yes"), "Yes", "")</f>
        <v/>
      </c>
    </row>
    <row r="621" spans="1:18" hidden="1" x14ac:dyDescent="0.25">
      <c r="A621" t="s">
        <v>887</v>
      </c>
      <c r="B621" t="s">
        <v>3209</v>
      </c>
      <c r="C621" t="s">
        <v>3210</v>
      </c>
      <c r="D621" t="s">
        <v>3801</v>
      </c>
      <c r="E621" s="1">
        <v>14.539</v>
      </c>
      <c r="F621" s="1">
        <v>9.6010000000000009</v>
      </c>
      <c r="G621">
        <v>1</v>
      </c>
      <c r="H621">
        <v>2</v>
      </c>
      <c r="I621" t="s">
        <v>2681</v>
      </c>
      <c r="J621" t="s">
        <v>1699</v>
      </c>
      <c r="K621" s="39">
        <v>13.082077999999999</v>
      </c>
      <c r="L621" s="1">
        <v>13.449776999999999</v>
      </c>
      <c r="M621" s="1" t="s">
        <v>3802</v>
      </c>
      <c r="N621" s="1">
        <v>985.46100000000001</v>
      </c>
      <c r="O621" s="1">
        <f>ABS(Table4[[#This Row],[EndMP]]-Table4[[#This Row],[StartMP]])</f>
        <v>4.9379999999999988</v>
      </c>
      <c r="P621" s="1" t="str">
        <f>IF( AND( Table4[[#This Row],[Route]]=ClosureLocation!$B$3, ClosureLocation!$B$6 &gt;= Table4[[#This Row],[StartMP]], ClosureLocation!$B$6 &lt;= Table4[[#This Row],[EndMP]]), "Yes", "")</f>
        <v/>
      </c>
      <c r="Q621" s="1" t="str">
        <f>IF( AND( Table4[[#This Row],[Route]]=ClosureLocation!$B$3, ClosureLocation!$B$6 &lt;= Table4[[#This Row],[StartMP]], ClosureLocation!$B$6 &gt;= Table4[[#This Row],[EndMP]]), "Yes", "")</f>
        <v/>
      </c>
      <c r="R621" s="1" t="str">
        <f>IF( OR( Table4[[#This Row],[PrimaryMatch]]="Yes", Table4[[#This Row],[SecondaryMatch]]="Yes"), "Yes", "")</f>
        <v/>
      </c>
    </row>
    <row r="622" spans="1:18" hidden="1" x14ac:dyDescent="0.25">
      <c r="A622" t="s">
        <v>602</v>
      </c>
      <c r="B622" t="s">
        <v>3205</v>
      </c>
      <c r="C622" t="s">
        <v>3222</v>
      </c>
      <c r="D622" t="s">
        <v>3612</v>
      </c>
      <c r="E622" s="1">
        <v>312.10399999999998</v>
      </c>
      <c r="F622" s="1">
        <v>314.56</v>
      </c>
      <c r="G622">
        <v>18</v>
      </c>
      <c r="H622">
        <v>7</v>
      </c>
      <c r="I622" t="s">
        <v>2425</v>
      </c>
      <c r="J622" t="s">
        <v>1700</v>
      </c>
      <c r="K622" s="39">
        <v>13.013982</v>
      </c>
      <c r="L622" s="1">
        <v>9.1738420000000005</v>
      </c>
      <c r="M622" s="1" t="s">
        <v>3625</v>
      </c>
      <c r="N622" s="1">
        <v>312.10399999999998</v>
      </c>
      <c r="O622" s="1">
        <f>ABS(Table4[[#This Row],[EndMP]]-Table4[[#This Row],[StartMP]])</f>
        <v>2.4560000000000173</v>
      </c>
      <c r="P622" s="1" t="str">
        <f>IF( AND( Table4[[#This Row],[Route]]=ClosureLocation!$B$3, ClosureLocation!$B$6 &gt;= Table4[[#This Row],[StartMP]], ClosureLocation!$B$6 &lt;= Table4[[#This Row],[EndMP]]), "Yes", "")</f>
        <v/>
      </c>
      <c r="Q622" s="1" t="str">
        <f>IF( AND( Table4[[#This Row],[Route]]=ClosureLocation!$B$3, ClosureLocation!$B$6 &lt;= Table4[[#This Row],[StartMP]], ClosureLocation!$B$6 &gt;= Table4[[#This Row],[EndMP]]), "Yes", "")</f>
        <v/>
      </c>
      <c r="R622" s="1" t="str">
        <f>IF( OR( Table4[[#This Row],[PrimaryMatch]]="Yes", Table4[[#This Row],[SecondaryMatch]]="Yes"), "Yes", "")</f>
        <v/>
      </c>
    </row>
    <row r="623" spans="1:18" hidden="1" x14ac:dyDescent="0.25">
      <c r="A623" t="s">
        <v>951</v>
      </c>
      <c r="B623" t="s">
        <v>3205</v>
      </c>
      <c r="C623" t="s">
        <v>3206</v>
      </c>
      <c r="D623" t="s">
        <v>3847</v>
      </c>
      <c r="E623" s="1">
        <v>0.20300000000000001</v>
      </c>
      <c r="F623" s="1">
        <v>1.24</v>
      </c>
      <c r="G623">
        <v>1</v>
      </c>
      <c r="H623">
        <v>1</v>
      </c>
      <c r="I623" t="s">
        <v>2751</v>
      </c>
      <c r="J623" t="s">
        <v>1689</v>
      </c>
      <c r="K623" s="39">
        <v>12.992571</v>
      </c>
      <c r="L623" s="1">
        <v>11.533549000000001</v>
      </c>
      <c r="M623" s="1" t="s">
        <v>3848</v>
      </c>
      <c r="N623" s="1">
        <v>0.20300000000000001</v>
      </c>
      <c r="O623" s="1">
        <f>ABS(Table4[[#This Row],[EndMP]]-Table4[[#This Row],[StartMP]])</f>
        <v>1.0369999999999999</v>
      </c>
      <c r="P623" s="1" t="str">
        <f>IF( AND( Table4[[#This Row],[Route]]=ClosureLocation!$B$3, ClosureLocation!$B$6 &gt;= Table4[[#This Row],[StartMP]], ClosureLocation!$B$6 &lt;= Table4[[#This Row],[EndMP]]), "Yes", "")</f>
        <v/>
      </c>
      <c r="Q623" s="1" t="str">
        <f>IF( AND( Table4[[#This Row],[Route]]=ClosureLocation!$B$3, ClosureLocation!$B$6 &lt;= Table4[[#This Row],[StartMP]], ClosureLocation!$B$6 &gt;= Table4[[#This Row],[EndMP]]), "Yes", "")</f>
        <v/>
      </c>
      <c r="R623" s="1" t="str">
        <f>IF( OR( Table4[[#This Row],[PrimaryMatch]]="Yes", Table4[[#This Row],[SecondaryMatch]]="Yes"), "Yes", "")</f>
        <v/>
      </c>
    </row>
    <row r="624" spans="1:18" hidden="1" x14ac:dyDescent="0.25">
      <c r="A624" t="s">
        <v>485</v>
      </c>
      <c r="B624" t="s">
        <v>3205</v>
      </c>
      <c r="C624" t="s">
        <v>3222</v>
      </c>
      <c r="D624" t="s">
        <v>3543</v>
      </c>
      <c r="E624" s="1">
        <v>100.937</v>
      </c>
      <c r="F624" s="1">
        <v>100.992</v>
      </c>
      <c r="H624">
        <v>1</v>
      </c>
      <c r="I624" t="s">
        <v>2344</v>
      </c>
      <c r="J624" t="s">
        <v>1707</v>
      </c>
      <c r="K624" s="39">
        <v>12.943312000000001</v>
      </c>
      <c r="L624" s="1">
        <v>11.829767</v>
      </c>
      <c r="M624" s="1" t="s">
        <v>3546</v>
      </c>
      <c r="N624" s="1">
        <v>100.937</v>
      </c>
      <c r="O624" s="1">
        <f>ABS(Table4[[#This Row],[EndMP]]-Table4[[#This Row],[StartMP]])</f>
        <v>5.5000000000006821E-2</v>
      </c>
      <c r="P624" s="1" t="str">
        <f>IF( AND( Table4[[#This Row],[Route]]=ClosureLocation!$B$3, ClosureLocation!$B$6 &gt;= Table4[[#This Row],[StartMP]], ClosureLocation!$B$6 &lt;= Table4[[#This Row],[EndMP]]), "Yes", "")</f>
        <v/>
      </c>
      <c r="Q624" s="1" t="str">
        <f>IF( AND( Table4[[#This Row],[Route]]=ClosureLocation!$B$3, ClosureLocation!$B$6 &lt;= Table4[[#This Row],[StartMP]], ClosureLocation!$B$6 &gt;= Table4[[#This Row],[EndMP]]), "Yes", "")</f>
        <v/>
      </c>
      <c r="R624" s="1" t="str">
        <f>IF( OR( Table4[[#This Row],[PrimaryMatch]]="Yes", Table4[[#This Row],[SecondaryMatch]]="Yes"), "Yes", "")</f>
        <v/>
      </c>
    </row>
    <row r="625" spans="1:18" hidden="1" x14ac:dyDescent="0.25">
      <c r="A625" t="s">
        <v>1167</v>
      </c>
      <c r="B625" t="s">
        <v>3205</v>
      </c>
      <c r="C625" t="s">
        <v>3222</v>
      </c>
      <c r="D625" t="s">
        <v>4024</v>
      </c>
      <c r="E625" s="1">
        <v>56.201999999999998</v>
      </c>
      <c r="F625" s="1">
        <v>59.088999999999999</v>
      </c>
      <c r="G625">
        <v>4</v>
      </c>
      <c r="H625">
        <v>4</v>
      </c>
      <c r="I625" t="s">
        <v>2887</v>
      </c>
      <c r="J625" t="s">
        <v>1689</v>
      </c>
      <c r="K625" s="39">
        <v>12.903009000000001</v>
      </c>
      <c r="L625" s="1">
        <v>12.338312999999999</v>
      </c>
      <c r="M625" s="1" t="s">
        <v>4028</v>
      </c>
      <c r="N625" s="1">
        <v>56.201999999999998</v>
      </c>
      <c r="O625" s="1">
        <f>ABS(Table4[[#This Row],[EndMP]]-Table4[[#This Row],[StartMP]])</f>
        <v>2.8870000000000005</v>
      </c>
      <c r="P625" s="1" t="str">
        <f>IF( AND( Table4[[#This Row],[Route]]=ClosureLocation!$B$3, ClosureLocation!$B$6 &gt;= Table4[[#This Row],[StartMP]], ClosureLocation!$B$6 &lt;= Table4[[#This Row],[EndMP]]), "Yes", "")</f>
        <v/>
      </c>
      <c r="Q625" s="1" t="str">
        <f>IF( AND( Table4[[#This Row],[Route]]=ClosureLocation!$B$3, ClosureLocation!$B$6 &lt;= Table4[[#This Row],[StartMP]], ClosureLocation!$B$6 &gt;= Table4[[#This Row],[EndMP]]), "Yes", "")</f>
        <v/>
      </c>
      <c r="R625" s="1" t="str">
        <f>IF( OR( Table4[[#This Row],[PrimaryMatch]]="Yes", Table4[[#This Row],[SecondaryMatch]]="Yes"), "Yes", "")</f>
        <v/>
      </c>
    </row>
    <row r="626" spans="1:18" hidden="1" x14ac:dyDescent="0.25">
      <c r="A626" t="s">
        <v>902</v>
      </c>
      <c r="B626" t="s">
        <v>3209</v>
      </c>
      <c r="C626" t="s">
        <v>3222</v>
      </c>
      <c r="D626" t="s">
        <v>3827</v>
      </c>
      <c r="E626" s="1">
        <v>29.378</v>
      </c>
      <c r="F626" s="1">
        <v>10.659000000000001</v>
      </c>
      <c r="G626">
        <v>1</v>
      </c>
      <c r="H626">
        <v>1</v>
      </c>
      <c r="I626" t="s">
        <v>2702</v>
      </c>
      <c r="J626" t="s">
        <v>1693</v>
      </c>
      <c r="K626" s="39">
        <v>12.894969</v>
      </c>
      <c r="L626" s="1">
        <v>10.871273</v>
      </c>
      <c r="M626" s="1" t="s">
        <v>3828</v>
      </c>
      <c r="N626" s="1">
        <v>970.62199999999996</v>
      </c>
      <c r="O626" s="1">
        <f>ABS(Table4[[#This Row],[EndMP]]-Table4[[#This Row],[StartMP]])</f>
        <v>18.719000000000001</v>
      </c>
      <c r="P626" s="1" t="str">
        <f>IF( AND( Table4[[#This Row],[Route]]=ClosureLocation!$B$3, ClosureLocation!$B$6 &gt;= Table4[[#This Row],[StartMP]], ClosureLocation!$B$6 &lt;= Table4[[#This Row],[EndMP]]), "Yes", "")</f>
        <v/>
      </c>
      <c r="Q626" s="1" t="str">
        <f>IF( AND( Table4[[#This Row],[Route]]=ClosureLocation!$B$3, ClosureLocation!$B$6 &lt;= Table4[[#This Row],[StartMP]], ClosureLocation!$B$6 &gt;= Table4[[#This Row],[EndMP]]), "Yes", "")</f>
        <v/>
      </c>
      <c r="R626" s="1" t="str">
        <f>IF( OR( Table4[[#This Row],[PrimaryMatch]]="Yes", Table4[[#This Row],[SecondaryMatch]]="Yes"), "Yes", "")</f>
        <v/>
      </c>
    </row>
    <row r="627" spans="1:18" hidden="1" x14ac:dyDescent="0.25">
      <c r="A627" t="s">
        <v>602</v>
      </c>
      <c r="B627" t="s">
        <v>3209</v>
      </c>
      <c r="C627" t="s">
        <v>3226</v>
      </c>
      <c r="D627" t="s">
        <v>3626</v>
      </c>
      <c r="E627" s="1">
        <v>285.63299999999998</v>
      </c>
      <c r="F627" s="1">
        <v>278.70400000000001</v>
      </c>
      <c r="G627">
        <v>5</v>
      </c>
      <c r="H627">
        <v>12</v>
      </c>
      <c r="I627" t="s">
        <v>2430</v>
      </c>
      <c r="J627" t="s">
        <v>1700</v>
      </c>
      <c r="K627" s="39">
        <v>12.804395</v>
      </c>
      <c r="L627" s="1">
        <v>2.9218299999999999</v>
      </c>
      <c r="M627" s="1" t="s">
        <v>1140</v>
      </c>
      <c r="N627" s="1">
        <v>714.36699999999996</v>
      </c>
      <c r="O627" s="1">
        <f>ABS(Table4[[#This Row],[EndMP]]-Table4[[#This Row],[StartMP]])</f>
        <v>6.9289999999999736</v>
      </c>
      <c r="P627" s="1" t="str">
        <f>IF( AND( Table4[[#This Row],[Route]]=ClosureLocation!$B$3, ClosureLocation!$B$6 &gt;= Table4[[#This Row],[StartMP]], ClosureLocation!$B$6 &lt;= Table4[[#This Row],[EndMP]]), "Yes", "")</f>
        <v/>
      </c>
      <c r="Q627" s="1" t="str">
        <f>IF( AND( Table4[[#This Row],[Route]]=ClosureLocation!$B$3, ClosureLocation!$B$6 &lt;= Table4[[#This Row],[StartMP]], ClosureLocation!$B$6 &gt;= Table4[[#This Row],[EndMP]]), "Yes", "")</f>
        <v/>
      </c>
      <c r="R627" s="1" t="str">
        <f>IF( OR( Table4[[#This Row],[PrimaryMatch]]="Yes", Table4[[#This Row],[SecondaryMatch]]="Yes"), "Yes", "")</f>
        <v/>
      </c>
    </row>
    <row r="628" spans="1:18" hidden="1" x14ac:dyDescent="0.25">
      <c r="A628" t="s">
        <v>1630</v>
      </c>
      <c r="B628" t="s">
        <v>3205</v>
      </c>
      <c r="C628" t="s">
        <v>3222</v>
      </c>
      <c r="D628" t="s">
        <v>4378</v>
      </c>
      <c r="E628" s="1">
        <v>95.305000000000007</v>
      </c>
      <c r="F628" s="1">
        <v>99.911000000000001</v>
      </c>
      <c r="G628">
        <v>1</v>
      </c>
      <c r="H628">
        <v>1</v>
      </c>
      <c r="I628" t="s">
        <v>3167</v>
      </c>
      <c r="J628" t="s">
        <v>1691</v>
      </c>
      <c r="K628" s="39">
        <v>12.790152000000001</v>
      </c>
      <c r="L628" s="1">
        <v>9.9092599999999997</v>
      </c>
      <c r="M628" s="1" t="s">
        <v>4379</v>
      </c>
      <c r="N628" s="1">
        <v>95.305000000000007</v>
      </c>
      <c r="O628" s="1">
        <f>ABS(Table4[[#This Row],[EndMP]]-Table4[[#This Row],[StartMP]])</f>
        <v>4.6059999999999945</v>
      </c>
      <c r="P628" s="1" t="str">
        <f>IF( AND( Table4[[#This Row],[Route]]=ClosureLocation!$B$3, ClosureLocation!$B$6 &gt;= Table4[[#This Row],[StartMP]], ClosureLocation!$B$6 &lt;= Table4[[#This Row],[EndMP]]), "Yes", "")</f>
        <v/>
      </c>
      <c r="Q628" s="1" t="str">
        <f>IF( AND( Table4[[#This Row],[Route]]=ClosureLocation!$B$3, ClosureLocation!$B$6 &lt;= Table4[[#This Row],[StartMP]], ClosureLocation!$B$6 &gt;= Table4[[#This Row],[EndMP]]), "Yes", "")</f>
        <v/>
      </c>
      <c r="R628" s="1" t="str">
        <f>IF( OR( Table4[[#This Row],[PrimaryMatch]]="Yes", Table4[[#This Row],[SecondaryMatch]]="Yes"), "Yes", "")</f>
        <v/>
      </c>
    </row>
    <row r="629" spans="1:18" hidden="1" x14ac:dyDescent="0.25">
      <c r="A629" t="s">
        <v>602</v>
      </c>
      <c r="B629" t="s">
        <v>3205</v>
      </c>
      <c r="C629" t="s">
        <v>3222</v>
      </c>
      <c r="D629" t="s">
        <v>3612</v>
      </c>
      <c r="E629" s="1">
        <v>278.70400000000001</v>
      </c>
      <c r="F629" s="1">
        <v>285.63299999999998</v>
      </c>
      <c r="G629">
        <v>15</v>
      </c>
      <c r="H629">
        <v>4</v>
      </c>
      <c r="I629" t="s">
        <v>2422</v>
      </c>
      <c r="J629" t="s">
        <v>1700</v>
      </c>
      <c r="K629" s="39">
        <v>12.774288</v>
      </c>
      <c r="L629" s="1">
        <v>2.8747280000000002</v>
      </c>
      <c r="M629" s="1" t="s">
        <v>1140</v>
      </c>
      <c r="N629" s="1">
        <v>278.70400000000001</v>
      </c>
      <c r="O629" s="1">
        <f>ABS(Table4[[#This Row],[EndMP]]-Table4[[#This Row],[StartMP]])</f>
        <v>6.9289999999999736</v>
      </c>
      <c r="P629" s="1" t="str">
        <f>IF( AND( Table4[[#This Row],[Route]]=ClosureLocation!$B$3, ClosureLocation!$B$6 &gt;= Table4[[#This Row],[StartMP]], ClosureLocation!$B$6 &lt;= Table4[[#This Row],[EndMP]]), "Yes", "")</f>
        <v/>
      </c>
      <c r="Q629" s="1" t="str">
        <f>IF( AND( Table4[[#This Row],[Route]]=ClosureLocation!$B$3, ClosureLocation!$B$6 &lt;= Table4[[#This Row],[StartMP]], ClosureLocation!$B$6 &gt;= Table4[[#This Row],[EndMP]]), "Yes", "")</f>
        <v/>
      </c>
      <c r="R629" s="1" t="str">
        <f>IF( OR( Table4[[#This Row],[PrimaryMatch]]="Yes", Table4[[#This Row],[SecondaryMatch]]="Yes"), "Yes", "")</f>
        <v/>
      </c>
    </row>
    <row r="630" spans="1:18" hidden="1" x14ac:dyDescent="0.25">
      <c r="A630" t="s">
        <v>864</v>
      </c>
      <c r="B630" t="s">
        <v>3205</v>
      </c>
      <c r="C630" t="s">
        <v>3222</v>
      </c>
      <c r="D630" t="s">
        <v>3781</v>
      </c>
      <c r="E630" s="1">
        <v>0</v>
      </c>
      <c r="F630" s="1">
        <v>0.28599999999999998</v>
      </c>
      <c r="G630">
        <v>1</v>
      </c>
      <c r="H630">
        <v>1</v>
      </c>
      <c r="I630" t="s">
        <v>3782</v>
      </c>
      <c r="J630" t="s">
        <v>1699</v>
      </c>
      <c r="K630" s="39">
        <v>12.768836</v>
      </c>
      <c r="L630" s="1">
        <v>12.105517000000001</v>
      </c>
      <c r="M630" s="1" t="s">
        <v>3783</v>
      </c>
      <c r="N630" s="1">
        <v>0</v>
      </c>
      <c r="O630" s="1">
        <f>ABS(Table4[[#This Row],[EndMP]]-Table4[[#This Row],[StartMP]])</f>
        <v>0.28599999999999998</v>
      </c>
      <c r="P630" s="1" t="str">
        <f>IF( AND( Table4[[#This Row],[Route]]=ClosureLocation!$B$3, ClosureLocation!$B$6 &gt;= Table4[[#This Row],[StartMP]], ClosureLocation!$B$6 &lt;= Table4[[#This Row],[EndMP]]), "Yes", "")</f>
        <v/>
      </c>
      <c r="Q630" s="1" t="str">
        <f>IF( AND( Table4[[#This Row],[Route]]=ClosureLocation!$B$3, ClosureLocation!$B$6 &lt;= Table4[[#This Row],[StartMP]], ClosureLocation!$B$6 &gt;= Table4[[#This Row],[EndMP]]), "Yes", "")</f>
        <v/>
      </c>
      <c r="R630" s="1" t="str">
        <f>IF( OR( Table4[[#This Row],[PrimaryMatch]]="Yes", Table4[[#This Row],[SecondaryMatch]]="Yes"), "Yes", "")</f>
        <v/>
      </c>
    </row>
    <row r="631" spans="1:18" hidden="1" x14ac:dyDescent="0.25">
      <c r="A631" t="s">
        <v>310</v>
      </c>
      <c r="B631" t="s">
        <v>3205</v>
      </c>
      <c r="C631" t="s">
        <v>3206</v>
      </c>
      <c r="D631" t="s">
        <v>3427</v>
      </c>
      <c r="E631" s="1">
        <v>184.58799999999999</v>
      </c>
      <c r="F631" s="1">
        <v>193.82</v>
      </c>
      <c r="G631">
        <v>13</v>
      </c>
      <c r="H631">
        <v>2</v>
      </c>
      <c r="I631" t="s">
        <v>2219</v>
      </c>
      <c r="J631" t="s">
        <v>1700</v>
      </c>
      <c r="K631" s="39">
        <v>12.709898000000001</v>
      </c>
      <c r="L631" s="1">
        <v>2.8948830000000001</v>
      </c>
      <c r="M631" s="1" t="s">
        <v>3430</v>
      </c>
      <c r="N631" s="1">
        <v>184.58799999999999</v>
      </c>
      <c r="O631" s="1">
        <f>ABS(Table4[[#This Row],[EndMP]]-Table4[[#This Row],[StartMP]])</f>
        <v>9.2319999999999993</v>
      </c>
      <c r="P631" s="1" t="str">
        <f>IF( AND( Table4[[#This Row],[Route]]=ClosureLocation!$B$3, ClosureLocation!$B$6 &gt;= Table4[[#This Row],[StartMP]], ClosureLocation!$B$6 &lt;= Table4[[#This Row],[EndMP]]), "Yes", "")</f>
        <v/>
      </c>
      <c r="Q631" s="1" t="str">
        <f>IF( AND( Table4[[#This Row],[Route]]=ClosureLocation!$B$3, ClosureLocation!$B$6 &lt;= Table4[[#This Row],[StartMP]], ClosureLocation!$B$6 &gt;= Table4[[#This Row],[EndMP]]), "Yes", "")</f>
        <v/>
      </c>
      <c r="R631" s="1" t="str">
        <f>IF( OR( Table4[[#This Row],[PrimaryMatch]]="Yes", Table4[[#This Row],[SecondaryMatch]]="Yes"), "Yes", "")</f>
        <v/>
      </c>
    </row>
    <row r="632" spans="1:18" hidden="1" x14ac:dyDescent="0.25">
      <c r="A632" t="s">
        <v>602</v>
      </c>
      <c r="B632" t="s">
        <v>3209</v>
      </c>
      <c r="C632" t="s">
        <v>3226</v>
      </c>
      <c r="D632" t="s">
        <v>3626</v>
      </c>
      <c r="E632" s="1">
        <v>314.56</v>
      </c>
      <c r="F632" s="1">
        <v>312.08800000000002</v>
      </c>
      <c r="G632">
        <v>1</v>
      </c>
      <c r="H632">
        <v>8</v>
      </c>
      <c r="I632" t="s">
        <v>2426</v>
      </c>
      <c r="J632" t="s">
        <v>1700</v>
      </c>
      <c r="K632" s="39">
        <v>12.688086</v>
      </c>
      <c r="L632" s="1">
        <v>9.0916060000000005</v>
      </c>
      <c r="M632" s="1" t="s">
        <v>3627</v>
      </c>
      <c r="N632" s="1">
        <v>685.44</v>
      </c>
      <c r="O632" s="1">
        <f>ABS(Table4[[#This Row],[EndMP]]-Table4[[#This Row],[StartMP]])</f>
        <v>2.47199999999998</v>
      </c>
      <c r="P632" s="1" t="str">
        <f>IF( AND( Table4[[#This Row],[Route]]=ClosureLocation!$B$3, ClosureLocation!$B$6 &gt;= Table4[[#This Row],[StartMP]], ClosureLocation!$B$6 &lt;= Table4[[#This Row],[EndMP]]), "Yes", "")</f>
        <v/>
      </c>
      <c r="Q632" s="1" t="str">
        <f>IF( AND( Table4[[#This Row],[Route]]=ClosureLocation!$B$3, ClosureLocation!$B$6 &lt;= Table4[[#This Row],[StartMP]], ClosureLocation!$B$6 &gt;= Table4[[#This Row],[EndMP]]), "Yes", "")</f>
        <v/>
      </c>
      <c r="R632" s="1" t="str">
        <f>IF( OR( Table4[[#This Row],[PrimaryMatch]]="Yes", Table4[[#This Row],[SecondaryMatch]]="Yes"), "Yes", "")</f>
        <v/>
      </c>
    </row>
    <row r="633" spans="1:18" hidden="1" x14ac:dyDescent="0.25">
      <c r="A633" t="s">
        <v>864</v>
      </c>
      <c r="B633" t="s">
        <v>3209</v>
      </c>
      <c r="C633" t="s">
        <v>3226</v>
      </c>
      <c r="D633" t="s">
        <v>3784</v>
      </c>
      <c r="E633" s="1">
        <v>0.28599999999999998</v>
      </c>
      <c r="F633" s="1">
        <v>0</v>
      </c>
      <c r="G633">
        <v>1</v>
      </c>
      <c r="H633">
        <v>2</v>
      </c>
      <c r="I633" t="s">
        <v>3785</v>
      </c>
      <c r="J633" t="s">
        <v>1699</v>
      </c>
      <c r="K633" s="39">
        <v>12.687882</v>
      </c>
      <c r="L633" s="1">
        <v>12.090089000000001</v>
      </c>
      <c r="M633" s="1" t="s">
        <v>3786</v>
      </c>
      <c r="N633" s="1">
        <v>999.71400000000006</v>
      </c>
      <c r="O633" s="1">
        <f>ABS(Table4[[#This Row],[EndMP]]-Table4[[#This Row],[StartMP]])</f>
        <v>0.28599999999999998</v>
      </c>
      <c r="P633" s="1" t="str">
        <f>IF( AND( Table4[[#This Row],[Route]]=ClosureLocation!$B$3, ClosureLocation!$B$6 &gt;= Table4[[#This Row],[StartMP]], ClosureLocation!$B$6 &lt;= Table4[[#This Row],[EndMP]]), "Yes", "")</f>
        <v/>
      </c>
      <c r="Q633" s="1" t="str">
        <f>IF( AND( Table4[[#This Row],[Route]]=ClosureLocation!$B$3, ClosureLocation!$B$6 &lt;= Table4[[#This Row],[StartMP]], ClosureLocation!$B$6 &gt;= Table4[[#This Row],[EndMP]]), "Yes", "")</f>
        <v/>
      </c>
      <c r="R633" s="1" t="str">
        <f>IF( OR( Table4[[#This Row],[PrimaryMatch]]="Yes", Table4[[#This Row],[SecondaryMatch]]="Yes"), "Yes", "")</f>
        <v/>
      </c>
    </row>
    <row r="634" spans="1:18" hidden="1" x14ac:dyDescent="0.25">
      <c r="A634" t="s">
        <v>413</v>
      </c>
      <c r="B634" t="s">
        <v>3205</v>
      </c>
      <c r="C634" t="s">
        <v>3222</v>
      </c>
      <c r="D634" t="s">
        <v>3497</v>
      </c>
      <c r="E634" s="1">
        <v>173.852</v>
      </c>
      <c r="F634" s="1">
        <v>259.529</v>
      </c>
      <c r="H634">
        <v>2</v>
      </c>
      <c r="I634" t="s">
        <v>2309</v>
      </c>
      <c r="J634" t="s">
        <v>1707</v>
      </c>
      <c r="K634" s="39">
        <v>12.658555</v>
      </c>
      <c r="L634" s="1">
        <v>12.408988000000001</v>
      </c>
      <c r="M634" s="58" t="s">
        <v>4911</v>
      </c>
      <c r="N634" s="1">
        <v>173.852</v>
      </c>
      <c r="O634" s="1">
        <f>ABS(Table4[[#This Row],[EndMP]]-Table4[[#This Row],[StartMP]])</f>
        <v>85.676999999999992</v>
      </c>
      <c r="P634" s="1" t="str">
        <f>IF( AND( Table4[[#This Row],[Route]]=ClosureLocation!$B$3, ClosureLocation!$B$6 &gt;= Table4[[#This Row],[StartMP]], ClosureLocation!$B$6 &lt;= Table4[[#This Row],[EndMP]]), "Yes", "")</f>
        <v/>
      </c>
      <c r="Q634" s="1" t="str">
        <f>IF( AND( Table4[[#This Row],[Route]]=ClosureLocation!$B$3, ClosureLocation!$B$6 &lt;= Table4[[#This Row],[StartMP]], ClosureLocation!$B$6 &gt;= Table4[[#This Row],[EndMP]]), "Yes", "")</f>
        <v/>
      </c>
      <c r="R634" s="1" t="str">
        <f>IF( OR( Table4[[#This Row],[PrimaryMatch]]="Yes", Table4[[#This Row],[SecondaryMatch]]="Yes"), "Yes", "")</f>
        <v/>
      </c>
    </row>
    <row r="635" spans="1:18" hidden="1" x14ac:dyDescent="0.25">
      <c r="A635" t="s">
        <v>1167</v>
      </c>
      <c r="B635" t="s">
        <v>3209</v>
      </c>
      <c r="C635" t="s">
        <v>3226</v>
      </c>
      <c r="D635" t="s">
        <v>4029</v>
      </c>
      <c r="E635" s="1">
        <v>59.088999999999999</v>
      </c>
      <c r="F635" s="1">
        <v>56.201999999999998</v>
      </c>
      <c r="G635">
        <v>1</v>
      </c>
      <c r="H635">
        <v>5</v>
      </c>
      <c r="I635" t="s">
        <v>2888</v>
      </c>
      <c r="J635" t="s">
        <v>1689</v>
      </c>
      <c r="K635" s="39">
        <v>12.576193</v>
      </c>
      <c r="L635" s="1">
        <v>12.025365000000001</v>
      </c>
      <c r="M635" s="1" t="s">
        <v>4030</v>
      </c>
      <c r="N635" s="1">
        <v>940.91099999999994</v>
      </c>
      <c r="O635" s="1">
        <f>ABS(Table4[[#This Row],[EndMP]]-Table4[[#This Row],[StartMP]])</f>
        <v>2.8870000000000005</v>
      </c>
      <c r="P635" s="1" t="str">
        <f>IF( AND( Table4[[#This Row],[Route]]=ClosureLocation!$B$3, ClosureLocation!$B$6 &gt;= Table4[[#This Row],[StartMP]], ClosureLocation!$B$6 &lt;= Table4[[#This Row],[EndMP]]), "Yes", "")</f>
        <v/>
      </c>
      <c r="Q635" s="1" t="str">
        <f>IF( AND( Table4[[#This Row],[Route]]=ClosureLocation!$B$3, ClosureLocation!$B$6 &lt;= Table4[[#This Row],[StartMP]], ClosureLocation!$B$6 &gt;= Table4[[#This Row],[EndMP]]), "Yes", "")</f>
        <v/>
      </c>
      <c r="R635" s="1" t="str">
        <f>IF( OR( Table4[[#This Row],[PrimaryMatch]]="Yes", Table4[[#This Row],[SecondaryMatch]]="Yes"), "Yes", "")</f>
        <v/>
      </c>
    </row>
    <row r="636" spans="1:18" hidden="1" x14ac:dyDescent="0.25">
      <c r="A636" t="s">
        <v>1493</v>
      </c>
      <c r="B636" t="s">
        <v>3205</v>
      </c>
      <c r="C636" t="s">
        <v>3206</v>
      </c>
      <c r="D636" t="s">
        <v>4252</v>
      </c>
      <c r="E636" s="1">
        <v>161.82900000000001</v>
      </c>
      <c r="F636" s="1">
        <v>181.971</v>
      </c>
      <c r="G636">
        <v>1</v>
      </c>
      <c r="H636">
        <v>1</v>
      </c>
      <c r="I636" t="s">
        <v>3070</v>
      </c>
      <c r="J636" t="s">
        <v>1693</v>
      </c>
      <c r="K636" s="39">
        <v>12.572217</v>
      </c>
      <c r="L636" s="1">
        <v>7.567736</v>
      </c>
      <c r="M636" s="1" t="s">
        <v>4253</v>
      </c>
      <c r="N636" s="1">
        <v>161.82900000000001</v>
      </c>
      <c r="O636" s="1">
        <f>ABS(Table4[[#This Row],[EndMP]]-Table4[[#This Row],[StartMP]])</f>
        <v>20.141999999999996</v>
      </c>
      <c r="P636" s="1" t="str">
        <f>IF( AND( Table4[[#This Row],[Route]]=ClosureLocation!$B$3, ClosureLocation!$B$6 &gt;= Table4[[#This Row],[StartMP]], ClosureLocation!$B$6 &lt;= Table4[[#This Row],[EndMP]]), "Yes", "")</f>
        <v/>
      </c>
      <c r="Q636" s="1" t="str">
        <f>IF( AND( Table4[[#This Row],[Route]]=ClosureLocation!$B$3, ClosureLocation!$B$6 &lt;= Table4[[#This Row],[StartMP]], ClosureLocation!$B$6 &gt;= Table4[[#This Row],[EndMP]]), "Yes", "")</f>
        <v/>
      </c>
      <c r="R636" s="1" t="str">
        <f>IF( OR( Table4[[#This Row],[PrimaryMatch]]="Yes", Table4[[#This Row],[SecondaryMatch]]="Yes"), "Yes", "")</f>
        <v/>
      </c>
    </row>
    <row r="637" spans="1:18" hidden="1" x14ac:dyDescent="0.25">
      <c r="A637" t="s">
        <v>1493</v>
      </c>
      <c r="B637" t="s">
        <v>3209</v>
      </c>
      <c r="C637" t="s">
        <v>3210</v>
      </c>
      <c r="D637" t="s">
        <v>4262</v>
      </c>
      <c r="E637" s="1">
        <v>181.971</v>
      </c>
      <c r="F637" s="1">
        <v>161.82900000000001</v>
      </c>
      <c r="G637">
        <v>10</v>
      </c>
      <c r="H637">
        <v>21</v>
      </c>
      <c r="I637" t="s">
        <v>4273</v>
      </c>
      <c r="J637" t="s">
        <v>1693</v>
      </c>
      <c r="K637" s="39">
        <v>12.571588999999999</v>
      </c>
      <c r="L637" s="1">
        <v>7.567736</v>
      </c>
      <c r="M637" s="1" t="s">
        <v>4274</v>
      </c>
      <c r="N637" s="1">
        <v>818.029</v>
      </c>
      <c r="O637" s="1">
        <f>ABS(Table4[[#This Row],[EndMP]]-Table4[[#This Row],[StartMP]])</f>
        <v>20.141999999999996</v>
      </c>
      <c r="P637" s="1" t="str">
        <f>IF( AND( Table4[[#This Row],[Route]]=ClosureLocation!$B$3, ClosureLocation!$B$6 &gt;= Table4[[#This Row],[StartMP]], ClosureLocation!$B$6 &lt;= Table4[[#This Row],[EndMP]]), "Yes", "")</f>
        <v/>
      </c>
      <c r="Q637" s="1" t="str">
        <f>IF( AND( Table4[[#This Row],[Route]]=ClosureLocation!$B$3, ClosureLocation!$B$6 &lt;= Table4[[#This Row],[StartMP]], ClosureLocation!$B$6 &gt;= Table4[[#This Row],[EndMP]]), "Yes", "")</f>
        <v/>
      </c>
      <c r="R637" s="1" t="str">
        <f>IF( OR( Table4[[#This Row],[PrimaryMatch]]="Yes", Table4[[#This Row],[SecondaryMatch]]="Yes"), "Yes", "")</f>
        <v/>
      </c>
    </row>
    <row r="638" spans="1:18" hidden="1" x14ac:dyDescent="0.25">
      <c r="A638" t="s">
        <v>485</v>
      </c>
      <c r="B638" t="s">
        <v>3209</v>
      </c>
      <c r="C638" t="s">
        <v>3226</v>
      </c>
      <c r="D638" t="s">
        <v>3548</v>
      </c>
      <c r="E638" s="1">
        <v>100.992</v>
      </c>
      <c r="F638" s="1">
        <v>100.937</v>
      </c>
      <c r="H638">
        <v>4</v>
      </c>
      <c r="I638" t="s">
        <v>2349</v>
      </c>
      <c r="J638" t="s">
        <v>1707</v>
      </c>
      <c r="K638" s="39">
        <v>12.545303000000001</v>
      </c>
      <c r="L638" s="1">
        <v>11.608339000000001</v>
      </c>
      <c r="M638" s="1" t="s">
        <v>3550</v>
      </c>
      <c r="N638" s="1">
        <v>899.00800000000004</v>
      </c>
      <c r="O638" s="1">
        <f>ABS(Table4[[#This Row],[EndMP]]-Table4[[#This Row],[StartMP]])</f>
        <v>5.5000000000006821E-2</v>
      </c>
      <c r="P638" s="1" t="str">
        <f>IF( AND( Table4[[#This Row],[Route]]=ClosureLocation!$B$3, ClosureLocation!$B$6 &gt;= Table4[[#This Row],[StartMP]], ClosureLocation!$B$6 &lt;= Table4[[#This Row],[EndMP]]), "Yes", "")</f>
        <v/>
      </c>
      <c r="Q638" s="1" t="str">
        <f>IF( AND( Table4[[#This Row],[Route]]=ClosureLocation!$B$3, ClosureLocation!$B$6 &lt;= Table4[[#This Row],[StartMP]], ClosureLocation!$B$6 &gt;= Table4[[#This Row],[EndMP]]), "Yes", "")</f>
        <v/>
      </c>
      <c r="R638" s="1" t="str">
        <f>IF( OR( Table4[[#This Row],[PrimaryMatch]]="Yes", Table4[[#This Row],[SecondaryMatch]]="Yes"), "Yes", "")</f>
        <v/>
      </c>
    </row>
    <row r="639" spans="1:18" hidden="1" x14ac:dyDescent="0.25">
      <c r="A639" t="s">
        <v>1583</v>
      </c>
      <c r="B639" t="s">
        <v>3205</v>
      </c>
      <c r="C639" t="s">
        <v>3222</v>
      </c>
      <c r="D639" t="s">
        <v>4318</v>
      </c>
      <c r="E639" s="1">
        <v>59.411999999999999</v>
      </c>
      <c r="F639" s="1">
        <v>72.718000000000004</v>
      </c>
      <c r="G639">
        <v>2</v>
      </c>
      <c r="H639">
        <v>2</v>
      </c>
      <c r="I639" t="s">
        <v>3126</v>
      </c>
      <c r="J639" t="s">
        <v>1691</v>
      </c>
      <c r="K639" s="39">
        <v>12.520053000000001</v>
      </c>
      <c r="L639" s="1">
        <v>5.904801</v>
      </c>
      <c r="M639" s="1" t="s">
        <v>4320</v>
      </c>
      <c r="N639" s="1">
        <v>59.411999999999999</v>
      </c>
      <c r="O639" s="1">
        <f>ABS(Table4[[#This Row],[EndMP]]-Table4[[#This Row],[StartMP]])</f>
        <v>13.306000000000004</v>
      </c>
      <c r="P639" s="1" t="str">
        <f>IF( AND( Table4[[#This Row],[Route]]=ClosureLocation!$B$3, ClosureLocation!$B$6 &gt;= Table4[[#This Row],[StartMP]], ClosureLocation!$B$6 &lt;= Table4[[#This Row],[EndMP]]), "Yes", "")</f>
        <v/>
      </c>
      <c r="Q639" s="1" t="str">
        <f>IF( AND( Table4[[#This Row],[Route]]=ClosureLocation!$B$3, ClosureLocation!$B$6 &lt;= Table4[[#This Row],[StartMP]], ClosureLocation!$B$6 &gt;= Table4[[#This Row],[EndMP]]), "Yes", "")</f>
        <v/>
      </c>
      <c r="R639" s="1" t="str">
        <f>IF( OR( Table4[[#This Row],[PrimaryMatch]]="Yes", Table4[[#This Row],[SecondaryMatch]]="Yes"), "Yes", "")</f>
        <v/>
      </c>
    </row>
    <row r="640" spans="1:18" hidden="1" x14ac:dyDescent="0.25">
      <c r="A640" t="s">
        <v>1583</v>
      </c>
      <c r="B640" t="s">
        <v>3209</v>
      </c>
      <c r="C640" t="s">
        <v>3226</v>
      </c>
      <c r="D640" t="s">
        <v>4321</v>
      </c>
      <c r="E640" s="1">
        <v>72.718000000000004</v>
      </c>
      <c r="F640" s="1">
        <v>59.411999999999999</v>
      </c>
      <c r="G640">
        <v>1</v>
      </c>
      <c r="H640">
        <v>3</v>
      </c>
      <c r="I640" t="s">
        <v>3127</v>
      </c>
      <c r="J640" t="s">
        <v>1691</v>
      </c>
      <c r="K640" s="39">
        <v>12.519773000000001</v>
      </c>
      <c r="L640" s="1">
        <v>5.904801</v>
      </c>
      <c r="M640" s="1" t="s">
        <v>4322</v>
      </c>
      <c r="N640" s="1">
        <v>927.28200000000004</v>
      </c>
      <c r="O640" s="1">
        <f>ABS(Table4[[#This Row],[EndMP]]-Table4[[#This Row],[StartMP]])</f>
        <v>13.306000000000004</v>
      </c>
      <c r="P640" s="1" t="str">
        <f>IF( AND( Table4[[#This Row],[Route]]=ClosureLocation!$B$3, ClosureLocation!$B$6 &gt;= Table4[[#This Row],[StartMP]], ClosureLocation!$B$6 &lt;= Table4[[#This Row],[EndMP]]), "Yes", "")</f>
        <v/>
      </c>
      <c r="Q640" s="1" t="str">
        <f>IF( AND( Table4[[#This Row],[Route]]=ClosureLocation!$B$3, ClosureLocation!$B$6 &lt;= Table4[[#This Row],[StartMP]], ClosureLocation!$B$6 &gt;= Table4[[#This Row],[EndMP]]), "Yes", "")</f>
        <v/>
      </c>
      <c r="R640" s="1" t="str">
        <f>IF( OR( Table4[[#This Row],[PrimaryMatch]]="Yes", Table4[[#This Row],[SecondaryMatch]]="Yes"), "Yes", "")</f>
        <v/>
      </c>
    </row>
    <row r="641" spans="1:18" hidden="1" x14ac:dyDescent="0.25">
      <c r="A641" t="s">
        <v>1630</v>
      </c>
      <c r="B641" t="s">
        <v>3209</v>
      </c>
      <c r="C641" t="s">
        <v>3226</v>
      </c>
      <c r="D641" t="s">
        <v>4380</v>
      </c>
      <c r="E641" s="1">
        <v>99.911000000000001</v>
      </c>
      <c r="F641" s="1">
        <v>95.305000000000007</v>
      </c>
      <c r="G641">
        <v>2</v>
      </c>
      <c r="H641">
        <v>4</v>
      </c>
      <c r="I641" t="s">
        <v>3170</v>
      </c>
      <c r="J641" t="s">
        <v>1691</v>
      </c>
      <c r="K641" s="39">
        <v>12.457451000000001</v>
      </c>
      <c r="L641" s="1">
        <v>9.6307259999999992</v>
      </c>
      <c r="M641" s="1" t="s">
        <v>4382</v>
      </c>
      <c r="N641" s="1">
        <v>900.08900000000006</v>
      </c>
      <c r="O641" s="1">
        <f>ABS(Table4[[#This Row],[EndMP]]-Table4[[#This Row],[StartMP]])</f>
        <v>4.6059999999999945</v>
      </c>
      <c r="P641" s="1" t="str">
        <f>IF( AND( Table4[[#This Row],[Route]]=ClosureLocation!$B$3, ClosureLocation!$B$6 &gt;= Table4[[#This Row],[StartMP]], ClosureLocation!$B$6 &lt;= Table4[[#This Row],[EndMP]]), "Yes", "")</f>
        <v/>
      </c>
      <c r="Q641" s="1" t="str">
        <f>IF( AND( Table4[[#This Row],[Route]]=ClosureLocation!$B$3, ClosureLocation!$B$6 &lt;= Table4[[#This Row],[StartMP]], ClosureLocation!$B$6 &gt;= Table4[[#This Row],[EndMP]]), "Yes", "")</f>
        <v/>
      </c>
      <c r="R641" s="1" t="str">
        <f>IF( OR( Table4[[#This Row],[PrimaryMatch]]="Yes", Table4[[#This Row],[SecondaryMatch]]="Yes"), "Yes", "")</f>
        <v/>
      </c>
    </row>
    <row r="642" spans="1:18" hidden="1" x14ac:dyDescent="0.25">
      <c r="A642" t="s">
        <v>206</v>
      </c>
      <c r="B642" t="s">
        <v>3209</v>
      </c>
      <c r="C642" t="s">
        <v>3226</v>
      </c>
      <c r="D642" t="s">
        <v>3351</v>
      </c>
      <c r="E642" s="1">
        <v>176.18899999999999</v>
      </c>
      <c r="F642" s="1">
        <v>153.37</v>
      </c>
      <c r="G642">
        <v>5</v>
      </c>
      <c r="H642">
        <v>6</v>
      </c>
      <c r="I642" t="s">
        <v>2156</v>
      </c>
      <c r="J642" t="s">
        <v>1702</v>
      </c>
      <c r="K642" s="39">
        <v>12.361502</v>
      </c>
      <c r="L642" s="1">
        <v>10.628239000000001</v>
      </c>
      <c r="M642" s="1" t="s">
        <v>3356</v>
      </c>
      <c r="N642" s="1">
        <v>823.81100000000004</v>
      </c>
      <c r="O642" s="1">
        <f>ABS(Table4[[#This Row],[EndMP]]-Table4[[#This Row],[StartMP]])</f>
        <v>22.818999999999988</v>
      </c>
      <c r="P642" s="1" t="str">
        <f>IF( AND( Table4[[#This Row],[Route]]=ClosureLocation!$B$3, ClosureLocation!$B$6 &gt;= Table4[[#This Row],[StartMP]], ClosureLocation!$B$6 &lt;= Table4[[#This Row],[EndMP]]), "Yes", "")</f>
        <v/>
      </c>
      <c r="Q642" s="1" t="str">
        <f>IF( AND( Table4[[#This Row],[Route]]=ClosureLocation!$B$3, ClosureLocation!$B$6 &lt;= Table4[[#This Row],[StartMP]], ClosureLocation!$B$6 &gt;= Table4[[#This Row],[EndMP]]), "Yes", "")</f>
        <v/>
      </c>
      <c r="R642" s="1" t="str">
        <f>IF( OR( Table4[[#This Row],[PrimaryMatch]]="Yes", Table4[[#This Row],[SecondaryMatch]]="Yes"), "Yes", "")</f>
        <v/>
      </c>
    </row>
    <row r="643" spans="1:18" hidden="1" x14ac:dyDescent="0.25">
      <c r="A643" t="s">
        <v>206</v>
      </c>
      <c r="B643" t="s">
        <v>3205</v>
      </c>
      <c r="C643" t="s">
        <v>3222</v>
      </c>
      <c r="D643" t="s">
        <v>3343</v>
      </c>
      <c r="E643" s="1">
        <v>153.37</v>
      </c>
      <c r="F643" s="1">
        <v>176.18899999999999</v>
      </c>
      <c r="G643">
        <v>3</v>
      </c>
      <c r="H643">
        <v>3</v>
      </c>
      <c r="I643" t="s">
        <v>2147</v>
      </c>
      <c r="J643" t="s">
        <v>1702</v>
      </c>
      <c r="K643" s="39">
        <v>12.356512</v>
      </c>
      <c r="L643" s="1">
        <v>10.628239000000001</v>
      </c>
      <c r="M643" s="1" t="s">
        <v>3346</v>
      </c>
      <c r="N643" s="1">
        <v>153.37</v>
      </c>
      <c r="O643" s="1">
        <f>ABS(Table4[[#This Row],[EndMP]]-Table4[[#This Row],[StartMP]])</f>
        <v>22.818999999999988</v>
      </c>
      <c r="P643" s="1" t="str">
        <f>IF( AND( Table4[[#This Row],[Route]]=ClosureLocation!$B$3, ClosureLocation!$B$6 &gt;= Table4[[#This Row],[StartMP]], ClosureLocation!$B$6 &lt;= Table4[[#This Row],[EndMP]]), "Yes", "")</f>
        <v/>
      </c>
      <c r="Q643" s="1" t="str">
        <f>IF( AND( Table4[[#This Row],[Route]]=ClosureLocation!$B$3, ClosureLocation!$B$6 &lt;= Table4[[#This Row],[StartMP]], ClosureLocation!$B$6 &gt;= Table4[[#This Row],[EndMP]]), "Yes", "")</f>
        <v/>
      </c>
      <c r="R643" s="1" t="str">
        <f>IF( OR( Table4[[#This Row],[PrimaryMatch]]="Yes", Table4[[#This Row],[SecondaryMatch]]="Yes"), "Yes", "")</f>
        <v/>
      </c>
    </row>
    <row r="644" spans="1:18" hidden="1" x14ac:dyDescent="0.25">
      <c r="A644" t="s">
        <v>776</v>
      </c>
      <c r="B644" t="s">
        <v>3205</v>
      </c>
      <c r="C644" t="s">
        <v>3222</v>
      </c>
      <c r="D644" t="s">
        <v>3748</v>
      </c>
      <c r="E644" s="1">
        <v>419.50299999999999</v>
      </c>
      <c r="F644" s="1">
        <v>428.55900000000003</v>
      </c>
      <c r="G644">
        <v>50</v>
      </c>
      <c r="H644">
        <v>50</v>
      </c>
      <c r="I644" t="s">
        <v>2596</v>
      </c>
      <c r="J644" t="s">
        <v>1694</v>
      </c>
      <c r="K644" s="39">
        <v>12.295928999999999</v>
      </c>
      <c r="L644" s="1">
        <v>1.2121850000000001</v>
      </c>
      <c r="M644" s="1" t="s">
        <v>4494</v>
      </c>
      <c r="N644" s="1">
        <v>419.50299999999999</v>
      </c>
      <c r="O644" s="1">
        <f>ABS(Table4[[#This Row],[EndMP]]-Table4[[#This Row],[StartMP]])</f>
        <v>9.05600000000004</v>
      </c>
      <c r="P644" s="1" t="str">
        <f>IF( AND( Table4[[#This Row],[Route]]=ClosureLocation!$B$3, ClosureLocation!$B$6 &gt;= Table4[[#This Row],[StartMP]], ClosureLocation!$B$6 &lt;= Table4[[#This Row],[EndMP]]), "Yes", "")</f>
        <v/>
      </c>
      <c r="Q644" s="1" t="str">
        <f>IF( AND( Table4[[#This Row],[Route]]=ClosureLocation!$B$3, ClosureLocation!$B$6 &lt;= Table4[[#This Row],[StartMP]], ClosureLocation!$B$6 &gt;= Table4[[#This Row],[EndMP]]), "Yes", "")</f>
        <v/>
      </c>
      <c r="R644" s="1" t="str">
        <f>IF( OR( Table4[[#This Row],[PrimaryMatch]]="Yes", Table4[[#This Row],[SecondaryMatch]]="Yes"), "Yes", "")</f>
        <v/>
      </c>
    </row>
    <row r="645" spans="1:18" hidden="1" x14ac:dyDescent="0.25">
      <c r="A645" t="s">
        <v>836</v>
      </c>
      <c r="B645" t="s">
        <v>3209</v>
      </c>
      <c r="C645" t="s">
        <v>3226</v>
      </c>
      <c r="D645" t="s">
        <v>3756</v>
      </c>
      <c r="E645" s="1">
        <v>4.367</v>
      </c>
      <c r="F645" s="1">
        <v>0.155</v>
      </c>
      <c r="G645">
        <v>4</v>
      </c>
      <c r="H645">
        <v>2</v>
      </c>
      <c r="I645" t="s">
        <v>2663</v>
      </c>
      <c r="J645" t="s">
        <v>1707</v>
      </c>
      <c r="K645" s="39">
        <v>12.240667999999999</v>
      </c>
      <c r="L645" s="1">
        <v>13.408963</v>
      </c>
      <c r="M645" s="1" t="s">
        <v>3760</v>
      </c>
      <c r="N645" s="1">
        <v>995.63300000000004</v>
      </c>
      <c r="O645" s="1">
        <f>ABS(Table4[[#This Row],[EndMP]]-Table4[[#This Row],[StartMP]])</f>
        <v>4.2119999999999997</v>
      </c>
      <c r="P645" s="1" t="str">
        <f>IF( AND( Table4[[#This Row],[Route]]=ClosureLocation!$B$3, ClosureLocation!$B$6 &gt;= Table4[[#This Row],[StartMP]], ClosureLocation!$B$6 &lt;= Table4[[#This Row],[EndMP]]), "Yes", "")</f>
        <v/>
      </c>
      <c r="Q645" s="1" t="str">
        <f>IF( AND( Table4[[#This Row],[Route]]=ClosureLocation!$B$3, ClosureLocation!$B$6 &lt;= Table4[[#This Row],[StartMP]], ClosureLocation!$B$6 &gt;= Table4[[#This Row],[EndMP]]), "Yes", "")</f>
        <v/>
      </c>
      <c r="R645" s="1" t="str">
        <f>IF( OR( Table4[[#This Row],[PrimaryMatch]]="Yes", Table4[[#This Row],[SecondaryMatch]]="Yes"), "Yes", "")</f>
        <v/>
      </c>
    </row>
    <row r="646" spans="1:18" hidden="1" x14ac:dyDescent="0.25">
      <c r="A646" t="s">
        <v>917</v>
      </c>
      <c r="B646" t="s">
        <v>3205</v>
      </c>
      <c r="C646" t="s">
        <v>3222</v>
      </c>
      <c r="D646" t="s">
        <v>3837</v>
      </c>
      <c r="E646" s="1">
        <v>18.808</v>
      </c>
      <c r="F646" s="1">
        <v>31.372</v>
      </c>
      <c r="G646">
        <v>9</v>
      </c>
      <c r="H646">
        <v>9</v>
      </c>
      <c r="I646" t="s">
        <v>2712</v>
      </c>
      <c r="J646" t="s">
        <v>1694</v>
      </c>
      <c r="K646" s="39">
        <v>12.198299</v>
      </c>
      <c r="L646" s="1">
        <v>5.169041</v>
      </c>
      <c r="M646" s="1" t="s">
        <v>3900</v>
      </c>
      <c r="N646" s="1">
        <v>18.808</v>
      </c>
      <c r="O646" s="1">
        <f>ABS(Table4[[#This Row],[EndMP]]-Table4[[#This Row],[StartMP]])</f>
        <v>12.564</v>
      </c>
      <c r="P646" s="1" t="str">
        <f>IF( AND( Table4[[#This Row],[Route]]=ClosureLocation!$B$3, ClosureLocation!$B$6 &gt;= Table4[[#This Row],[StartMP]], ClosureLocation!$B$6 &lt;= Table4[[#This Row],[EndMP]]), "Yes", "")</f>
        <v/>
      </c>
      <c r="Q646" s="1" t="str">
        <f>IF( AND( Table4[[#This Row],[Route]]=ClosureLocation!$B$3, ClosureLocation!$B$6 &lt;= Table4[[#This Row],[StartMP]], ClosureLocation!$B$6 &gt;= Table4[[#This Row],[EndMP]]), "Yes", "")</f>
        <v/>
      </c>
      <c r="R646" s="1" t="str">
        <f>IF( OR( Table4[[#This Row],[PrimaryMatch]]="Yes", Table4[[#This Row],[SecondaryMatch]]="Yes"), "Yes", "")</f>
        <v/>
      </c>
    </row>
    <row r="647" spans="1:18" hidden="1" x14ac:dyDescent="0.25">
      <c r="A647" t="s">
        <v>1421</v>
      </c>
      <c r="B647" t="s">
        <v>3205</v>
      </c>
      <c r="C647" t="s">
        <v>3206</v>
      </c>
      <c r="D647" t="s">
        <v>4196</v>
      </c>
      <c r="E647" s="1">
        <v>0</v>
      </c>
      <c r="F647" s="1">
        <v>1.528</v>
      </c>
      <c r="G647">
        <v>1</v>
      </c>
      <c r="H647">
        <v>1</v>
      </c>
      <c r="I647" t="s">
        <v>3016</v>
      </c>
      <c r="J647" t="s">
        <v>1692</v>
      </c>
      <c r="K647" s="39">
        <v>12.197917</v>
      </c>
      <c r="L647" s="1">
        <v>10.935136999999999</v>
      </c>
      <c r="M647" s="1" t="s">
        <v>4197</v>
      </c>
      <c r="N647" s="1">
        <v>0</v>
      </c>
      <c r="O647" s="1">
        <f>ABS(Table4[[#This Row],[EndMP]]-Table4[[#This Row],[StartMP]])</f>
        <v>1.528</v>
      </c>
      <c r="P647" s="1" t="str">
        <f>IF( AND( Table4[[#This Row],[Route]]=ClosureLocation!$B$3, ClosureLocation!$B$6 &gt;= Table4[[#This Row],[StartMP]], ClosureLocation!$B$6 &lt;= Table4[[#This Row],[EndMP]]), "Yes", "")</f>
        <v/>
      </c>
      <c r="Q647" s="1" t="str">
        <f>IF( AND( Table4[[#This Row],[Route]]=ClosureLocation!$B$3, ClosureLocation!$B$6 &lt;= Table4[[#This Row],[StartMP]], ClosureLocation!$B$6 &gt;= Table4[[#This Row],[EndMP]]), "Yes", "")</f>
        <v/>
      </c>
      <c r="R647" s="1" t="str">
        <f>IF( OR( Table4[[#This Row],[PrimaryMatch]]="Yes", Table4[[#This Row],[SecondaryMatch]]="Yes"), "Yes", "")</f>
        <v/>
      </c>
    </row>
    <row r="648" spans="1:18" hidden="1" x14ac:dyDescent="0.25">
      <c r="A648" t="s">
        <v>1421</v>
      </c>
      <c r="B648" t="s">
        <v>3209</v>
      </c>
      <c r="C648" t="s">
        <v>3210</v>
      </c>
      <c r="D648" t="s">
        <v>4198</v>
      </c>
      <c r="E648" s="1">
        <v>1.528</v>
      </c>
      <c r="F648" s="1">
        <v>0</v>
      </c>
      <c r="G648">
        <v>1</v>
      </c>
      <c r="H648">
        <v>2</v>
      </c>
      <c r="I648" t="s">
        <v>3017</v>
      </c>
      <c r="J648" t="s">
        <v>1692</v>
      </c>
      <c r="K648" s="39">
        <v>12.197836000000001</v>
      </c>
      <c r="L648" s="1">
        <v>10.935136999999999</v>
      </c>
      <c r="M648" s="1" t="s">
        <v>4199</v>
      </c>
      <c r="N648" s="1">
        <v>998.47199999999998</v>
      </c>
      <c r="O648" s="1">
        <f>ABS(Table4[[#This Row],[EndMP]]-Table4[[#This Row],[StartMP]])</f>
        <v>1.528</v>
      </c>
      <c r="P648" s="1" t="str">
        <f>IF( AND( Table4[[#This Row],[Route]]=ClosureLocation!$B$3, ClosureLocation!$B$6 &gt;= Table4[[#This Row],[StartMP]], ClosureLocation!$B$6 &lt;= Table4[[#This Row],[EndMP]]), "Yes", "")</f>
        <v/>
      </c>
      <c r="Q648" s="1" t="str">
        <f>IF( AND( Table4[[#This Row],[Route]]=ClosureLocation!$B$3, ClosureLocation!$B$6 &lt;= Table4[[#This Row],[StartMP]], ClosureLocation!$B$6 &gt;= Table4[[#This Row],[EndMP]]), "Yes", "")</f>
        <v/>
      </c>
      <c r="R648" s="1" t="str">
        <f>IF( OR( Table4[[#This Row],[PrimaryMatch]]="Yes", Table4[[#This Row],[SecondaryMatch]]="Yes"), "Yes", "")</f>
        <v/>
      </c>
    </row>
    <row r="649" spans="1:18" hidden="1" x14ac:dyDescent="0.25">
      <c r="A649" t="s">
        <v>1489</v>
      </c>
      <c r="B649" t="s">
        <v>3205</v>
      </c>
      <c r="C649" t="s">
        <v>3206</v>
      </c>
      <c r="D649" t="s">
        <v>4246</v>
      </c>
      <c r="E649" s="1">
        <v>126.85299999999999</v>
      </c>
      <c r="F649" s="1">
        <v>133.88300000000001</v>
      </c>
      <c r="G649">
        <v>1</v>
      </c>
      <c r="H649">
        <v>1</v>
      </c>
      <c r="I649" t="s">
        <v>3066</v>
      </c>
      <c r="J649" t="s">
        <v>1693</v>
      </c>
      <c r="K649" s="39">
        <v>12.172872</v>
      </c>
      <c r="L649" s="1">
        <v>7.5673009999999996</v>
      </c>
      <c r="M649" s="1" t="s">
        <v>4247</v>
      </c>
      <c r="N649" s="1">
        <v>126.85299999999999</v>
      </c>
      <c r="O649" s="1">
        <f>ABS(Table4[[#This Row],[EndMP]]-Table4[[#This Row],[StartMP]])</f>
        <v>7.0300000000000153</v>
      </c>
      <c r="P649" s="1" t="str">
        <f>IF( AND( Table4[[#This Row],[Route]]=ClosureLocation!$B$3, ClosureLocation!$B$6 &gt;= Table4[[#This Row],[StartMP]], ClosureLocation!$B$6 &lt;= Table4[[#This Row],[EndMP]]), "Yes", "")</f>
        <v/>
      </c>
      <c r="Q649" s="1" t="str">
        <f>IF( AND( Table4[[#This Row],[Route]]=ClosureLocation!$B$3, ClosureLocation!$B$6 &lt;= Table4[[#This Row],[StartMP]], ClosureLocation!$B$6 &gt;= Table4[[#This Row],[EndMP]]), "Yes", "")</f>
        <v/>
      </c>
      <c r="R649" s="1" t="str">
        <f>IF( OR( Table4[[#This Row],[PrimaryMatch]]="Yes", Table4[[#This Row],[SecondaryMatch]]="Yes"), "Yes", "")</f>
        <v/>
      </c>
    </row>
    <row r="650" spans="1:18" hidden="1" x14ac:dyDescent="0.25">
      <c r="A650" t="s">
        <v>310</v>
      </c>
      <c r="B650" t="s">
        <v>3209</v>
      </c>
      <c r="C650" t="s">
        <v>3210</v>
      </c>
      <c r="D650" t="s">
        <v>3444</v>
      </c>
      <c r="E650" s="1">
        <v>138.85</v>
      </c>
      <c r="F650" s="1">
        <v>131.95699999999999</v>
      </c>
      <c r="G650">
        <v>25</v>
      </c>
      <c r="H650">
        <v>38</v>
      </c>
      <c r="I650" t="s">
        <v>2264</v>
      </c>
      <c r="J650" t="s">
        <v>1694</v>
      </c>
      <c r="K650" s="39">
        <v>12.119927000000001</v>
      </c>
      <c r="L650" s="1">
        <v>8.6322600000000005</v>
      </c>
      <c r="M650" s="1" t="s">
        <v>4902</v>
      </c>
      <c r="N650" s="1">
        <v>861.15</v>
      </c>
      <c r="O650" s="1">
        <f>ABS(Table4[[#This Row],[EndMP]]-Table4[[#This Row],[StartMP]])</f>
        <v>6.8930000000000007</v>
      </c>
      <c r="P650" s="1" t="str">
        <f>IF( AND( Table4[[#This Row],[Route]]=ClosureLocation!$B$3, ClosureLocation!$B$6 &gt;= Table4[[#This Row],[StartMP]], ClosureLocation!$B$6 &lt;= Table4[[#This Row],[EndMP]]), "Yes", "")</f>
        <v/>
      </c>
      <c r="Q650" s="1" t="str">
        <f>IF( AND( Table4[[#This Row],[Route]]=ClosureLocation!$B$3, ClosureLocation!$B$6 &lt;= Table4[[#This Row],[StartMP]], ClosureLocation!$B$6 &gt;= Table4[[#This Row],[EndMP]]), "Yes", "")</f>
        <v/>
      </c>
      <c r="R650" s="1" t="str">
        <f>IF( OR( Table4[[#This Row],[PrimaryMatch]]="Yes", Table4[[#This Row],[SecondaryMatch]]="Yes"), "Yes", "")</f>
        <v/>
      </c>
    </row>
    <row r="651" spans="1:18" hidden="1" x14ac:dyDescent="0.25">
      <c r="A651" t="s">
        <v>310</v>
      </c>
      <c r="B651" t="s">
        <v>3209</v>
      </c>
      <c r="C651" t="s">
        <v>3210</v>
      </c>
      <c r="D651" t="s">
        <v>3444</v>
      </c>
      <c r="E651" s="1">
        <v>193.82</v>
      </c>
      <c r="F651" s="1">
        <v>184.58799999999999</v>
      </c>
      <c r="G651">
        <v>23</v>
      </c>
      <c r="H651">
        <v>17</v>
      </c>
      <c r="I651" t="s">
        <v>2262</v>
      </c>
      <c r="J651" t="s">
        <v>1700</v>
      </c>
      <c r="K651" s="39">
        <v>12.110416000000001</v>
      </c>
      <c r="L651" s="1">
        <v>2.68282</v>
      </c>
      <c r="M651" s="1" t="s">
        <v>981</v>
      </c>
      <c r="N651" s="1">
        <v>806.18</v>
      </c>
      <c r="O651" s="1">
        <f>ABS(Table4[[#This Row],[EndMP]]-Table4[[#This Row],[StartMP]])</f>
        <v>9.2319999999999993</v>
      </c>
      <c r="P651" s="1" t="str">
        <f>IF( AND( Table4[[#This Row],[Route]]=ClosureLocation!$B$3, ClosureLocation!$B$6 &gt;= Table4[[#This Row],[StartMP]], ClosureLocation!$B$6 &lt;= Table4[[#This Row],[EndMP]]), "Yes", "")</f>
        <v/>
      </c>
      <c r="Q651" s="1" t="str">
        <f>IF( AND( Table4[[#This Row],[Route]]=ClosureLocation!$B$3, ClosureLocation!$B$6 &lt;= Table4[[#This Row],[StartMP]], ClosureLocation!$B$6 &gt;= Table4[[#This Row],[EndMP]]), "Yes", "")</f>
        <v/>
      </c>
      <c r="R651" s="1" t="str">
        <f>IF( OR( Table4[[#This Row],[PrimaryMatch]]="Yes", Table4[[#This Row],[SecondaryMatch]]="Yes"), "Yes", "")</f>
        <v/>
      </c>
    </row>
    <row r="652" spans="1:18" hidden="1" x14ac:dyDescent="0.25">
      <c r="A652" t="s">
        <v>1489</v>
      </c>
      <c r="B652" t="s">
        <v>3209</v>
      </c>
      <c r="C652" t="s">
        <v>3210</v>
      </c>
      <c r="D652" t="s">
        <v>4249</v>
      </c>
      <c r="E652" s="1">
        <v>133.88300000000001</v>
      </c>
      <c r="F652" s="1">
        <v>126.85299999999999</v>
      </c>
      <c r="G652">
        <v>2</v>
      </c>
      <c r="H652">
        <v>4</v>
      </c>
      <c r="I652" t="s">
        <v>3069</v>
      </c>
      <c r="J652" t="s">
        <v>1693</v>
      </c>
      <c r="K652" s="39">
        <v>12.055189</v>
      </c>
      <c r="L652" s="1">
        <v>7.4967459999999999</v>
      </c>
      <c r="M652" s="1" t="s">
        <v>4251</v>
      </c>
      <c r="N652" s="1">
        <v>866.11699999999996</v>
      </c>
      <c r="O652" s="1">
        <f>ABS(Table4[[#This Row],[EndMP]]-Table4[[#This Row],[StartMP]])</f>
        <v>7.0300000000000153</v>
      </c>
      <c r="P652" s="1" t="str">
        <f>IF( AND( Table4[[#This Row],[Route]]=ClosureLocation!$B$3, ClosureLocation!$B$6 &gt;= Table4[[#This Row],[StartMP]], ClosureLocation!$B$6 &lt;= Table4[[#This Row],[EndMP]]), "Yes", "")</f>
        <v/>
      </c>
      <c r="Q652" s="1" t="str">
        <f>IF( AND( Table4[[#This Row],[Route]]=ClosureLocation!$B$3, ClosureLocation!$B$6 &lt;= Table4[[#This Row],[StartMP]], ClosureLocation!$B$6 &gt;= Table4[[#This Row],[EndMP]]), "Yes", "")</f>
        <v/>
      </c>
      <c r="R652" s="1" t="str">
        <f>IF( OR( Table4[[#This Row],[PrimaryMatch]]="Yes", Table4[[#This Row],[SecondaryMatch]]="Yes"), "Yes", "")</f>
        <v/>
      </c>
    </row>
    <row r="653" spans="1:18" hidden="1" x14ac:dyDescent="0.25">
      <c r="A653" t="s">
        <v>394</v>
      </c>
      <c r="B653" t="s">
        <v>3205</v>
      </c>
      <c r="C653" t="s">
        <v>3222</v>
      </c>
      <c r="D653" t="s">
        <v>3477</v>
      </c>
      <c r="E653" s="1">
        <v>96.430999999999997</v>
      </c>
      <c r="F653" s="1">
        <v>144.47</v>
      </c>
      <c r="G653">
        <v>7</v>
      </c>
      <c r="H653">
        <v>1</v>
      </c>
      <c r="I653" t="s">
        <v>2293</v>
      </c>
      <c r="J653" t="s">
        <v>1704</v>
      </c>
      <c r="K653" s="39">
        <v>11.977975000000001</v>
      </c>
      <c r="L653" s="1">
        <v>22.465250999999999</v>
      </c>
      <c r="M653" s="1" t="s">
        <v>3483</v>
      </c>
      <c r="N653" s="1">
        <v>96.430999999999997</v>
      </c>
      <c r="O653" s="1">
        <f>ABS(Table4[[#This Row],[EndMP]]-Table4[[#This Row],[StartMP]])</f>
        <v>48.039000000000001</v>
      </c>
      <c r="P653" s="1" t="str">
        <f>IF( AND( Table4[[#This Row],[Route]]=ClosureLocation!$B$3, ClosureLocation!$B$6 &gt;= Table4[[#This Row],[StartMP]], ClosureLocation!$B$6 &lt;= Table4[[#This Row],[EndMP]]), "Yes", "")</f>
        <v/>
      </c>
      <c r="Q653" s="1" t="str">
        <f>IF( AND( Table4[[#This Row],[Route]]=ClosureLocation!$B$3, ClosureLocation!$B$6 &lt;= Table4[[#This Row],[StartMP]], ClosureLocation!$B$6 &gt;= Table4[[#This Row],[EndMP]]), "Yes", "")</f>
        <v/>
      </c>
      <c r="R653" s="1" t="str">
        <f>IF( OR( Table4[[#This Row],[PrimaryMatch]]="Yes", Table4[[#This Row],[SecondaryMatch]]="Yes"), "Yes", "")</f>
        <v/>
      </c>
    </row>
    <row r="654" spans="1:18" hidden="1" x14ac:dyDescent="0.25">
      <c r="A654" t="s">
        <v>602</v>
      </c>
      <c r="B654" t="s">
        <v>3209</v>
      </c>
      <c r="C654" t="s">
        <v>3226</v>
      </c>
      <c r="D654" t="s">
        <v>3626</v>
      </c>
      <c r="E654" s="1">
        <v>289.596</v>
      </c>
      <c r="F654" s="1">
        <v>285.63299999999998</v>
      </c>
      <c r="G654">
        <v>4</v>
      </c>
      <c r="H654">
        <v>11</v>
      </c>
      <c r="I654" t="s">
        <v>2429</v>
      </c>
      <c r="J654" t="s">
        <v>1700</v>
      </c>
      <c r="K654" s="39">
        <v>11.975984</v>
      </c>
      <c r="L654" s="1">
        <v>4.7428280000000003</v>
      </c>
      <c r="M654" s="1" t="s">
        <v>3630</v>
      </c>
      <c r="N654" s="1">
        <v>710.404</v>
      </c>
      <c r="O654" s="1">
        <f>ABS(Table4[[#This Row],[EndMP]]-Table4[[#This Row],[StartMP]])</f>
        <v>3.9630000000000223</v>
      </c>
      <c r="P654" s="1" t="str">
        <f>IF( AND( Table4[[#This Row],[Route]]=ClosureLocation!$B$3, ClosureLocation!$B$6 &gt;= Table4[[#This Row],[StartMP]], ClosureLocation!$B$6 &lt;= Table4[[#This Row],[EndMP]]), "Yes", "")</f>
        <v/>
      </c>
      <c r="Q654" s="1" t="str">
        <f>IF( AND( Table4[[#This Row],[Route]]=ClosureLocation!$B$3, ClosureLocation!$B$6 &lt;= Table4[[#This Row],[StartMP]], ClosureLocation!$B$6 &gt;= Table4[[#This Row],[EndMP]]), "Yes", "")</f>
        <v/>
      </c>
      <c r="R654" s="1" t="str">
        <f>IF( OR( Table4[[#This Row],[PrimaryMatch]]="Yes", Table4[[#This Row],[SecondaryMatch]]="Yes"), "Yes", "")</f>
        <v/>
      </c>
    </row>
    <row r="655" spans="1:18" hidden="1" x14ac:dyDescent="0.25">
      <c r="A655" t="s">
        <v>776</v>
      </c>
      <c r="B655" t="s">
        <v>3209</v>
      </c>
      <c r="C655" t="s">
        <v>3226</v>
      </c>
      <c r="D655" t="s">
        <v>3749</v>
      </c>
      <c r="E655" s="1">
        <v>428.55900000000003</v>
      </c>
      <c r="F655" s="1">
        <v>419.50299999999999</v>
      </c>
      <c r="G655">
        <v>4</v>
      </c>
      <c r="H655">
        <v>57</v>
      </c>
      <c r="I655" t="s">
        <v>2603</v>
      </c>
      <c r="J655" t="s">
        <v>1694</v>
      </c>
      <c r="K655" s="39">
        <v>11.938914</v>
      </c>
      <c r="L655" s="1">
        <v>1.040486</v>
      </c>
      <c r="M655" s="1" t="s">
        <v>4499</v>
      </c>
      <c r="N655" s="1">
        <v>571.44100000000003</v>
      </c>
      <c r="O655" s="1">
        <f>ABS(Table4[[#This Row],[EndMP]]-Table4[[#This Row],[StartMP]])</f>
        <v>9.05600000000004</v>
      </c>
      <c r="P655" s="1" t="str">
        <f>IF( AND( Table4[[#This Row],[Route]]=ClosureLocation!$B$3, ClosureLocation!$B$6 &gt;= Table4[[#This Row],[StartMP]], ClosureLocation!$B$6 &lt;= Table4[[#This Row],[EndMP]]), "Yes", "")</f>
        <v/>
      </c>
      <c r="Q655" s="1" t="str">
        <f>IF( AND( Table4[[#This Row],[Route]]=ClosureLocation!$B$3, ClosureLocation!$B$6 &lt;= Table4[[#This Row],[StartMP]], ClosureLocation!$B$6 &gt;= Table4[[#This Row],[EndMP]]), "Yes", "")</f>
        <v/>
      </c>
      <c r="R655" s="1" t="str">
        <f>IF( OR( Table4[[#This Row],[PrimaryMatch]]="Yes", Table4[[#This Row],[SecondaryMatch]]="Yes"), "Yes", "")</f>
        <v/>
      </c>
    </row>
    <row r="656" spans="1:18" hidden="1" x14ac:dyDescent="0.25">
      <c r="A656" t="s">
        <v>602</v>
      </c>
      <c r="B656" t="s">
        <v>3205</v>
      </c>
      <c r="C656" t="s">
        <v>3222</v>
      </c>
      <c r="D656" t="s">
        <v>3612</v>
      </c>
      <c r="E656" s="1">
        <v>285.63299999999998</v>
      </c>
      <c r="F656" s="1">
        <v>289.596</v>
      </c>
      <c r="G656">
        <v>16</v>
      </c>
      <c r="H656">
        <v>5</v>
      </c>
      <c r="I656" t="s">
        <v>2423</v>
      </c>
      <c r="J656" t="s">
        <v>1700</v>
      </c>
      <c r="K656" s="39">
        <v>11.93181</v>
      </c>
      <c r="L656" s="1">
        <v>4.6957259999999996</v>
      </c>
      <c r="M656" s="1" t="s">
        <v>3623</v>
      </c>
      <c r="N656" s="1">
        <v>285.63299999999998</v>
      </c>
      <c r="O656" s="1">
        <f>ABS(Table4[[#This Row],[EndMP]]-Table4[[#This Row],[StartMP]])</f>
        <v>3.9630000000000223</v>
      </c>
      <c r="P656" s="1" t="str">
        <f>IF( AND( Table4[[#This Row],[Route]]=ClosureLocation!$B$3, ClosureLocation!$B$6 &gt;= Table4[[#This Row],[StartMP]], ClosureLocation!$B$6 &lt;= Table4[[#This Row],[EndMP]]), "Yes", "")</f>
        <v/>
      </c>
      <c r="Q656" s="1" t="str">
        <f>IF( AND( Table4[[#This Row],[Route]]=ClosureLocation!$B$3, ClosureLocation!$B$6 &lt;= Table4[[#This Row],[StartMP]], ClosureLocation!$B$6 &gt;= Table4[[#This Row],[EndMP]]), "Yes", "")</f>
        <v/>
      </c>
      <c r="R656" s="1" t="str">
        <f>IF( OR( Table4[[#This Row],[PrimaryMatch]]="Yes", Table4[[#This Row],[SecondaryMatch]]="Yes"), "Yes", "")</f>
        <v/>
      </c>
    </row>
    <row r="657" spans="1:18" hidden="1" x14ac:dyDescent="0.25">
      <c r="A657" t="s">
        <v>861</v>
      </c>
      <c r="B657" t="s">
        <v>3209</v>
      </c>
      <c r="C657" t="s">
        <v>3210</v>
      </c>
      <c r="D657" t="s">
        <v>3779</v>
      </c>
      <c r="E657" s="1">
        <v>0.34799999999999998</v>
      </c>
      <c r="F657" s="1">
        <v>0.106</v>
      </c>
      <c r="G657">
        <v>1</v>
      </c>
      <c r="H657">
        <v>2</v>
      </c>
      <c r="I657" t="s">
        <v>2673</v>
      </c>
      <c r="J657" t="s">
        <v>1699</v>
      </c>
      <c r="K657" s="39">
        <v>11.878353000000001</v>
      </c>
      <c r="L657" s="1">
        <v>11.176391000000001</v>
      </c>
      <c r="M657" s="1" t="s">
        <v>3780</v>
      </c>
      <c r="N657" s="1">
        <v>999.65200000000004</v>
      </c>
      <c r="O657" s="1">
        <f>ABS(Table4[[#This Row],[EndMP]]-Table4[[#This Row],[StartMP]])</f>
        <v>0.24199999999999999</v>
      </c>
      <c r="P657" s="1" t="str">
        <f>IF( AND( Table4[[#This Row],[Route]]=ClosureLocation!$B$3, ClosureLocation!$B$6 &gt;= Table4[[#This Row],[StartMP]], ClosureLocation!$B$6 &lt;= Table4[[#This Row],[EndMP]]), "Yes", "")</f>
        <v/>
      </c>
      <c r="Q657" s="1" t="str">
        <f>IF( AND( Table4[[#This Row],[Route]]=ClosureLocation!$B$3, ClosureLocation!$B$6 &lt;= Table4[[#This Row],[StartMP]], ClosureLocation!$B$6 &gt;= Table4[[#This Row],[EndMP]]), "Yes", "")</f>
        <v/>
      </c>
      <c r="R657" s="1" t="str">
        <f>IF( OR( Table4[[#This Row],[PrimaryMatch]]="Yes", Table4[[#This Row],[SecondaryMatch]]="Yes"), "Yes", "")</f>
        <v/>
      </c>
    </row>
    <row r="658" spans="1:18" hidden="1" x14ac:dyDescent="0.25">
      <c r="A658" t="s">
        <v>990</v>
      </c>
      <c r="B658" t="s">
        <v>3209</v>
      </c>
      <c r="C658" t="s">
        <v>3210</v>
      </c>
      <c r="D658" t="s">
        <v>3889</v>
      </c>
      <c r="E658" s="1">
        <v>230.767</v>
      </c>
      <c r="F658" s="1">
        <v>227.24600000000001</v>
      </c>
      <c r="G658">
        <v>7</v>
      </c>
      <c r="H658">
        <v>12</v>
      </c>
      <c r="I658" t="s">
        <v>2790</v>
      </c>
      <c r="J658" t="s">
        <v>1693</v>
      </c>
      <c r="K658" s="39">
        <v>11.736903999999999</v>
      </c>
      <c r="L658" s="1">
        <v>11.245248999999999</v>
      </c>
      <c r="M658" s="1" t="s">
        <v>3896</v>
      </c>
      <c r="N658" s="1">
        <v>769.23299999999995</v>
      </c>
      <c r="O658" s="1">
        <f>ABS(Table4[[#This Row],[EndMP]]-Table4[[#This Row],[StartMP]])</f>
        <v>3.5209999999999866</v>
      </c>
      <c r="P658" s="1" t="str">
        <f>IF( AND( Table4[[#This Row],[Route]]=ClosureLocation!$B$3, ClosureLocation!$B$6 &gt;= Table4[[#This Row],[StartMP]], ClosureLocation!$B$6 &lt;= Table4[[#This Row],[EndMP]]), "Yes", "")</f>
        <v/>
      </c>
      <c r="Q658" s="1" t="str">
        <f>IF( AND( Table4[[#This Row],[Route]]=ClosureLocation!$B$3, ClosureLocation!$B$6 &lt;= Table4[[#This Row],[StartMP]], ClosureLocation!$B$6 &gt;= Table4[[#This Row],[EndMP]]), "Yes", "")</f>
        <v/>
      </c>
      <c r="R658" s="1" t="str">
        <f>IF( OR( Table4[[#This Row],[PrimaryMatch]]="Yes", Table4[[#This Row],[SecondaryMatch]]="Yes"), "Yes", "")</f>
        <v/>
      </c>
    </row>
    <row r="659" spans="1:18" hidden="1" x14ac:dyDescent="0.25">
      <c r="A659" t="s">
        <v>836</v>
      </c>
      <c r="B659" t="s">
        <v>3205</v>
      </c>
      <c r="C659" t="s">
        <v>3222</v>
      </c>
      <c r="D659" t="s">
        <v>3750</v>
      </c>
      <c r="E659" s="1">
        <v>0.155</v>
      </c>
      <c r="F659" s="1">
        <v>4.3579999999999997</v>
      </c>
      <c r="G659">
        <v>1</v>
      </c>
      <c r="H659">
        <v>3</v>
      </c>
      <c r="I659" t="s">
        <v>2654</v>
      </c>
      <c r="J659" t="s">
        <v>1707</v>
      </c>
      <c r="K659" s="39">
        <v>11.705014</v>
      </c>
      <c r="L659" s="1">
        <v>12.887947</v>
      </c>
      <c r="M659" s="1" t="s">
        <v>3751</v>
      </c>
      <c r="N659" s="1">
        <v>0.155</v>
      </c>
      <c r="O659" s="1">
        <f>ABS(Table4[[#This Row],[EndMP]]-Table4[[#This Row],[StartMP]])</f>
        <v>4.2029999999999994</v>
      </c>
      <c r="P659" s="1" t="str">
        <f>IF( AND( Table4[[#This Row],[Route]]=ClosureLocation!$B$3, ClosureLocation!$B$6 &gt;= Table4[[#This Row],[StartMP]], ClosureLocation!$B$6 &lt;= Table4[[#This Row],[EndMP]]), "Yes", "")</f>
        <v/>
      </c>
      <c r="Q659" s="1" t="str">
        <f>IF( AND( Table4[[#This Row],[Route]]=ClosureLocation!$B$3, ClosureLocation!$B$6 &lt;= Table4[[#This Row],[StartMP]], ClosureLocation!$B$6 &gt;= Table4[[#This Row],[EndMP]]), "Yes", "")</f>
        <v/>
      </c>
      <c r="R659" s="1" t="str">
        <f>IF( OR( Table4[[#This Row],[PrimaryMatch]]="Yes", Table4[[#This Row],[SecondaryMatch]]="Yes"), "Yes", "")</f>
        <v/>
      </c>
    </row>
    <row r="660" spans="1:18" hidden="1" x14ac:dyDescent="0.25">
      <c r="A660" t="s">
        <v>310</v>
      </c>
      <c r="B660" t="s">
        <v>3205</v>
      </c>
      <c r="C660" t="s">
        <v>3206</v>
      </c>
      <c r="D660" t="s">
        <v>3427</v>
      </c>
      <c r="E660" s="1">
        <v>131.95699999999999</v>
      </c>
      <c r="F660" s="1">
        <v>138.52799999999999</v>
      </c>
      <c r="G660">
        <v>11</v>
      </c>
      <c r="H660">
        <v>10</v>
      </c>
      <c r="I660" t="s">
        <v>2217</v>
      </c>
      <c r="J660" t="s">
        <v>1694</v>
      </c>
      <c r="K660" s="39">
        <v>11.682183</v>
      </c>
      <c r="L660" s="1">
        <v>8.2681120000000004</v>
      </c>
      <c r="M660" s="1" t="s">
        <v>4889</v>
      </c>
      <c r="N660" s="1">
        <v>131.95699999999999</v>
      </c>
      <c r="O660" s="1">
        <f>ABS(Table4[[#This Row],[EndMP]]-Table4[[#This Row],[StartMP]])</f>
        <v>6.570999999999998</v>
      </c>
      <c r="P660" s="1" t="str">
        <f>IF( AND( Table4[[#This Row],[Route]]=ClosureLocation!$B$3, ClosureLocation!$B$6 &gt;= Table4[[#This Row],[StartMP]], ClosureLocation!$B$6 &lt;= Table4[[#This Row],[EndMP]]), "Yes", "")</f>
        <v/>
      </c>
      <c r="Q660" s="1" t="str">
        <f>IF( AND( Table4[[#This Row],[Route]]=ClosureLocation!$B$3, ClosureLocation!$B$6 &lt;= Table4[[#This Row],[StartMP]], ClosureLocation!$B$6 &gt;= Table4[[#This Row],[EndMP]]), "Yes", "")</f>
        <v/>
      </c>
      <c r="R660" s="1" t="str">
        <f>IF( OR( Table4[[#This Row],[PrimaryMatch]]="Yes", Table4[[#This Row],[SecondaryMatch]]="Yes"), "Yes", "")</f>
        <v/>
      </c>
    </row>
    <row r="661" spans="1:18" hidden="1" x14ac:dyDescent="0.25">
      <c r="A661" t="s">
        <v>776</v>
      </c>
      <c r="B661" t="s">
        <v>3209</v>
      </c>
      <c r="C661" t="s">
        <v>3226</v>
      </c>
      <c r="D661" t="s">
        <v>3749</v>
      </c>
      <c r="E661" s="1">
        <v>156.39699999999999</v>
      </c>
      <c r="F661" s="1">
        <v>146.93600000000001</v>
      </c>
      <c r="G661">
        <v>39</v>
      </c>
      <c r="H661">
        <v>92</v>
      </c>
      <c r="I661" t="s">
        <v>2638</v>
      </c>
      <c r="J661" t="s">
        <v>1694</v>
      </c>
      <c r="K661" s="39">
        <v>11.635160000000001</v>
      </c>
      <c r="L661" s="1">
        <v>0.541126</v>
      </c>
      <c r="M661" s="1" t="s">
        <v>4530</v>
      </c>
      <c r="N661" s="1">
        <v>843.60299999999995</v>
      </c>
      <c r="O661" s="1">
        <f>ABS(Table4[[#This Row],[EndMP]]-Table4[[#This Row],[StartMP]])</f>
        <v>9.4609999999999843</v>
      </c>
      <c r="P661" s="1" t="str">
        <f>IF( AND( Table4[[#This Row],[Route]]=ClosureLocation!$B$3, ClosureLocation!$B$6 &gt;= Table4[[#This Row],[StartMP]], ClosureLocation!$B$6 &lt;= Table4[[#This Row],[EndMP]]), "Yes", "")</f>
        <v/>
      </c>
      <c r="Q661" s="1" t="str">
        <f>IF( AND( Table4[[#This Row],[Route]]=ClosureLocation!$B$3, ClosureLocation!$B$6 &lt;= Table4[[#This Row],[StartMP]], ClosureLocation!$B$6 &gt;= Table4[[#This Row],[EndMP]]), "Yes", "")</f>
        <v/>
      </c>
      <c r="R661" s="1" t="str">
        <f>IF( OR( Table4[[#This Row],[PrimaryMatch]]="Yes", Table4[[#This Row],[SecondaryMatch]]="Yes"), "Yes", "")</f>
        <v/>
      </c>
    </row>
    <row r="662" spans="1:18" hidden="1" x14ac:dyDescent="0.25">
      <c r="A662" t="s">
        <v>602</v>
      </c>
      <c r="B662" t="s">
        <v>3205</v>
      </c>
      <c r="C662" t="s">
        <v>3222</v>
      </c>
      <c r="D662" t="s">
        <v>3612</v>
      </c>
      <c r="E662" s="1">
        <v>71.427999999999997</v>
      </c>
      <c r="F662" s="1">
        <v>81.471999999999994</v>
      </c>
      <c r="G662">
        <v>5</v>
      </c>
      <c r="H662">
        <v>5</v>
      </c>
      <c r="I662" t="s">
        <v>2412</v>
      </c>
      <c r="J662" t="s">
        <v>1700</v>
      </c>
      <c r="K662" s="39">
        <v>11.631273</v>
      </c>
      <c r="L662" s="1">
        <v>5.9371840000000002</v>
      </c>
      <c r="M662" s="1" t="s">
        <v>1578</v>
      </c>
      <c r="N662" s="1">
        <v>71.427999999999997</v>
      </c>
      <c r="O662" s="1">
        <f>ABS(Table4[[#This Row],[EndMP]]-Table4[[#This Row],[StartMP]])</f>
        <v>10.043999999999997</v>
      </c>
      <c r="P662" s="1" t="str">
        <f>IF( AND( Table4[[#This Row],[Route]]=ClosureLocation!$B$3, ClosureLocation!$B$6 &gt;= Table4[[#This Row],[StartMP]], ClosureLocation!$B$6 &lt;= Table4[[#This Row],[EndMP]]), "Yes", "")</f>
        <v/>
      </c>
      <c r="Q662" s="1" t="str">
        <f>IF( AND( Table4[[#This Row],[Route]]=ClosureLocation!$B$3, ClosureLocation!$B$6 &lt;= Table4[[#This Row],[StartMP]], ClosureLocation!$B$6 &gt;= Table4[[#This Row],[EndMP]]), "Yes", "")</f>
        <v/>
      </c>
      <c r="R662" s="1" t="str">
        <f>IF( OR( Table4[[#This Row],[PrimaryMatch]]="Yes", Table4[[#This Row],[SecondaryMatch]]="Yes"), "Yes", "")</f>
        <v/>
      </c>
    </row>
    <row r="663" spans="1:18" hidden="1" x14ac:dyDescent="0.25">
      <c r="A663" t="s">
        <v>602</v>
      </c>
      <c r="B663" t="s">
        <v>3209</v>
      </c>
      <c r="C663" t="s">
        <v>3226</v>
      </c>
      <c r="D663" t="s">
        <v>3626</v>
      </c>
      <c r="E663" s="1">
        <v>81.471999999999994</v>
      </c>
      <c r="F663" s="1">
        <v>71.427999999999997</v>
      </c>
      <c r="G663">
        <v>15</v>
      </c>
      <c r="H663">
        <v>11</v>
      </c>
      <c r="I663" t="s">
        <v>2440</v>
      </c>
      <c r="J663" t="s">
        <v>1700</v>
      </c>
      <c r="K663" s="39">
        <v>11.623701000000001</v>
      </c>
      <c r="L663" s="1">
        <v>5.9371840000000002</v>
      </c>
      <c r="M663" s="1" t="s">
        <v>1578</v>
      </c>
      <c r="N663" s="1">
        <v>918.52800000000002</v>
      </c>
      <c r="O663" s="1">
        <f>ABS(Table4[[#This Row],[EndMP]]-Table4[[#This Row],[StartMP]])</f>
        <v>10.043999999999997</v>
      </c>
      <c r="P663" s="1" t="str">
        <f>IF( AND( Table4[[#This Row],[Route]]=ClosureLocation!$B$3, ClosureLocation!$B$6 &gt;= Table4[[#This Row],[StartMP]], ClosureLocation!$B$6 &lt;= Table4[[#This Row],[EndMP]]), "Yes", "")</f>
        <v/>
      </c>
      <c r="Q663" s="1" t="str">
        <f>IF( AND( Table4[[#This Row],[Route]]=ClosureLocation!$B$3, ClosureLocation!$B$6 &lt;= Table4[[#This Row],[StartMP]], ClosureLocation!$B$6 &gt;= Table4[[#This Row],[EndMP]]), "Yes", "")</f>
        <v/>
      </c>
      <c r="R663" s="1" t="str">
        <f>IF( OR( Table4[[#This Row],[PrimaryMatch]]="Yes", Table4[[#This Row],[SecondaryMatch]]="Yes"), "Yes", "")</f>
        <v/>
      </c>
    </row>
    <row r="664" spans="1:18" hidden="1" x14ac:dyDescent="0.25">
      <c r="A664" t="s">
        <v>1654</v>
      </c>
      <c r="B664" t="s">
        <v>3209</v>
      </c>
      <c r="C664" t="s">
        <v>3210</v>
      </c>
      <c r="D664" t="s">
        <v>4401</v>
      </c>
      <c r="E664" s="1">
        <v>45.874000000000002</v>
      </c>
      <c r="F664" s="1">
        <v>2.073</v>
      </c>
      <c r="G664">
        <v>1</v>
      </c>
      <c r="H664">
        <v>3</v>
      </c>
      <c r="I664" t="s">
        <v>3183</v>
      </c>
      <c r="J664" t="s">
        <v>1691</v>
      </c>
      <c r="K664" s="39">
        <v>11.610509</v>
      </c>
      <c r="L664" s="1">
        <v>-9.6128470000000004</v>
      </c>
      <c r="M664" s="1" t="s">
        <v>310</v>
      </c>
      <c r="N664" s="1">
        <v>954.12599999999998</v>
      </c>
      <c r="O664" s="1">
        <f>ABS(Table4[[#This Row],[EndMP]]-Table4[[#This Row],[StartMP]])</f>
        <v>43.801000000000002</v>
      </c>
      <c r="P664" s="1" t="str">
        <f>IF( AND( Table4[[#This Row],[Route]]=ClosureLocation!$B$3, ClosureLocation!$B$6 &gt;= Table4[[#This Row],[StartMP]], ClosureLocation!$B$6 &lt;= Table4[[#This Row],[EndMP]]), "Yes", "")</f>
        <v/>
      </c>
      <c r="Q664" s="1" t="str">
        <f>IF( AND( Table4[[#This Row],[Route]]=ClosureLocation!$B$3, ClosureLocation!$B$6 &lt;= Table4[[#This Row],[StartMP]], ClosureLocation!$B$6 &gt;= Table4[[#This Row],[EndMP]]), "Yes", "")</f>
        <v/>
      </c>
      <c r="R664" s="1" t="str">
        <f>IF( OR( Table4[[#This Row],[PrimaryMatch]]="Yes", Table4[[#This Row],[SecondaryMatch]]="Yes"), "Yes", "")</f>
        <v/>
      </c>
    </row>
    <row r="665" spans="1:18" hidden="1" x14ac:dyDescent="0.25">
      <c r="A665" t="s">
        <v>1516</v>
      </c>
      <c r="B665" t="s">
        <v>3205</v>
      </c>
      <c r="C665" t="s">
        <v>3206</v>
      </c>
      <c r="D665" t="s">
        <v>4285</v>
      </c>
      <c r="E665" s="1">
        <v>314.90199999999999</v>
      </c>
      <c r="F665" s="1">
        <v>318.32600000000002</v>
      </c>
      <c r="G665">
        <v>9</v>
      </c>
      <c r="H665">
        <v>3</v>
      </c>
      <c r="I665" t="s">
        <v>3105</v>
      </c>
      <c r="J665" t="s">
        <v>1700</v>
      </c>
      <c r="K665" s="39">
        <v>11.585851</v>
      </c>
      <c r="L665" s="1">
        <v>13.226684000000001</v>
      </c>
      <c r="M665" s="1" t="s">
        <v>4294</v>
      </c>
      <c r="N665" s="1">
        <v>314.90199999999999</v>
      </c>
      <c r="O665" s="1">
        <f>ABS(Table4[[#This Row],[EndMP]]-Table4[[#This Row],[StartMP]])</f>
        <v>3.424000000000035</v>
      </c>
      <c r="P665" s="1" t="str">
        <f>IF( AND( Table4[[#This Row],[Route]]=ClosureLocation!$B$3, ClosureLocation!$B$6 &gt;= Table4[[#This Row],[StartMP]], ClosureLocation!$B$6 &lt;= Table4[[#This Row],[EndMP]]), "Yes", "")</f>
        <v/>
      </c>
      <c r="Q665" s="1" t="str">
        <f>IF( AND( Table4[[#This Row],[Route]]=ClosureLocation!$B$3, ClosureLocation!$B$6 &lt;= Table4[[#This Row],[StartMP]], ClosureLocation!$B$6 &gt;= Table4[[#This Row],[EndMP]]), "Yes", "")</f>
        <v/>
      </c>
      <c r="R665" s="1" t="str">
        <f>IF( OR( Table4[[#This Row],[PrimaryMatch]]="Yes", Table4[[#This Row],[SecondaryMatch]]="Yes"), "Yes", "")</f>
        <v/>
      </c>
    </row>
    <row r="666" spans="1:18" hidden="1" x14ac:dyDescent="0.25">
      <c r="A666" t="s">
        <v>776</v>
      </c>
      <c r="B666" t="s">
        <v>3205</v>
      </c>
      <c r="C666" t="s">
        <v>3222</v>
      </c>
      <c r="D666" t="s">
        <v>3748</v>
      </c>
      <c r="E666" s="1">
        <v>146.95400000000001</v>
      </c>
      <c r="F666" s="1">
        <v>156.42400000000001</v>
      </c>
      <c r="G666">
        <v>16</v>
      </c>
      <c r="H666">
        <v>16</v>
      </c>
      <c r="I666" t="s">
        <v>2561</v>
      </c>
      <c r="J666" t="s">
        <v>1694</v>
      </c>
      <c r="K666" s="39">
        <v>11.554885000000001</v>
      </c>
      <c r="L666" s="1">
        <v>0.55013699999999999</v>
      </c>
      <c r="M666" s="1" t="s">
        <v>4465</v>
      </c>
      <c r="N666" s="1">
        <v>146.95400000000001</v>
      </c>
      <c r="O666" s="1">
        <f>ABS(Table4[[#This Row],[EndMP]]-Table4[[#This Row],[StartMP]])</f>
        <v>9.4699999999999989</v>
      </c>
      <c r="P666" s="1" t="str">
        <f>IF( AND( Table4[[#This Row],[Route]]=ClosureLocation!$B$3, ClosureLocation!$B$6 &gt;= Table4[[#This Row],[StartMP]], ClosureLocation!$B$6 &lt;= Table4[[#This Row],[EndMP]]), "Yes", "")</f>
        <v/>
      </c>
      <c r="Q666" s="1" t="str">
        <f>IF( AND( Table4[[#This Row],[Route]]=ClosureLocation!$B$3, ClosureLocation!$B$6 &lt;= Table4[[#This Row],[StartMP]], ClosureLocation!$B$6 &gt;= Table4[[#This Row],[EndMP]]), "Yes", "")</f>
        <v/>
      </c>
      <c r="R666" s="1" t="str">
        <f>IF( OR( Table4[[#This Row],[PrimaryMatch]]="Yes", Table4[[#This Row],[SecondaryMatch]]="Yes"), "Yes", "")</f>
        <v/>
      </c>
    </row>
    <row r="667" spans="1:18" hidden="1" x14ac:dyDescent="0.25">
      <c r="A667" t="s">
        <v>693</v>
      </c>
      <c r="B667" t="s">
        <v>3209</v>
      </c>
      <c r="C667" t="s">
        <v>3210</v>
      </c>
      <c r="D667" t="s">
        <v>3665</v>
      </c>
      <c r="E667" s="1">
        <v>111.569</v>
      </c>
      <c r="F667" s="1">
        <v>87.221000000000004</v>
      </c>
      <c r="G667">
        <v>1</v>
      </c>
      <c r="H667">
        <v>4</v>
      </c>
      <c r="I667" t="s">
        <v>2492</v>
      </c>
      <c r="J667" t="s">
        <v>1690</v>
      </c>
      <c r="K667" s="39">
        <v>11.519508999999999</v>
      </c>
      <c r="L667" s="1">
        <v>20.878387</v>
      </c>
      <c r="M667" s="1" t="s">
        <v>3666</v>
      </c>
      <c r="N667" s="1">
        <v>888.43100000000004</v>
      </c>
      <c r="O667" s="1">
        <f>ABS(Table4[[#This Row],[EndMP]]-Table4[[#This Row],[StartMP]])</f>
        <v>24.347999999999999</v>
      </c>
      <c r="P667" s="1" t="str">
        <f>IF( AND( Table4[[#This Row],[Route]]=ClosureLocation!$B$3, ClosureLocation!$B$6 &gt;= Table4[[#This Row],[StartMP]], ClosureLocation!$B$6 &lt;= Table4[[#This Row],[EndMP]]), "Yes", "")</f>
        <v/>
      </c>
      <c r="Q667" s="1" t="str">
        <f>IF( AND( Table4[[#This Row],[Route]]=ClosureLocation!$B$3, ClosureLocation!$B$6 &lt;= Table4[[#This Row],[StartMP]], ClosureLocation!$B$6 &gt;= Table4[[#This Row],[EndMP]]), "Yes", "")</f>
        <v/>
      </c>
      <c r="R667" s="1" t="str">
        <f>IF( OR( Table4[[#This Row],[PrimaryMatch]]="Yes", Table4[[#This Row],[SecondaryMatch]]="Yes"), "Yes", "")</f>
        <v/>
      </c>
    </row>
    <row r="668" spans="1:18" hidden="1" x14ac:dyDescent="0.25">
      <c r="A668" t="s">
        <v>861</v>
      </c>
      <c r="B668" t="s">
        <v>3205</v>
      </c>
      <c r="C668" t="s">
        <v>3206</v>
      </c>
      <c r="D668" t="s">
        <v>3777</v>
      </c>
      <c r="E668" s="1">
        <v>0.106</v>
      </c>
      <c r="F668" s="1">
        <v>0.34799999999999998</v>
      </c>
      <c r="G668">
        <v>1</v>
      </c>
      <c r="H668">
        <v>1</v>
      </c>
      <c r="I668" t="s">
        <v>2672</v>
      </c>
      <c r="J668" t="s">
        <v>1699</v>
      </c>
      <c r="K668" s="39">
        <v>11.492411000000001</v>
      </c>
      <c r="L668" s="1">
        <v>10.981047</v>
      </c>
      <c r="M668" s="1" t="s">
        <v>3778</v>
      </c>
      <c r="N668" s="1">
        <v>0.106</v>
      </c>
      <c r="O668" s="1">
        <f>ABS(Table4[[#This Row],[EndMP]]-Table4[[#This Row],[StartMP]])</f>
        <v>0.24199999999999999</v>
      </c>
      <c r="P668" s="1" t="str">
        <f>IF( AND( Table4[[#This Row],[Route]]=ClosureLocation!$B$3, ClosureLocation!$B$6 &gt;= Table4[[#This Row],[StartMP]], ClosureLocation!$B$6 &lt;= Table4[[#This Row],[EndMP]]), "Yes", "")</f>
        <v/>
      </c>
      <c r="Q668" s="1" t="str">
        <f>IF( AND( Table4[[#This Row],[Route]]=ClosureLocation!$B$3, ClosureLocation!$B$6 &lt;= Table4[[#This Row],[StartMP]], ClosureLocation!$B$6 &gt;= Table4[[#This Row],[EndMP]]), "Yes", "")</f>
        <v/>
      </c>
      <c r="R668" s="1" t="str">
        <f>IF( OR( Table4[[#This Row],[PrimaryMatch]]="Yes", Table4[[#This Row],[SecondaryMatch]]="Yes"), "Yes", "")</f>
        <v/>
      </c>
    </row>
    <row r="669" spans="1:18" hidden="1" x14ac:dyDescent="0.25">
      <c r="A669" t="s">
        <v>1654</v>
      </c>
      <c r="B669" t="s">
        <v>3205</v>
      </c>
      <c r="C669" t="s">
        <v>3206</v>
      </c>
      <c r="D669" t="s">
        <v>4399</v>
      </c>
      <c r="E669" s="1">
        <v>2.0379999999999998</v>
      </c>
      <c r="F669" s="1">
        <v>45.892000000000003</v>
      </c>
      <c r="G669">
        <v>1</v>
      </c>
      <c r="H669">
        <v>1</v>
      </c>
      <c r="I669" t="s">
        <v>3181</v>
      </c>
      <c r="J669" t="s">
        <v>1691</v>
      </c>
      <c r="K669" s="39">
        <v>11.479054</v>
      </c>
      <c r="L669" s="1">
        <v>-9.6463599999999996</v>
      </c>
      <c r="M669" s="1" t="s">
        <v>310</v>
      </c>
      <c r="N669" s="1">
        <v>2.0379999999999998</v>
      </c>
      <c r="O669" s="1">
        <f>ABS(Table4[[#This Row],[EndMP]]-Table4[[#This Row],[StartMP]])</f>
        <v>43.854000000000006</v>
      </c>
      <c r="P669" s="1" t="str">
        <f>IF( AND( Table4[[#This Row],[Route]]=ClosureLocation!$B$3, ClosureLocation!$B$6 &gt;= Table4[[#This Row],[StartMP]], ClosureLocation!$B$6 &lt;= Table4[[#This Row],[EndMP]]), "Yes", "")</f>
        <v/>
      </c>
      <c r="Q669" s="1" t="str">
        <f>IF( AND( Table4[[#This Row],[Route]]=ClosureLocation!$B$3, ClosureLocation!$B$6 &lt;= Table4[[#This Row],[StartMP]], ClosureLocation!$B$6 &gt;= Table4[[#This Row],[EndMP]]), "Yes", "")</f>
        <v/>
      </c>
      <c r="R669" s="1" t="str">
        <f>IF( OR( Table4[[#This Row],[PrimaryMatch]]="Yes", Table4[[#This Row],[SecondaryMatch]]="Yes"), "Yes", "")</f>
        <v/>
      </c>
    </row>
    <row r="670" spans="1:18" hidden="1" x14ac:dyDescent="0.25">
      <c r="A670" t="s">
        <v>1167</v>
      </c>
      <c r="B670" t="s">
        <v>3209</v>
      </c>
      <c r="C670" t="s">
        <v>3226</v>
      </c>
      <c r="D670" t="s">
        <v>4029</v>
      </c>
      <c r="E670" s="1">
        <v>49.542999999999999</v>
      </c>
      <c r="F670" s="1">
        <v>45.765999999999998</v>
      </c>
      <c r="G670">
        <v>3</v>
      </c>
      <c r="H670">
        <v>7</v>
      </c>
      <c r="I670" t="s">
        <v>2890</v>
      </c>
      <c r="J670" t="s">
        <v>1689</v>
      </c>
      <c r="K670" s="39">
        <v>11.155606000000001</v>
      </c>
      <c r="L670" s="1">
        <v>7.2914960000000004</v>
      </c>
      <c r="M670" s="1" t="s">
        <v>4032</v>
      </c>
      <c r="N670" s="1">
        <v>950.45699999999999</v>
      </c>
      <c r="O670" s="1">
        <f>ABS(Table4[[#This Row],[EndMP]]-Table4[[#This Row],[StartMP]])</f>
        <v>3.777000000000001</v>
      </c>
      <c r="P670" s="1" t="str">
        <f>IF( AND( Table4[[#This Row],[Route]]=ClosureLocation!$B$3, ClosureLocation!$B$6 &gt;= Table4[[#This Row],[StartMP]], ClosureLocation!$B$6 &lt;= Table4[[#This Row],[EndMP]]), "Yes", "")</f>
        <v/>
      </c>
      <c r="Q670" s="1" t="str">
        <f>IF( AND( Table4[[#This Row],[Route]]=ClosureLocation!$B$3, ClosureLocation!$B$6 &lt;= Table4[[#This Row],[StartMP]], ClosureLocation!$B$6 &gt;= Table4[[#This Row],[EndMP]]), "Yes", "")</f>
        <v/>
      </c>
      <c r="R670" s="1" t="str">
        <f>IF( OR( Table4[[#This Row],[PrimaryMatch]]="Yes", Table4[[#This Row],[SecondaryMatch]]="Yes"), "Yes", "")</f>
        <v/>
      </c>
    </row>
    <row r="671" spans="1:18" hidden="1" x14ac:dyDescent="0.25">
      <c r="A671" t="s">
        <v>1516</v>
      </c>
      <c r="B671" t="s">
        <v>3209</v>
      </c>
      <c r="C671" t="s">
        <v>3210</v>
      </c>
      <c r="D671" t="s">
        <v>4296</v>
      </c>
      <c r="E671" s="1">
        <v>318.32600000000002</v>
      </c>
      <c r="F671" s="1">
        <v>314.90199999999999</v>
      </c>
      <c r="G671">
        <v>3</v>
      </c>
      <c r="H671">
        <v>4</v>
      </c>
      <c r="I671" t="s">
        <v>3111</v>
      </c>
      <c r="J671" t="s">
        <v>1700</v>
      </c>
      <c r="K671" s="39">
        <v>11.142657</v>
      </c>
      <c r="L671" s="1">
        <v>12.904123</v>
      </c>
      <c r="M671" s="1" t="s">
        <v>4298</v>
      </c>
      <c r="N671" s="1">
        <v>681.67399999999998</v>
      </c>
      <c r="O671" s="1">
        <f>ABS(Table4[[#This Row],[EndMP]]-Table4[[#This Row],[StartMP]])</f>
        <v>3.424000000000035</v>
      </c>
      <c r="P671" s="1" t="str">
        <f>IF( AND( Table4[[#This Row],[Route]]=ClosureLocation!$B$3, ClosureLocation!$B$6 &gt;= Table4[[#This Row],[StartMP]], ClosureLocation!$B$6 &lt;= Table4[[#This Row],[EndMP]]), "Yes", "")</f>
        <v/>
      </c>
      <c r="Q671" s="1" t="str">
        <f>IF( AND( Table4[[#This Row],[Route]]=ClosureLocation!$B$3, ClosureLocation!$B$6 &lt;= Table4[[#This Row],[StartMP]], ClosureLocation!$B$6 &gt;= Table4[[#This Row],[EndMP]]), "Yes", "")</f>
        <v/>
      </c>
      <c r="R671" s="1" t="str">
        <f>IF( OR( Table4[[#This Row],[PrimaryMatch]]="Yes", Table4[[#This Row],[SecondaryMatch]]="Yes"), "Yes", "")</f>
        <v/>
      </c>
    </row>
    <row r="672" spans="1:18" hidden="1" x14ac:dyDescent="0.25">
      <c r="A672" t="s">
        <v>852</v>
      </c>
      <c r="B672" t="s">
        <v>3209</v>
      </c>
      <c r="C672" t="s">
        <v>3206</v>
      </c>
      <c r="D672" t="s">
        <v>3769</v>
      </c>
      <c r="E672" s="1">
        <v>0.57699999999999996</v>
      </c>
      <c r="F672" s="1">
        <v>0.14899999999999999</v>
      </c>
      <c r="G672">
        <v>1</v>
      </c>
      <c r="H672">
        <v>1</v>
      </c>
      <c r="I672" t="s">
        <v>2668</v>
      </c>
      <c r="J672" t="s">
        <v>1699</v>
      </c>
      <c r="K672" s="39">
        <v>11.132705</v>
      </c>
      <c r="L672" s="1">
        <v>7.8318589999999997</v>
      </c>
      <c r="M672" s="1" t="s">
        <v>3770</v>
      </c>
      <c r="N672" s="1">
        <v>999.423</v>
      </c>
      <c r="O672" s="1">
        <f>ABS(Table4[[#This Row],[EndMP]]-Table4[[#This Row],[StartMP]])</f>
        <v>0.42799999999999994</v>
      </c>
      <c r="P672" s="1" t="str">
        <f>IF( AND( Table4[[#This Row],[Route]]=ClosureLocation!$B$3, ClosureLocation!$B$6 &gt;= Table4[[#This Row],[StartMP]], ClosureLocation!$B$6 &lt;= Table4[[#This Row],[EndMP]]), "Yes", "")</f>
        <v/>
      </c>
      <c r="Q672" s="1" t="str">
        <f>IF( AND( Table4[[#This Row],[Route]]=ClosureLocation!$B$3, ClosureLocation!$B$6 &lt;= Table4[[#This Row],[StartMP]], ClosureLocation!$B$6 &gt;= Table4[[#This Row],[EndMP]]), "Yes", "")</f>
        <v/>
      </c>
      <c r="R672" s="1" t="str">
        <f>IF( OR( Table4[[#This Row],[PrimaryMatch]]="Yes", Table4[[#This Row],[SecondaryMatch]]="Yes"), "Yes", "")</f>
        <v/>
      </c>
    </row>
    <row r="673" spans="1:18" hidden="1" x14ac:dyDescent="0.25">
      <c r="A673" t="s">
        <v>852</v>
      </c>
      <c r="B673" t="s">
        <v>3205</v>
      </c>
      <c r="C673" t="s">
        <v>3210</v>
      </c>
      <c r="D673" t="s">
        <v>3771</v>
      </c>
      <c r="E673" s="1">
        <v>0.14899999999999999</v>
      </c>
      <c r="F673" s="1">
        <v>0.57699999999999996</v>
      </c>
      <c r="G673">
        <v>1</v>
      </c>
      <c r="H673">
        <v>2</v>
      </c>
      <c r="I673" t="s">
        <v>2669</v>
      </c>
      <c r="J673" t="s">
        <v>1699</v>
      </c>
      <c r="K673" s="39">
        <v>10.970326999999999</v>
      </c>
      <c r="L673" s="1">
        <v>7.8073699999999997</v>
      </c>
      <c r="M673" s="1" t="s">
        <v>3772</v>
      </c>
      <c r="N673" s="1">
        <v>0.14899999999999999</v>
      </c>
      <c r="O673" s="1">
        <f>ABS(Table4[[#This Row],[EndMP]]-Table4[[#This Row],[StartMP]])</f>
        <v>0.42799999999999994</v>
      </c>
      <c r="P673" s="1" t="str">
        <f>IF( AND( Table4[[#This Row],[Route]]=ClosureLocation!$B$3, ClosureLocation!$B$6 &gt;= Table4[[#This Row],[StartMP]], ClosureLocation!$B$6 &lt;= Table4[[#This Row],[EndMP]]), "Yes", "")</f>
        <v/>
      </c>
      <c r="Q673" s="1" t="str">
        <f>IF( AND( Table4[[#This Row],[Route]]=ClosureLocation!$B$3, ClosureLocation!$B$6 &lt;= Table4[[#This Row],[StartMP]], ClosureLocation!$B$6 &gt;= Table4[[#This Row],[EndMP]]), "Yes", "")</f>
        <v/>
      </c>
      <c r="R673" s="1" t="str">
        <f>IF( OR( Table4[[#This Row],[PrimaryMatch]]="Yes", Table4[[#This Row],[SecondaryMatch]]="Yes"), "Yes", "")</f>
        <v/>
      </c>
    </row>
    <row r="674" spans="1:18" hidden="1" x14ac:dyDescent="0.25">
      <c r="A674" t="s">
        <v>1397</v>
      </c>
      <c r="B674" t="s">
        <v>3205</v>
      </c>
      <c r="C674" t="s">
        <v>3222</v>
      </c>
      <c r="D674" t="s">
        <v>4180</v>
      </c>
      <c r="E674" s="1">
        <v>0</v>
      </c>
      <c r="F674" s="1">
        <v>8.1590000000000007</v>
      </c>
      <c r="G674">
        <v>1</v>
      </c>
      <c r="H674">
        <v>1</v>
      </c>
      <c r="I674" t="s">
        <v>3008</v>
      </c>
      <c r="J674" t="s">
        <v>1692</v>
      </c>
      <c r="K674" s="39">
        <v>10.969181000000001</v>
      </c>
      <c r="L674" s="1">
        <v>12.181350999999999</v>
      </c>
      <c r="M674" s="1" t="s">
        <v>4181</v>
      </c>
      <c r="N674" s="1">
        <v>0</v>
      </c>
      <c r="O674" s="1">
        <f>ABS(Table4[[#This Row],[EndMP]]-Table4[[#This Row],[StartMP]])</f>
        <v>8.1590000000000007</v>
      </c>
      <c r="P674" s="1" t="str">
        <f>IF( AND( Table4[[#This Row],[Route]]=ClosureLocation!$B$3, ClosureLocation!$B$6 &gt;= Table4[[#This Row],[StartMP]], ClosureLocation!$B$6 &lt;= Table4[[#This Row],[EndMP]]), "Yes", "")</f>
        <v/>
      </c>
      <c r="Q674" s="1" t="str">
        <f>IF( AND( Table4[[#This Row],[Route]]=ClosureLocation!$B$3, ClosureLocation!$B$6 &lt;= Table4[[#This Row],[StartMP]], ClosureLocation!$B$6 &gt;= Table4[[#This Row],[EndMP]]), "Yes", "")</f>
        <v/>
      </c>
      <c r="R674" s="1" t="str">
        <f>IF( OR( Table4[[#This Row],[PrimaryMatch]]="Yes", Table4[[#This Row],[SecondaryMatch]]="Yes"), "Yes", "")</f>
        <v/>
      </c>
    </row>
    <row r="675" spans="1:18" hidden="1" x14ac:dyDescent="0.25">
      <c r="A675" t="s">
        <v>1397</v>
      </c>
      <c r="B675" t="s">
        <v>3209</v>
      </c>
      <c r="C675" t="s">
        <v>3226</v>
      </c>
      <c r="D675" t="s">
        <v>4182</v>
      </c>
      <c r="E675" s="1">
        <v>8.1590000000000007</v>
      </c>
      <c r="F675" s="1">
        <v>0</v>
      </c>
      <c r="G675">
        <v>1</v>
      </c>
      <c r="H675">
        <v>2</v>
      </c>
      <c r="I675" t="s">
        <v>3009</v>
      </c>
      <c r="J675" t="s">
        <v>1692</v>
      </c>
      <c r="K675" s="39">
        <v>10.968432999999999</v>
      </c>
      <c r="L675" s="1">
        <v>12.181350999999999</v>
      </c>
      <c r="M675" s="1" t="s">
        <v>4183</v>
      </c>
      <c r="N675" s="1">
        <v>991.84100000000001</v>
      </c>
      <c r="O675" s="1">
        <f>ABS(Table4[[#This Row],[EndMP]]-Table4[[#This Row],[StartMP]])</f>
        <v>8.1590000000000007</v>
      </c>
      <c r="P675" s="1" t="str">
        <f>IF( AND( Table4[[#This Row],[Route]]=ClosureLocation!$B$3, ClosureLocation!$B$6 &gt;= Table4[[#This Row],[StartMP]], ClosureLocation!$B$6 &lt;= Table4[[#This Row],[EndMP]]), "Yes", "")</f>
        <v/>
      </c>
      <c r="Q675" s="1" t="str">
        <f>IF( AND( Table4[[#This Row],[Route]]=ClosureLocation!$B$3, ClosureLocation!$B$6 &lt;= Table4[[#This Row],[StartMP]], ClosureLocation!$B$6 &gt;= Table4[[#This Row],[EndMP]]), "Yes", "")</f>
        <v/>
      </c>
      <c r="R675" s="1" t="str">
        <f>IF( OR( Table4[[#This Row],[PrimaryMatch]]="Yes", Table4[[#This Row],[SecondaryMatch]]="Yes"), "Yes", "")</f>
        <v/>
      </c>
    </row>
    <row r="676" spans="1:18" hidden="1" x14ac:dyDescent="0.25">
      <c r="A676" t="s">
        <v>1058</v>
      </c>
      <c r="B676" t="s">
        <v>3205</v>
      </c>
      <c r="C676" t="s">
        <v>3206</v>
      </c>
      <c r="D676" t="s">
        <v>3948</v>
      </c>
      <c r="E676" s="1">
        <v>7.5730000000000004</v>
      </c>
      <c r="F676" s="1">
        <v>17.422000000000001</v>
      </c>
      <c r="G676">
        <v>2</v>
      </c>
      <c r="H676">
        <v>2</v>
      </c>
      <c r="I676" t="s">
        <v>2830</v>
      </c>
      <c r="J676" t="s">
        <v>1693</v>
      </c>
      <c r="K676" s="39">
        <v>10.861878000000001</v>
      </c>
      <c r="L676" s="1">
        <v>11.093254</v>
      </c>
      <c r="M676" s="1" t="s">
        <v>3950</v>
      </c>
      <c r="N676" s="1">
        <v>7.5730000000000004</v>
      </c>
      <c r="O676" s="1">
        <f>ABS(Table4[[#This Row],[EndMP]]-Table4[[#This Row],[StartMP]])</f>
        <v>9.8490000000000002</v>
      </c>
      <c r="P676" s="1" t="str">
        <f>IF( AND( Table4[[#This Row],[Route]]=ClosureLocation!$B$3, ClosureLocation!$B$6 &gt;= Table4[[#This Row],[StartMP]], ClosureLocation!$B$6 &lt;= Table4[[#This Row],[EndMP]]), "Yes", "")</f>
        <v/>
      </c>
      <c r="Q676" s="1" t="str">
        <f>IF( AND( Table4[[#This Row],[Route]]=ClosureLocation!$B$3, ClosureLocation!$B$6 &lt;= Table4[[#This Row],[StartMP]], ClosureLocation!$B$6 &gt;= Table4[[#This Row],[EndMP]]), "Yes", "")</f>
        <v/>
      </c>
      <c r="R676" s="1" t="str">
        <f>IF( OR( Table4[[#This Row],[PrimaryMatch]]="Yes", Table4[[#This Row],[SecondaryMatch]]="Yes"), "Yes", "")</f>
        <v/>
      </c>
    </row>
    <row r="677" spans="1:18" hidden="1" x14ac:dyDescent="0.25">
      <c r="A677" t="s">
        <v>310</v>
      </c>
      <c r="B677" t="s">
        <v>3209</v>
      </c>
      <c r="C677" t="s">
        <v>3210</v>
      </c>
      <c r="D677" t="s">
        <v>3444</v>
      </c>
      <c r="E677" s="1">
        <v>199.08199999999999</v>
      </c>
      <c r="F677" s="1">
        <v>195.39099999999999</v>
      </c>
      <c r="G677">
        <v>22</v>
      </c>
      <c r="H677">
        <v>16</v>
      </c>
      <c r="I677" t="s">
        <v>2261</v>
      </c>
      <c r="J677" t="s">
        <v>1700</v>
      </c>
      <c r="K677" s="39">
        <v>10.857436999999999</v>
      </c>
      <c r="L677" s="1">
        <v>16.442889000000001</v>
      </c>
      <c r="M677" s="1" t="s">
        <v>3459</v>
      </c>
      <c r="N677" s="1">
        <v>800.91800000000001</v>
      </c>
      <c r="O677" s="1">
        <f>ABS(Table4[[#This Row],[EndMP]]-Table4[[#This Row],[StartMP]])</f>
        <v>3.6910000000000025</v>
      </c>
      <c r="P677" s="1" t="str">
        <f>IF( AND( Table4[[#This Row],[Route]]=ClosureLocation!$B$3, ClosureLocation!$B$6 &gt;= Table4[[#This Row],[StartMP]], ClosureLocation!$B$6 &lt;= Table4[[#This Row],[EndMP]]), "Yes", "")</f>
        <v/>
      </c>
      <c r="Q677" s="1" t="str">
        <f>IF( AND( Table4[[#This Row],[Route]]=ClosureLocation!$B$3, ClosureLocation!$B$6 &lt;= Table4[[#This Row],[StartMP]], ClosureLocation!$B$6 &gt;= Table4[[#This Row],[EndMP]]), "Yes", "")</f>
        <v/>
      </c>
      <c r="R677" s="1" t="str">
        <f>IF( OR( Table4[[#This Row],[PrimaryMatch]]="Yes", Table4[[#This Row],[SecondaryMatch]]="Yes"), "Yes", "")</f>
        <v/>
      </c>
    </row>
    <row r="678" spans="1:18" hidden="1" x14ac:dyDescent="0.25">
      <c r="A678" t="s">
        <v>836</v>
      </c>
      <c r="B678" t="s">
        <v>3205</v>
      </c>
      <c r="C678" t="s">
        <v>3222</v>
      </c>
      <c r="D678" t="s">
        <v>3750</v>
      </c>
      <c r="E678" s="1">
        <v>4.3579999999999997</v>
      </c>
      <c r="F678" s="1">
        <v>5.6609999999999996</v>
      </c>
      <c r="G678">
        <v>2</v>
      </c>
      <c r="H678">
        <v>4</v>
      </c>
      <c r="I678" t="s">
        <v>2655</v>
      </c>
      <c r="J678" t="s">
        <v>1707</v>
      </c>
      <c r="K678" s="39">
        <v>10.769548</v>
      </c>
      <c r="L678" s="1">
        <v>6.5277279999999998</v>
      </c>
      <c r="M678" s="1" t="s">
        <v>3752</v>
      </c>
      <c r="N678" s="1">
        <v>4.3579999999999997</v>
      </c>
      <c r="O678" s="1">
        <f>ABS(Table4[[#This Row],[EndMP]]-Table4[[#This Row],[StartMP]])</f>
        <v>1.3029999999999999</v>
      </c>
      <c r="P678" s="1" t="str">
        <f>IF( AND( Table4[[#This Row],[Route]]=ClosureLocation!$B$3, ClosureLocation!$B$6 &gt;= Table4[[#This Row],[StartMP]], ClosureLocation!$B$6 &lt;= Table4[[#This Row],[EndMP]]), "Yes", "")</f>
        <v/>
      </c>
      <c r="Q678" s="1" t="str">
        <f>IF( AND( Table4[[#This Row],[Route]]=ClosureLocation!$B$3, ClosureLocation!$B$6 &lt;= Table4[[#This Row],[StartMP]], ClosureLocation!$B$6 &gt;= Table4[[#This Row],[EndMP]]), "Yes", "")</f>
        <v/>
      </c>
      <c r="R678" s="1" t="str">
        <f>IF( OR( Table4[[#This Row],[PrimaryMatch]]="Yes", Table4[[#This Row],[SecondaryMatch]]="Yes"), "Yes", "")</f>
        <v/>
      </c>
    </row>
    <row r="679" spans="1:18" hidden="1" x14ac:dyDescent="0.25">
      <c r="A679" t="s">
        <v>1081</v>
      </c>
      <c r="B679" t="s">
        <v>3205</v>
      </c>
      <c r="C679" t="s">
        <v>3222</v>
      </c>
      <c r="D679" t="s">
        <v>3973</v>
      </c>
      <c r="E679" s="1">
        <v>99.58</v>
      </c>
      <c r="F679" s="1">
        <v>105.83</v>
      </c>
      <c r="G679">
        <v>3</v>
      </c>
      <c r="H679">
        <v>3</v>
      </c>
      <c r="I679" t="s">
        <v>2848</v>
      </c>
      <c r="J679" t="s">
        <v>1693</v>
      </c>
      <c r="K679" s="39">
        <v>10.649480000000001</v>
      </c>
      <c r="L679" s="1">
        <v>11.452069</v>
      </c>
      <c r="M679" s="1" t="s">
        <v>3976</v>
      </c>
      <c r="N679" s="1">
        <v>99.58</v>
      </c>
      <c r="O679" s="1">
        <f>ABS(Table4[[#This Row],[EndMP]]-Table4[[#This Row],[StartMP]])</f>
        <v>6.25</v>
      </c>
      <c r="P679" s="1" t="str">
        <f>IF( AND( Table4[[#This Row],[Route]]=ClosureLocation!$B$3, ClosureLocation!$B$6 &gt;= Table4[[#This Row],[StartMP]], ClosureLocation!$B$6 &lt;= Table4[[#This Row],[EndMP]]), "Yes", "")</f>
        <v/>
      </c>
      <c r="Q679" s="1" t="str">
        <f>IF( AND( Table4[[#This Row],[Route]]=ClosureLocation!$B$3, ClosureLocation!$B$6 &lt;= Table4[[#This Row],[StartMP]], ClosureLocation!$B$6 &gt;= Table4[[#This Row],[EndMP]]), "Yes", "")</f>
        <v/>
      </c>
      <c r="R679" s="1" t="str">
        <f>IF( OR( Table4[[#This Row],[PrimaryMatch]]="Yes", Table4[[#This Row],[SecondaryMatch]]="Yes"), "Yes", "")</f>
        <v/>
      </c>
    </row>
    <row r="680" spans="1:18" hidden="1" x14ac:dyDescent="0.25">
      <c r="A680" t="s">
        <v>1081</v>
      </c>
      <c r="B680" t="s">
        <v>3209</v>
      </c>
      <c r="C680" t="s">
        <v>3226</v>
      </c>
      <c r="D680" t="s">
        <v>3977</v>
      </c>
      <c r="E680" s="1">
        <v>105.83</v>
      </c>
      <c r="F680" s="1">
        <v>99.58</v>
      </c>
      <c r="G680">
        <v>1</v>
      </c>
      <c r="H680">
        <v>4</v>
      </c>
      <c r="I680" t="s">
        <v>2849</v>
      </c>
      <c r="J680" t="s">
        <v>1693</v>
      </c>
      <c r="K680" s="39">
        <v>10.6493</v>
      </c>
      <c r="L680" s="1">
        <v>11.452069</v>
      </c>
      <c r="M680" s="1" t="s">
        <v>3978</v>
      </c>
      <c r="N680" s="1">
        <v>894.17</v>
      </c>
      <c r="O680" s="1">
        <f>ABS(Table4[[#This Row],[EndMP]]-Table4[[#This Row],[StartMP]])</f>
        <v>6.25</v>
      </c>
      <c r="P680" s="1" t="str">
        <f>IF( AND( Table4[[#This Row],[Route]]=ClosureLocation!$B$3, ClosureLocation!$B$6 &gt;= Table4[[#This Row],[StartMP]], ClosureLocation!$B$6 &lt;= Table4[[#This Row],[EndMP]]), "Yes", "")</f>
        <v/>
      </c>
      <c r="Q680" s="1" t="str">
        <f>IF( AND( Table4[[#This Row],[Route]]=ClosureLocation!$B$3, ClosureLocation!$B$6 &lt;= Table4[[#This Row],[StartMP]], ClosureLocation!$B$6 &gt;= Table4[[#This Row],[EndMP]]), "Yes", "")</f>
        <v/>
      </c>
      <c r="R680" s="1" t="str">
        <f>IF( OR( Table4[[#This Row],[PrimaryMatch]]="Yes", Table4[[#This Row],[SecondaryMatch]]="Yes"), "Yes", "")</f>
        <v/>
      </c>
    </row>
    <row r="681" spans="1:18" hidden="1" x14ac:dyDescent="0.25">
      <c r="A681" t="s">
        <v>1569</v>
      </c>
      <c r="B681" t="s">
        <v>3205</v>
      </c>
      <c r="C681" t="s">
        <v>3222</v>
      </c>
      <c r="D681" t="s">
        <v>4310</v>
      </c>
      <c r="E681" s="1">
        <v>0</v>
      </c>
      <c r="F681" s="1">
        <v>0.47799999999999998</v>
      </c>
      <c r="G681">
        <v>1</v>
      </c>
      <c r="H681">
        <v>1</v>
      </c>
      <c r="I681" t="s">
        <v>3121</v>
      </c>
      <c r="J681" t="s">
        <v>1708</v>
      </c>
      <c r="K681" s="39">
        <v>10.647015</v>
      </c>
      <c r="L681" s="1">
        <v>10.176781999999999</v>
      </c>
      <c r="M681" s="1" t="s">
        <v>4311</v>
      </c>
      <c r="N681" s="1">
        <v>0</v>
      </c>
      <c r="O681" s="1">
        <f>ABS(Table4[[#This Row],[EndMP]]-Table4[[#This Row],[StartMP]])</f>
        <v>0.47799999999999998</v>
      </c>
      <c r="P681" s="1" t="str">
        <f>IF( AND( Table4[[#This Row],[Route]]=ClosureLocation!$B$3, ClosureLocation!$B$6 &gt;= Table4[[#This Row],[StartMP]], ClosureLocation!$B$6 &lt;= Table4[[#This Row],[EndMP]]), "Yes", "")</f>
        <v/>
      </c>
      <c r="Q681" s="1" t="str">
        <f>IF( AND( Table4[[#This Row],[Route]]=ClosureLocation!$B$3, ClosureLocation!$B$6 &lt;= Table4[[#This Row],[StartMP]], ClosureLocation!$B$6 &gt;= Table4[[#This Row],[EndMP]]), "Yes", "")</f>
        <v/>
      </c>
      <c r="R681" s="1" t="str">
        <f>IF( OR( Table4[[#This Row],[PrimaryMatch]]="Yes", Table4[[#This Row],[SecondaryMatch]]="Yes"), "Yes", "")</f>
        <v/>
      </c>
    </row>
    <row r="682" spans="1:18" hidden="1" x14ac:dyDescent="0.25">
      <c r="A682" t="s">
        <v>836</v>
      </c>
      <c r="B682" t="s">
        <v>3209</v>
      </c>
      <c r="C682" t="s">
        <v>3226</v>
      </c>
      <c r="D682" t="s">
        <v>3756</v>
      </c>
      <c r="E682" s="1">
        <v>4.6539999999999999</v>
      </c>
      <c r="F682" s="1">
        <v>0.95899999999999996</v>
      </c>
      <c r="G682">
        <v>3</v>
      </c>
      <c r="H682">
        <v>1</v>
      </c>
      <c r="I682" t="s">
        <v>2662</v>
      </c>
      <c r="J682" t="s">
        <v>1707</v>
      </c>
      <c r="K682" s="39">
        <v>10.638002999999999</v>
      </c>
      <c r="L682" s="1">
        <v>6.5380099999999999</v>
      </c>
      <c r="M682" s="1" t="s">
        <v>3759</v>
      </c>
      <c r="N682" s="1">
        <v>995.346</v>
      </c>
      <c r="O682" s="1">
        <f>ABS(Table4[[#This Row],[EndMP]]-Table4[[#This Row],[StartMP]])</f>
        <v>3.6949999999999998</v>
      </c>
      <c r="P682" s="1" t="str">
        <f>IF( AND( Table4[[#This Row],[Route]]=ClosureLocation!$B$3, ClosureLocation!$B$6 &gt;= Table4[[#This Row],[StartMP]], ClosureLocation!$B$6 &lt;= Table4[[#This Row],[EndMP]]), "Yes", "")</f>
        <v/>
      </c>
      <c r="Q682" s="1" t="str">
        <f>IF( AND( Table4[[#This Row],[Route]]=ClosureLocation!$B$3, ClosureLocation!$B$6 &lt;= Table4[[#This Row],[StartMP]], ClosureLocation!$B$6 &gt;= Table4[[#This Row],[EndMP]]), "Yes", "")</f>
        <v/>
      </c>
      <c r="R682" s="1" t="str">
        <f>IF( OR( Table4[[#This Row],[PrimaryMatch]]="Yes", Table4[[#This Row],[SecondaryMatch]]="Yes"), "Yes", "")</f>
        <v/>
      </c>
    </row>
    <row r="683" spans="1:18" hidden="1" x14ac:dyDescent="0.25">
      <c r="A683" t="s">
        <v>772</v>
      </c>
      <c r="B683" t="s">
        <v>3205</v>
      </c>
      <c r="C683" t="s">
        <v>3206</v>
      </c>
      <c r="D683" t="s">
        <v>3744</v>
      </c>
      <c r="E683" s="1">
        <v>0</v>
      </c>
      <c r="F683" s="1">
        <v>82.664000000000001</v>
      </c>
      <c r="G683">
        <v>1</v>
      </c>
      <c r="H683">
        <v>1</v>
      </c>
      <c r="I683" t="s">
        <v>2544</v>
      </c>
      <c r="J683" t="s">
        <v>1699</v>
      </c>
      <c r="K683" s="39">
        <v>10.592273</v>
      </c>
      <c r="L683" s="1">
        <v>28.893509000000002</v>
      </c>
      <c r="M683" s="1" t="s">
        <v>3745</v>
      </c>
      <c r="N683" s="1">
        <v>0</v>
      </c>
      <c r="O683" s="1">
        <f>ABS(Table4[[#This Row],[EndMP]]-Table4[[#This Row],[StartMP]])</f>
        <v>82.664000000000001</v>
      </c>
      <c r="P683" s="1" t="str">
        <f>IF( AND( Table4[[#This Row],[Route]]=ClosureLocation!$B$3, ClosureLocation!$B$6 &gt;= Table4[[#This Row],[StartMP]], ClosureLocation!$B$6 &lt;= Table4[[#This Row],[EndMP]]), "Yes", "")</f>
        <v/>
      </c>
      <c r="Q683" s="1" t="str">
        <f>IF( AND( Table4[[#This Row],[Route]]=ClosureLocation!$B$3, ClosureLocation!$B$6 &lt;= Table4[[#This Row],[StartMP]], ClosureLocation!$B$6 &gt;= Table4[[#This Row],[EndMP]]), "Yes", "")</f>
        <v/>
      </c>
      <c r="R683" s="1" t="str">
        <f>IF( OR( Table4[[#This Row],[PrimaryMatch]]="Yes", Table4[[#This Row],[SecondaryMatch]]="Yes"), "Yes", "")</f>
        <v/>
      </c>
    </row>
    <row r="684" spans="1:18" hidden="1" x14ac:dyDescent="0.25">
      <c r="A684" t="s">
        <v>640</v>
      </c>
      <c r="B684" t="s">
        <v>3205</v>
      </c>
      <c r="C684" t="s">
        <v>3222</v>
      </c>
      <c r="D684" t="s">
        <v>3638</v>
      </c>
      <c r="E684" s="1">
        <v>420.74400000000003</v>
      </c>
      <c r="F684" s="1">
        <v>427.44</v>
      </c>
      <c r="G684">
        <v>13</v>
      </c>
      <c r="H684">
        <v>27</v>
      </c>
      <c r="I684" t="s">
        <v>2456</v>
      </c>
      <c r="J684" t="s">
        <v>1694</v>
      </c>
      <c r="K684" s="39">
        <v>10.591191</v>
      </c>
      <c r="L684" s="1">
        <v>3.8113769999999998</v>
      </c>
      <c r="M684" s="1" t="s">
        <v>4936</v>
      </c>
      <c r="N684" s="1">
        <v>420.74400000000003</v>
      </c>
      <c r="O684" s="1">
        <f>ABS(Table4[[#This Row],[EndMP]]-Table4[[#This Row],[StartMP]])</f>
        <v>6.6959999999999695</v>
      </c>
      <c r="P684" s="1" t="str">
        <f>IF( AND( Table4[[#This Row],[Route]]=ClosureLocation!$B$3, ClosureLocation!$B$6 &gt;= Table4[[#This Row],[StartMP]], ClosureLocation!$B$6 &lt;= Table4[[#This Row],[EndMP]]), "Yes", "")</f>
        <v/>
      </c>
      <c r="Q684" s="1" t="str">
        <f>IF( AND( Table4[[#This Row],[Route]]=ClosureLocation!$B$3, ClosureLocation!$B$6 &lt;= Table4[[#This Row],[StartMP]], ClosureLocation!$B$6 &gt;= Table4[[#This Row],[EndMP]]), "Yes", "")</f>
        <v/>
      </c>
      <c r="R684" s="1" t="str">
        <f>IF( OR( Table4[[#This Row],[PrimaryMatch]]="Yes", Table4[[#This Row],[SecondaryMatch]]="Yes"), "Yes", "")</f>
        <v/>
      </c>
    </row>
    <row r="685" spans="1:18" hidden="1" x14ac:dyDescent="0.25">
      <c r="A685" t="s">
        <v>65</v>
      </c>
      <c r="B685" t="s">
        <v>3205</v>
      </c>
      <c r="C685" t="s">
        <v>3222</v>
      </c>
      <c r="D685" t="s">
        <v>3238</v>
      </c>
      <c r="E685" s="1">
        <v>260.27</v>
      </c>
      <c r="F685" s="1">
        <v>271.60199999999998</v>
      </c>
      <c r="G685">
        <v>3</v>
      </c>
      <c r="H685">
        <v>1</v>
      </c>
      <c r="I685" t="s">
        <v>2066</v>
      </c>
      <c r="J685" t="s">
        <v>1705</v>
      </c>
      <c r="K685" s="39">
        <v>10.587628</v>
      </c>
      <c r="L685" s="1">
        <v>14.074956999999999</v>
      </c>
      <c r="M685" s="1" t="s">
        <v>3240</v>
      </c>
      <c r="N685" s="1">
        <v>260.27</v>
      </c>
      <c r="O685" s="1">
        <f>ABS(Table4[[#This Row],[EndMP]]-Table4[[#This Row],[StartMP]])</f>
        <v>11.331999999999994</v>
      </c>
      <c r="P685" s="1" t="str">
        <f>IF( AND( Table4[[#This Row],[Route]]=ClosureLocation!$B$3, ClosureLocation!$B$6 &gt;= Table4[[#This Row],[StartMP]], ClosureLocation!$B$6 &lt;= Table4[[#This Row],[EndMP]]), "Yes", "")</f>
        <v/>
      </c>
      <c r="Q685" s="1" t="str">
        <f>IF( AND( Table4[[#This Row],[Route]]=ClosureLocation!$B$3, ClosureLocation!$B$6 &lt;= Table4[[#This Row],[StartMP]], ClosureLocation!$B$6 &gt;= Table4[[#This Row],[EndMP]]), "Yes", "")</f>
        <v/>
      </c>
      <c r="R685" s="1" t="str">
        <f>IF( OR( Table4[[#This Row],[PrimaryMatch]]="Yes", Table4[[#This Row],[SecondaryMatch]]="Yes"), "Yes", "")</f>
        <v/>
      </c>
    </row>
    <row r="686" spans="1:18" hidden="1" x14ac:dyDescent="0.25">
      <c r="A686" t="s">
        <v>776</v>
      </c>
      <c r="B686" t="s">
        <v>3209</v>
      </c>
      <c r="C686" t="s">
        <v>3226</v>
      </c>
      <c r="D686" t="s">
        <v>3749</v>
      </c>
      <c r="E686" s="1">
        <v>281.27</v>
      </c>
      <c r="F686" s="1">
        <v>280</v>
      </c>
      <c r="G686">
        <v>19</v>
      </c>
      <c r="H686">
        <v>72</v>
      </c>
      <c r="I686" t="s">
        <v>2618</v>
      </c>
      <c r="J686" t="s">
        <v>1694</v>
      </c>
      <c r="K686" s="39">
        <v>10.576097000000001</v>
      </c>
      <c r="L686" s="1">
        <v>-1.9924280000000001</v>
      </c>
      <c r="M686" s="1" t="s">
        <v>4513</v>
      </c>
      <c r="N686" s="1">
        <v>718.73</v>
      </c>
      <c r="O686" s="1">
        <f>ABS(Table4[[#This Row],[EndMP]]-Table4[[#This Row],[StartMP]])</f>
        <v>1.2699999999999818</v>
      </c>
      <c r="P686" s="1" t="str">
        <f>IF( AND( Table4[[#This Row],[Route]]=ClosureLocation!$B$3, ClosureLocation!$B$6 &gt;= Table4[[#This Row],[StartMP]], ClosureLocation!$B$6 &lt;= Table4[[#This Row],[EndMP]]), "Yes", "")</f>
        <v/>
      </c>
      <c r="Q686" s="1" t="str">
        <f>IF( AND( Table4[[#This Row],[Route]]=ClosureLocation!$B$3, ClosureLocation!$B$6 &lt;= Table4[[#This Row],[StartMP]], ClosureLocation!$B$6 &gt;= Table4[[#This Row],[EndMP]]), "Yes", "")</f>
        <v/>
      </c>
      <c r="R686" s="1" t="str">
        <f>IF( OR( Table4[[#This Row],[PrimaryMatch]]="Yes", Table4[[#This Row],[SecondaryMatch]]="Yes"), "Yes", "")</f>
        <v/>
      </c>
    </row>
    <row r="687" spans="1:18" hidden="1" x14ac:dyDescent="0.25">
      <c r="A687" t="s">
        <v>1569</v>
      </c>
      <c r="B687" t="s">
        <v>3209</v>
      </c>
      <c r="C687" t="s">
        <v>3226</v>
      </c>
      <c r="D687" t="s">
        <v>4312</v>
      </c>
      <c r="E687" s="1">
        <v>0.47799999999999998</v>
      </c>
      <c r="F687" s="1">
        <v>0</v>
      </c>
      <c r="H687">
        <v>2</v>
      </c>
      <c r="I687" t="s">
        <v>3122</v>
      </c>
      <c r="J687" t="s">
        <v>1708</v>
      </c>
      <c r="K687" s="39">
        <v>10.551996000000001</v>
      </c>
      <c r="L687" s="1">
        <v>10.110213</v>
      </c>
      <c r="M687" s="1" t="s">
        <v>4313</v>
      </c>
      <c r="N687" s="1">
        <v>999.52200000000005</v>
      </c>
      <c r="O687" s="1">
        <f>ABS(Table4[[#This Row],[EndMP]]-Table4[[#This Row],[StartMP]])</f>
        <v>0.47799999999999998</v>
      </c>
      <c r="P687" s="1" t="str">
        <f>IF( AND( Table4[[#This Row],[Route]]=ClosureLocation!$B$3, ClosureLocation!$B$6 &gt;= Table4[[#This Row],[StartMP]], ClosureLocation!$B$6 &lt;= Table4[[#This Row],[EndMP]]), "Yes", "")</f>
        <v/>
      </c>
      <c r="Q687" s="1" t="str">
        <f>IF( AND( Table4[[#This Row],[Route]]=ClosureLocation!$B$3, ClosureLocation!$B$6 &lt;= Table4[[#This Row],[StartMP]], ClosureLocation!$B$6 &gt;= Table4[[#This Row],[EndMP]]), "Yes", "")</f>
        <v/>
      </c>
      <c r="R687" s="1" t="str">
        <f>IF( OR( Table4[[#This Row],[PrimaryMatch]]="Yes", Table4[[#This Row],[SecondaryMatch]]="Yes"), "Yes", "")</f>
        <v/>
      </c>
    </row>
    <row r="688" spans="1:18" hidden="1" x14ac:dyDescent="0.25">
      <c r="A688" t="s">
        <v>1483</v>
      </c>
      <c r="B688" t="s">
        <v>3205</v>
      </c>
      <c r="C688" t="s">
        <v>3206</v>
      </c>
      <c r="D688" t="s">
        <v>4238</v>
      </c>
      <c r="E688" s="1">
        <v>62.904000000000003</v>
      </c>
      <c r="F688" s="1">
        <v>100.518</v>
      </c>
      <c r="G688">
        <v>2</v>
      </c>
      <c r="H688">
        <v>2</v>
      </c>
      <c r="I688" t="s">
        <v>3061</v>
      </c>
      <c r="J688" t="s">
        <v>1691</v>
      </c>
      <c r="K688" s="39">
        <v>10.545446999999999</v>
      </c>
      <c r="L688" s="1">
        <v>7.6783789999999996</v>
      </c>
      <c r="M688" s="1" t="s">
        <v>4240</v>
      </c>
      <c r="N688" s="1">
        <v>62.904000000000003</v>
      </c>
      <c r="O688" s="1">
        <f>ABS(Table4[[#This Row],[EndMP]]-Table4[[#This Row],[StartMP]])</f>
        <v>37.613999999999997</v>
      </c>
      <c r="P688" s="1" t="str">
        <f>IF( AND( Table4[[#This Row],[Route]]=ClosureLocation!$B$3, ClosureLocation!$B$6 &gt;= Table4[[#This Row],[StartMP]], ClosureLocation!$B$6 &lt;= Table4[[#This Row],[EndMP]]), "Yes", "")</f>
        <v/>
      </c>
      <c r="Q688" s="1" t="str">
        <f>IF( AND( Table4[[#This Row],[Route]]=ClosureLocation!$B$3, ClosureLocation!$B$6 &lt;= Table4[[#This Row],[StartMP]], ClosureLocation!$B$6 &gt;= Table4[[#This Row],[EndMP]]), "Yes", "")</f>
        <v/>
      </c>
      <c r="R688" s="1" t="str">
        <f>IF( OR( Table4[[#This Row],[PrimaryMatch]]="Yes", Table4[[#This Row],[SecondaryMatch]]="Yes"), "Yes", "")</f>
        <v/>
      </c>
    </row>
    <row r="689" spans="1:18" hidden="1" x14ac:dyDescent="0.25">
      <c r="A689" t="s">
        <v>1483</v>
      </c>
      <c r="B689" t="s">
        <v>3209</v>
      </c>
      <c r="C689" t="s">
        <v>3210</v>
      </c>
      <c r="D689" t="s">
        <v>4242</v>
      </c>
      <c r="E689" s="1">
        <v>100.518</v>
      </c>
      <c r="F689" s="1">
        <v>62.904000000000003</v>
      </c>
      <c r="G689">
        <v>2</v>
      </c>
      <c r="H689">
        <v>5</v>
      </c>
      <c r="I689" t="s">
        <v>3064</v>
      </c>
      <c r="J689" t="s">
        <v>1691</v>
      </c>
      <c r="K689" s="39">
        <v>10.545413999999999</v>
      </c>
      <c r="L689" s="1">
        <v>7.6783789999999996</v>
      </c>
      <c r="M689" s="1" t="s">
        <v>4244</v>
      </c>
      <c r="N689" s="1">
        <v>899.48199999999997</v>
      </c>
      <c r="O689" s="1">
        <f>ABS(Table4[[#This Row],[EndMP]]-Table4[[#This Row],[StartMP]])</f>
        <v>37.613999999999997</v>
      </c>
      <c r="P689" s="1" t="str">
        <f>IF( AND( Table4[[#This Row],[Route]]=ClosureLocation!$B$3, ClosureLocation!$B$6 &gt;= Table4[[#This Row],[StartMP]], ClosureLocation!$B$6 &lt;= Table4[[#This Row],[EndMP]]), "Yes", "")</f>
        <v/>
      </c>
      <c r="Q689" s="1" t="str">
        <f>IF( AND( Table4[[#This Row],[Route]]=ClosureLocation!$B$3, ClosureLocation!$B$6 &lt;= Table4[[#This Row],[StartMP]], ClosureLocation!$B$6 &gt;= Table4[[#This Row],[EndMP]]), "Yes", "")</f>
        <v/>
      </c>
      <c r="R689" s="1" t="str">
        <f>IF( OR( Table4[[#This Row],[PrimaryMatch]]="Yes", Table4[[#This Row],[SecondaryMatch]]="Yes"), "Yes", "")</f>
        <v/>
      </c>
    </row>
    <row r="690" spans="1:18" hidden="1" x14ac:dyDescent="0.25">
      <c r="A690" t="s">
        <v>1431</v>
      </c>
      <c r="B690" t="s">
        <v>3209</v>
      </c>
      <c r="C690" t="s">
        <v>3210</v>
      </c>
      <c r="D690" t="s">
        <v>4211</v>
      </c>
      <c r="E690" s="1">
        <v>3.4510000000000001</v>
      </c>
      <c r="F690" s="1">
        <v>1.6240000000000001</v>
      </c>
      <c r="G690">
        <v>4</v>
      </c>
      <c r="H690">
        <v>7</v>
      </c>
      <c r="I690" t="s">
        <v>3030</v>
      </c>
      <c r="J690" t="s">
        <v>1692</v>
      </c>
      <c r="K690" s="39">
        <v>10.544646999999999</v>
      </c>
      <c r="L690" s="1">
        <v>4.6573320000000002</v>
      </c>
      <c r="M690" s="1" t="s">
        <v>4215</v>
      </c>
      <c r="N690" s="1">
        <v>996.54899999999998</v>
      </c>
      <c r="O690" s="1">
        <f>ABS(Table4[[#This Row],[EndMP]]-Table4[[#This Row],[StartMP]])</f>
        <v>1.827</v>
      </c>
      <c r="P690" s="1" t="str">
        <f>IF( AND( Table4[[#This Row],[Route]]=ClosureLocation!$B$3, ClosureLocation!$B$6 &gt;= Table4[[#This Row],[StartMP]], ClosureLocation!$B$6 &lt;= Table4[[#This Row],[EndMP]]), "Yes", "")</f>
        <v/>
      </c>
      <c r="Q690" s="1" t="str">
        <f>IF( AND( Table4[[#This Row],[Route]]=ClosureLocation!$B$3, ClosureLocation!$B$6 &lt;= Table4[[#This Row],[StartMP]], ClosureLocation!$B$6 &gt;= Table4[[#This Row],[EndMP]]), "Yes", "")</f>
        <v/>
      </c>
      <c r="R690" s="1" t="str">
        <f>IF( OR( Table4[[#This Row],[PrimaryMatch]]="Yes", Table4[[#This Row],[SecondaryMatch]]="Yes"), "Yes", "")</f>
        <v/>
      </c>
    </row>
    <row r="691" spans="1:18" hidden="1" x14ac:dyDescent="0.25">
      <c r="A691" t="s">
        <v>1058</v>
      </c>
      <c r="B691" t="s">
        <v>3209</v>
      </c>
      <c r="C691" t="s">
        <v>3210</v>
      </c>
      <c r="D691" t="s">
        <v>3952</v>
      </c>
      <c r="E691" s="1">
        <v>13.632</v>
      </c>
      <c r="F691" s="1">
        <v>7.5730000000000004</v>
      </c>
      <c r="G691">
        <v>3</v>
      </c>
      <c r="H691">
        <v>6</v>
      </c>
      <c r="I691" t="s">
        <v>2834</v>
      </c>
      <c r="J691" t="s">
        <v>1693</v>
      </c>
      <c r="K691" s="39">
        <v>10.509518</v>
      </c>
      <c r="L691" s="1">
        <v>10.525634</v>
      </c>
      <c r="M691" s="1" t="s">
        <v>3955</v>
      </c>
      <c r="N691" s="1">
        <v>986.36800000000005</v>
      </c>
      <c r="O691" s="1">
        <f>ABS(Table4[[#This Row],[EndMP]]-Table4[[#This Row],[StartMP]])</f>
        <v>6.0589999999999993</v>
      </c>
      <c r="P691" s="1" t="str">
        <f>IF( AND( Table4[[#This Row],[Route]]=ClosureLocation!$B$3, ClosureLocation!$B$6 &gt;= Table4[[#This Row],[StartMP]], ClosureLocation!$B$6 &lt;= Table4[[#This Row],[EndMP]]), "Yes", "")</f>
        <v/>
      </c>
      <c r="Q691" s="1" t="str">
        <f>IF( AND( Table4[[#This Row],[Route]]=ClosureLocation!$B$3, ClosureLocation!$B$6 &lt;= Table4[[#This Row],[StartMP]], ClosureLocation!$B$6 &gt;= Table4[[#This Row],[EndMP]]), "Yes", "")</f>
        <v/>
      </c>
      <c r="R691" s="1" t="str">
        <f>IF( OR( Table4[[#This Row],[PrimaryMatch]]="Yes", Table4[[#This Row],[SecondaryMatch]]="Yes"), "Yes", "")</f>
        <v/>
      </c>
    </row>
    <row r="692" spans="1:18" hidden="1" x14ac:dyDescent="0.25">
      <c r="A692" t="s">
        <v>693</v>
      </c>
      <c r="B692" t="s">
        <v>3205</v>
      </c>
      <c r="C692" t="s">
        <v>3206</v>
      </c>
      <c r="D692" t="s">
        <v>3661</v>
      </c>
      <c r="E692" s="1">
        <v>87.221000000000004</v>
      </c>
      <c r="F692" s="1">
        <v>111.569</v>
      </c>
      <c r="G692">
        <v>3</v>
      </c>
      <c r="H692">
        <v>3</v>
      </c>
      <c r="I692" t="s">
        <v>2491</v>
      </c>
      <c r="J692" t="s">
        <v>1690</v>
      </c>
      <c r="K692" s="39">
        <v>10.407185999999999</v>
      </c>
      <c r="L692" s="1">
        <v>21.007424</v>
      </c>
      <c r="M692" s="1" t="s">
        <v>3664</v>
      </c>
      <c r="N692" s="1">
        <v>87.221000000000004</v>
      </c>
      <c r="O692" s="1">
        <f>ABS(Table4[[#This Row],[EndMP]]-Table4[[#This Row],[StartMP]])</f>
        <v>24.347999999999999</v>
      </c>
      <c r="P692" s="1" t="str">
        <f>IF( AND( Table4[[#This Row],[Route]]=ClosureLocation!$B$3, ClosureLocation!$B$6 &gt;= Table4[[#This Row],[StartMP]], ClosureLocation!$B$6 &lt;= Table4[[#This Row],[EndMP]]), "Yes", "")</f>
        <v/>
      </c>
      <c r="Q692" s="1" t="str">
        <f>IF( AND( Table4[[#This Row],[Route]]=ClosureLocation!$B$3, ClosureLocation!$B$6 &lt;= Table4[[#This Row],[StartMP]], ClosureLocation!$B$6 &gt;= Table4[[#This Row],[EndMP]]), "Yes", "")</f>
        <v/>
      </c>
      <c r="R692" s="1" t="str">
        <f>IF( OR( Table4[[#This Row],[PrimaryMatch]]="Yes", Table4[[#This Row],[SecondaryMatch]]="Yes"), "Yes", "")</f>
        <v/>
      </c>
    </row>
    <row r="693" spans="1:18" hidden="1" x14ac:dyDescent="0.25">
      <c r="A693" t="s">
        <v>593</v>
      </c>
      <c r="B693" t="s">
        <v>3205</v>
      </c>
      <c r="C693" t="s">
        <v>3206</v>
      </c>
      <c r="D693" t="s">
        <v>3603</v>
      </c>
      <c r="E693" s="1">
        <v>4.734</v>
      </c>
      <c r="F693" s="1">
        <v>8.5259999999999998</v>
      </c>
      <c r="G693">
        <v>2</v>
      </c>
      <c r="H693">
        <v>1</v>
      </c>
      <c r="I693" t="s">
        <v>2403</v>
      </c>
      <c r="J693" t="s">
        <v>1707</v>
      </c>
      <c r="K693" s="39">
        <v>10.387297</v>
      </c>
      <c r="L693" s="1">
        <v>6.5813550000000003</v>
      </c>
      <c r="M693" s="1" t="s">
        <v>3605</v>
      </c>
      <c r="N693" s="1">
        <v>4.734</v>
      </c>
      <c r="O693" s="1">
        <f>ABS(Table4[[#This Row],[EndMP]]-Table4[[#This Row],[StartMP]])</f>
        <v>3.7919999999999998</v>
      </c>
      <c r="P693" s="1" t="str">
        <f>IF( AND( Table4[[#This Row],[Route]]=ClosureLocation!$B$3, ClosureLocation!$B$6 &gt;= Table4[[#This Row],[StartMP]], ClosureLocation!$B$6 &lt;= Table4[[#This Row],[EndMP]]), "Yes", "")</f>
        <v/>
      </c>
      <c r="Q693" s="1" t="str">
        <f>IF( AND( Table4[[#This Row],[Route]]=ClosureLocation!$B$3, ClosureLocation!$B$6 &lt;= Table4[[#This Row],[StartMP]], ClosureLocation!$B$6 &gt;= Table4[[#This Row],[EndMP]]), "Yes", "")</f>
        <v/>
      </c>
      <c r="R693" s="1" t="str">
        <f>IF( OR( Table4[[#This Row],[PrimaryMatch]]="Yes", Table4[[#This Row],[SecondaryMatch]]="Yes"), "Yes", "")</f>
        <v/>
      </c>
    </row>
    <row r="694" spans="1:18" hidden="1" x14ac:dyDescent="0.25">
      <c r="A694" t="s">
        <v>640</v>
      </c>
      <c r="B694" t="s">
        <v>3209</v>
      </c>
      <c r="C694" t="s">
        <v>3226</v>
      </c>
      <c r="D694" t="s">
        <v>3640</v>
      </c>
      <c r="E694" s="1">
        <v>427.44</v>
      </c>
      <c r="F694" s="1">
        <v>420.74400000000003</v>
      </c>
      <c r="G694">
        <v>2</v>
      </c>
      <c r="H694">
        <v>2</v>
      </c>
      <c r="I694" t="s">
        <v>2459</v>
      </c>
      <c r="J694" t="s">
        <v>1694</v>
      </c>
      <c r="K694" s="39">
        <v>10.295985999999999</v>
      </c>
      <c r="L694" s="1">
        <v>3.6611799999999999</v>
      </c>
      <c r="M694" s="1" t="s">
        <v>4939</v>
      </c>
      <c r="N694" s="1">
        <v>572.55999999999995</v>
      </c>
      <c r="O694" s="1">
        <f>ABS(Table4[[#This Row],[EndMP]]-Table4[[#This Row],[StartMP]])</f>
        <v>6.6959999999999695</v>
      </c>
      <c r="P694" s="1" t="str">
        <f>IF( AND( Table4[[#This Row],[Route]]=ClosureLocation!$B$3, ClosureLocation!$B$6 &gt;= Table4[[#This Row],[StartMP]], ClosureLocation!$B$6 &lt;= Table4[[#This Row],[EndMP]]), "Yes", "")</f>
        <v/>
      </c>
      <c r="Q694" s="1" t="str">
        <f>IF( AND( Table4[[#This Row],[Route]]=ClosureLocation!$B$3, ClosureLocation!$B$6 &lt;= Table4[[#This Row],[StartMP]], ClosureLocation!$B$6 &gt;= Table4[[#This Row],[EndMP]]), "Yes", "")</f>
        <v/>
      </c>
      <c r="R694" s="1" t="str">
        <f>IF( OR( Table4[[#This Row],[PrimaryMatch]]="Yes", Table4[[#This Row],[SecondaryMatch]]="Yes"), "Yes", "")</f>
        <v/>
      </c>
    </row>
    <row r="695" spans="1:18" hidden="1" x14ac:dyDescent="0.25">
      <c r="A695" t="s">
        <v>981</v>
      </c>
      <c r="B695" t="s">
        <v>3205</v>
      </c>
      <c r="C695" t="s">
        <v>3206</v>
      </c>
      <c r="D695" t="s">
        <v>3873</v>
      </c>
      <c r="E695" s="1">
        <v>200.809</v>
      </c>
      <c r="F695" s="1">
        <v>204.559</v>
      </c>
      <c r="G695">
        <v>3</v>
      </c>
      <c r="H695">
        <v>1</v>
      </c>
      <c r="I695" t="s">
        <v>2771</v>
      </c>
      <c r="J695" t="s">
        <v>1704</v>
      </c>
      <c r="K695" s="39">
        <v>10.270217000000001</v>
      </c>
      <c r="L695" s="1">
        <v>12.064323</v>
      </c>
      <c r="M695" s="1" t="s">
        <v>3875</v>
      </c>
      <c r="N695" s="1">
        <v>200.809</v>
      </c>
      <c r="O695" s="1">
        <f>ABS(Table4[[#This Row],[EndMP]]-Table4[[#This Row],[StartMP]])</f>
        <v>3.75</v>
      </c>
      <c r="P695" s="1" t="str">
        <f>IF( AND( Table4[[#This Row],[Route]]=ClosureLocation!$B$3, ClosureLocation!$B$6 &gt;= Table4[[#This Row],[StartMP]], ClosureLocation!$B$6 &lt;= Table4[[#This Row],[EndMP]]), "Yes", "")</f>
        <v/>
      </c>
      <c r="Q695" s="1" t="str">
        <f>IF( AND( Table4[[#This Row],[Route]]=ClosureLocation!$B$3, ClosureLocation!$B$6 &lt;= Table4[[#This Row],[StartMP]], ClosureLocation!$B$6 &gt;= Table4[[#This Row],[EndMP]]), "Yes", "")</f>
        <v/>
      </c>
      <c r="R695" s="1" t="str">
        <f>IF( OR( Table4[[#This Row],[PrimaryMatch]]="Yes", Table4[[#This Row],[SecondaryMatch]]="Yes"), "Yes", "")</f>
        <v/>
      </c>
    </row>
    <row r="696" spans="1:18" hidden="1" x14ac:dyDescent="0.25">
      <c r="A696" t="s">
        <v>776</v>
      </c>
      <c r="B696" t="s">
        <v>3205</v>
      </c>
      <c r="C696" t="s">
        <v>3222</v>
      </c>
      <c r="D696" t="s">
        <v>3748</v>
      </c>
      <c r="E696" s="1">
        <v>429.13900000000001</v>
      </c>
      <c r="F696" s="1">
        <v>436.63200000000001</v>
      </c>
      <c r="G696">
        <v>51</v>
      </c>
      <c r="H696">
        <v>51</v>
      </c>
      <c r="I696" t="s">
        <v>2597</v>
      </c>
      <c r="J696" t="s">
        <v>1694</v>
      </c>
      <c r="K696" s="39">
        <v>10.266828</v>
      </c>
      <c r="L696" s="1">
        <v>1.0926130000000001</v>
      </c>
      <c r="M696" s="1" t="s">
        <v>4495</v>
      </c>
      <c r="N696" s="1">
        <v>429.13900000000001</v>
      </c>
      <c r="O696" s="1">
        <f>ABS(Table4[[#This Row],[EndMP]]-Table4[[#This Row],[StartMP]])</f>
        <v>7.492999999999995</v>
      </c>
      <c r="P696" s="1" t="str">
        <f>IF( AND( Table4[[#This Row],[Route]]=ClosureLocation!$B$3, ClosureLocation!$B$6 &gt;= Table4[[#This Row],[StartMP]], ClosureLocation!$B$6 &lt;= Table4[[#This Row],[EndMP]]), "Yes", "")</f>
        <v/>
      </c>
      <c r="Q696" s="1" t="str">
        <f>IF( AND( Table4[[#This Row],[Route]]=ClosureLocation!$B$3, ClosureLocation!$B$6 &lt;= Table4[[#This Row],[StartMP]], ClosureLocation!$B$6 &gt;= Table4[[#This Row],[EndMP]]), "Yes", "")</f>
        <v/>
      </c>
      <c r="R696" s="1" t="str">
        <f>IF( OR( Table4[[#This Row],[PrimaryMatch]]="Yes", Table4[[#This Row],[SecondaryMatch]]="Yes"), "Yes", "")</f>
        <v/>
      </c>
    </row>
    <row r="697" spans="1:18" hidden="1" x14ac:dyDescent="0.25">
      <c r="A697" t="s">
        <v>1167</v>
      </c>
      <c r="B697" t="s">
        <v>3205</v>
      </c>
      <c r="C697" t="s">
        <v>3222</v>
      </c>
      <c r="D697" t="s">
        <v>4024</v>
      </c>
      <c r="E697" s="1">
        <v>45.765999999999998</v>
      </c>
      <c r="F697" s="1">
        <v>49.542999999999999</v>
      </c>
      <c r="G697">
        <v>2</v>
      </c>
      <c r="H697">
        <v>2</v>
      </c>
      <c r="I697" t="s">
        <v>2885</v>
      </c>
      <c r="J697" t="s">
        <v>1689</v>
      </c>
      <c r="K697" s="39">
        <v>10.259605000000001</v>
      </c>
      <c r="L697" s="1">
        <v>7.1892139999999998</v>
      </c>
      <c r="M697" s="1" t="s">
        <v>4026</v>
      </c>
      <c r="N697" s="1">
        <v>45.765999999999998</v>
      </c>
      <c r="O697" s="1">
        <f>ABS(Table4[[#This Row],[EndMP]]-Table4[[#This Row],[StartMP]])</f>
        <v>3.777000000000001</v>
      </c>
      <c r="P697" s="1" t="str">
        <f>IF( AND( Table4[[#This Row],[Route]]=ClosureLocation!$B$3, ClosureLocation!$B$6 &gt;= Table4[[#This Row],[StartMP]], ClosureLocation!$B$6 &lt;= Table4[[#This Row],[EndMP]]), "Yes", "")</f>
        <v/>
      </c>
      <c r="Q697" s="1" t="str">
        <f>IF( AND( Table4[[#This Row],[Route]]=ClosureLocation!$B$3, ClosureLocation!$B$6 &lt;= Table4[[#This Row],[StartMP]], ClosureLocation!$B$6 &gt;= Table4[[#This Row],[EndMP]]), "Yes", "")</f>
        <v/>
      </c>
      <c r="R697" s="1" t="str">
        <f>IF( OR( Table4[[#This Row],[PrimaryMatch]]="Yes", Table4[[#This Row],[SecondaryMatch]]="Yes"), "Yes", "")</f>
        <v/>
      </c>
    </row>
    <row r="698" spans="1:18" hidden="1" x14ac:dyDescent="0.25">
      <c r="A698" t="s">
        <v>981</v>
      </c>
      <c r="B698" t="s">
        <v>3209</v>
      </c>
      <c r="C698" t="s">
        <v>3210</v>
      </c>
      <c r="D698" t="s">
        <v>3878</v>
      </c>
      <c r="E698" s="1">
        <v>204.66200000000001</v>
      </c>
      <c r="F698" s="1">
        <v>200.809</v>
      </c>
      <c r="G698">
        <v>3</v>
      </c>
      <c r="H698">
        <v>6</v>
      </c>
      <c r="I698" t="s">
        <v>2776</v>
      </c>
      <c r="J698" t="s">
        <v>1704</v>
      </c>
      <c r="K698" s="39">
        <v>10.236826000000001</v>
      </c>
      <c r="L698" s="1">
        <v>11.870607</v>
      </c>
      <c r="M698" s="1" t="s">
        <v>3881</v>
      </c>
      <c r="N698" s="1">
        <v>795.33799999999997</v>
      </c>
      <c r="O698" s="1">
        <f>ABS(Table4[[#This Row],[EndMP]]-Table4[[#This Row],[StartMP]])</f>
        <v>3.8530000000000086</v>
      </c>
      <c r="P698" s="1" t="str">
        <f>IF( AND( Table4[[#This Row],[Route]]=ClosureLocation!$B$3, ClosureLocation!$B$6 &gt;= Table4[[#This Row],[StartMP]], ClosureLocation!$B$6 &lt;= Table4[[#This Row],[EndMP]]), "Yes", "")</f>
        <v/>
      </c>
      <c r="Q698" s="1" t="str">
        <f>IF( AND( Table4[[#This Row],[Route]]=ClosureLocation!$B$3, ClosureLocation!$B$6 &lt;= Table4[[#This Row],[StartMP]], ClosureLocation!$B$6 &gt;= Table4[[#This Row],[EndMP]]), "Yes", "")</f>
        <v/>
      </c>
      <c r="R698" s="1" t="str">
        <f>IF( OR( Table4[[#This Row],[PrimaryMatch]]="Yes", Table4[[#This Row],[SecondaryMatch]]="Yes"), "Yes", "")</f>
        <v/>
      </c>
    </row>
    <row r="699" spans="1:18" hidden="1" x14ac:dyDescent="0.25">
      <c r="A699" t="s">
        <v>1058</v>
      </c>
      <c r="B699" t="s">
        <v>3205</v>
      </c>
      <c r="C699" t="s">
        <v>3206</v>
      </c>
      <c r="D699" t="s">
        <v>3948</v>
      </c>
      <c r="E699" s="1">
        <v>0</v>
      </c>
      <c r="F699" s="1">
        <v>7.5730000000000004</v>
      </c>
      <c r="G699">
        <v>1</v>
      </c>
      <c r="H699">
        <v>1</v>
      </c>
      <c r="I699" t="s">
        <v>2829</v>
      </c>
      <c r="J699" t="s">
        <v>1693</v>
      </c>
      <c r="K699" s="39">
        <v>10.180192999999999</v>
      </c>
      <c r="L699" s="1">
        <v>8.4398</v>
      </c>
      <c r="M699" s="1" t="s">
        <v>3949</v>
      </c>
      <c r="N699" s="1">
        <v>0</v>
      </c>
      <c r="O699" s="1">
        <f>ABS(Table4[[#This Row],[EndMP]]-Table4[[#This Row],[StartMP]])</f>
        <v>7.5730000000000004</v>
      </c>
      <c r="P699" s="1" t="str">
        <f>IF( AND( Table4[[#This Row],[Route]]=ClosureLocation!$B$3, ClosureLocation!$B$6 &gt;= Table4[[#This Row],[StartMP]], ClosureLocation!$B$6 &lt;= Table4[[#This Row],[EndMP]]), "Yes", "")</f>
        <v/>
      </c>
      <c r="Q699" s="1" t="str">
        <f>IF( AND( Table4[[#This Row],[Route]]=ClosureLocation!$B$3, ClosureLocation!$B$6 &lt;= Table4[[#This Row],[StartMP]], ClosureLocation!$B$6 &gt;= Table4[[#This Row],[EndMP]]), "Yes", "")</f>
        <v/>
      </c>
      <c r="R699" s="1" t="str">
        <f>IF( OR( Table4[[#This Row],[PrimaryMatch]]="Yes", Table4[[#This Row],[SecondaryMatch]]="Yes"), "Yes", "")</f>
        <v/>
      </c>
    </row>
    <row r="700" spans="1:18" hidden="1" x14ac:dyDescent="0.25">
      <c r="A700" t="s">
        <v>772</v>
      </c>
      <c r="B700" t="s">
        <v>3209</v>
      </c>
      <c r="C700" t="s">
        <v>3210</v>
      </c>
      <c r="D700" t="s">
        <v>3746</v>
      </c>
      <c r="E700" s="1">
        <v>82.664000000000001</v>
      </c>
      <c r="F700" s="1">
        <v>0</v>
      </c>
      <c r="G700">
        <v>1</v>
      </c>
      <c r="H700">
        <v>2</v>
      </c>
      <c r="I700" t="s">
        <v>2545</v>
      </c>
      <c r="J700" t="s">
        <v>1699</v>
      </c>
      <c r="K700" s="39">
        <v>10.100548</v>
      </c>
      <c r="L700" s="1">
        <v>28.787554</v>
      </c>
      <c r="M700" s="1" t="s">
        <v>3747</v>
      </c>
      <c r="N700" s="1">
        <v>917.33600000000001</v>
      </c>
      <c r="O700" s="1">
        <f>ABS(Table4[[#This Row],[EndMP]]-Table4[[#This Row],[StartMP]])</f>
        <v>82.664000000000001</v>
      </c>
      <c r="P700" s="1" t="str">
        <f>IF( AND( Table4[[#This Row],[Route]]=ClosureLocation!$B$3, ClosureLocation!$B$6 &gt;= Table4[[#This Row],[StartMP]], ClosureLocation!$B$6 &lt;= Table4[[#This Row],[EndMP]]), "Yes", "")</f>
        <v/>
      </c>
      <c r="Q700" s="1" t="str">
        <f>IF( AND( Table4[[#This Row],[Route]]=ClosureLocation!$B$3, ClosureLocation!$B$6 &lt;= Table4[[#This Row],[StartMP]], ClosureLocation!$B$6 &gt;= Table4[[#This Row],[EndMP]]), "Yes", "")</f>
        <v/>
      </c>
      <c r="R700" s="1" t="str">
        <f>IF( OR( Table4[[#This Row],[PrimaryMatch]]="Yes", Table4[[#This Row],[SecondaryMatch]]="Yes"), "Yes", "")</f>
        <v/>
      </c>
    </row>
    <row r="701" spans="1:18" hidden="1" x14ac:dyDescent="0.25">
      <c r="A701" t="s">
        <v>310</v>
      </c>
      <c r="B701" t="s">
        <v>3205</v>
      </c>
      <c r="C701" t="s">
        <v>3206</v>
      </c>
      <c r="D701" t="s">
        <v>3427</v>
      </c>
      <c r="E701" s="1">
        <v>195.39099999999999</v>
      </c>
      <c r="F701" s="1">
        <v>199.096</v>
      </c>
      <c r="G701">
        <v>14</v>
      </c>
      <c r="H701">
        <v>3</v>
      </c>
      <c r="I701" t="s">
        <v>2220</v>
      </c>
      <c r="J701" t="s">
        <v>1700</v>
      </c>
      <c r="K701" s="39">
        <v>10.097184</v>
      </c>
      <c r="L701" s="1">
        <v>16.006768000000001</v>
      </c>
      <c r="M701" s="1" t="s">
        <v>3431</v>
      </c>
      <c r="N701" s="1">
        <v>195.39099999999999</v>
      </c>
      <c r="O701" s="1">
        <f>ABS(Table4[[#This Row],[EndMP]]-Table4[[#This Row],[StartMP]])</f>
        <v>3.7050000000000125</v>
      </c>
      <c r="P701" s="1" t="str">
        <f>IF( AND( Table4[[#This Row],[Route]]=ClosureLocation!$B$3, ClosureLocation!$B$6 &gt;= Table4[[#This Row],[StartMP]], ClosureLocation!$B$6 &lt;= Table4[[#This Row],[EndMP]]), "Yes", "")</f>
        <v/>
      </c>
      <c r="Q701" s="1" t="str">
        <f>IF( AND( Table4[[#This Row],[Route]]=ClosureLocation!$B$3, ClosureLocation!$B$6 &lt;= Table4[[#This Row],[StartMP]], ClosureLocation!$B$6 &gt;= Table4[[#This Row],[EndMP]]), "Yes", "")</f>
        <v/>
      </c>
      <c r="R701" s="1" t="str">
        <f>IF( OR( Table4[[#This Row],[PrimaryMatch]]="Yes", Table4[[#This Row],[SecondaryMatch]]="Yes"), "Yes", "")</f>
        <v/>
      </c>
    </row>
    <row r="702" spans="1:18" hidden="1" x14ac:dyDescent="0.25">
      <c r="A702" t="s">
        <v>593</v>
      </c>
      <c r="B702" t="s">
        <v>3209</v>
      </c>
      <c r="C702" t="s">
        <v>3210</v>
      </c>
      <c r="D702" t="s">
        <v>3606</v>
      </c>
      <c r="E702" s="1">
        <v>8.5259999999999998</v>
      </c>
      <c r="F702" s="1">
        <v>4.734</v>
      </c>
      <c r="G702">
        <v>1</v>
      </c>
      <c r="H702">
        <v>2</v>
      </c>
      <c r="I702" t="s">
        <v>2404</v>
      </c>
      <c r="J702" t="s">
        <v>1707</v>
      </c>
      <c r="K702" s="39">
        <v>10.031530999999999</v>
      </c>
      <c r="L702" s="1">
        <v>6.4612629999999998</v>
      </c>
      <c r="M702" s="1" t="s">
        <v>3607</v>
      </c>
      <c r="N702" s="1">
        <v>991.47400000000005</v>
      </c>
      <c r="O702" s="1">
        <f>ABS(Table4[[#This Row],[EndMP]]-Table4[[#This Row],[StartMP]])</f>
        <v>3.7919999999999998</v>
      </c>
      <c r="P702" s="1" t="str">
        <f>IF( AND( Table4[[#This Row],[Route]]=ClosureLocation!$B$3, ClosureLocation!$B$6 &gt;= Table4[[#This Row],[StartMP]], ClosureLocation!$B$6 &lt;= Table4[[#This Row],[EndMP]]), "Yes", "")</f>
        <v/>
      </c>
      <c r="Q702" s="1" t="str">
        <f>IF( AND( Table4[[#This Row],[Route]]=ClosureLocation!$B$3, ClosureLocation!$B$6 &lt;= Table4[[#This Row],[StartMP]], ClosureLocation!$B$6 &gt;= Table4[[#This Row],[EndMP]]), "Yes", "")</f>
        <v/>
      </c>
      <c r="R702" s="1" t="str">
        <f>IF( OR( Table4[[#This Row],[PrimaryMatch]]="Yes", Table4[[#This Row],[SecondaryMatch]]="Yes"), "Yes", "")</f>
        <v/>
      </c>
    </row>
    <row r="703" spans="1:18" hidden="1" x14ac:dyDescent="0.25">
      <c r="A703" t="s">
        <v>684</v>
      </c>
      <c r="B703" t="s">
        <v>3209</v>
      </c>
      <c r="C703" t="s">
        <v>3226</v>
      </c>
      <c r="D703" t="s">
        <v>3655</v>
      </c>
      <c r="E703" s="1">
        <v>72.581000000000003</v>
      </c>
      <c r="F703" s="1">
        <v>41.939</v>
      </c>
      <c r="G703">
        <v>1</v>
      </c>
      <c r="H703">
        <v>2</v>
      </c>
      <c r="I703" t="s">
        <v>2484</v>
      </c>
      <c r="J703" t="s">
        <v>1702</v>
      </c>
      <c r="K703" s="39">
        <v>10.02571</v>
      </c>
      <c r="L703" s="1">
        <v>16.800532</v>
      </c>
      <c r="M703" s="1" t="s">
        <v>3656</v>
      </c>
      <c r="N703" s="1">
        <v>927.41899999999998</v>
      </c>
      <c r="O703" s="1">
        <f>ABS(Table4[[#This Row],[EndMP]]-Table4[[#This Row],[StartMP]])</f>
        <v>30.642000000000003</v>
      </c>
      <c r="P703" s="1" t="str">
        <f>IF( AND( Table4[[#This Row],[Route]]=ClosureLocation!$B$3, ClosureLocation!$B$6 &gt;= Table4[[#This Row],[StartMP]], ClosureLocation!$B$6 &lt;= Table4[[#This Row],[EndMP]]), "Yes", "")</f>
        <v/>
      </c>
      <c r="Q703" s="1" t="str">
        <f>IF( AND( Table4[[#This Row],[Route]]=ClosureLocation!$B$3, ClosureLocation!$B$6 &lt;= Table4[[#This Row],[StartMP]], ClosureLocation!$B$6 &gt;= Table4[[#This Row],[EndMP]]), "Yes", "")</f>
        <v/>
      </c>
      <c r="R703" s="1" t="str">
        <f>IF( OR( Table4[[#This Row],[PrimaryMatch]]="Yes", Table4[[#This Row],[SecondaryMatch]]="Yes"), "Yes", "")</f>
        <v/>
      </c>
    </row>
    <row r="704" spans="1:18" hidden="1" x14ac:dyDescent="0.25">
      <c r="A704" t="s">
        <v>776</v>
      </c>
      <c r="B704" t="s">
        <v>3209</v>
      </c>
      <c r="C704" t="s">
        <v>3226</v>
      </c>
      <c r="D704" t="s">
        <v>3749</v>
      </c>
      <c r="E704" s="1">
        <v>436.63200000000001</v>
      </c>
      <c r="F704" s="1">
        <v>429.04599999999999</v>
      </c>
      <c r="G704">
        <v>3</v>
      </c>
      <c r="H704">
        <v>56</v>
      </c>
      <c r="I704" t="s">
        <v>2602</v>
      </c>
      <c r="J704" t="s">
        <v>1694</v>
      </c>
      <c r="K704" s="39">
        <v>9.9818529999999992</v>
      </c>
      <c r="L704" s="1">
        <v>0.90907400000000005</v>
      </c>
      <c r="M704" s="1" t="s">
        <v>4498</v>
      </c>
      <c r="N704" s="1">
        <v>563.36800000000005</v>
      </c>
      <c r="O704" s="1">
        <f>ABS(Table4[[#This Row],[EndMP]]-Table4[[#This Row],[StartMP]])</f>
        <v>7.5860000000000127</v>
      </c>
      <c r="P704" s="1" t="str">
        <f>IF( AND( Table4[[#This Row],[Route]]=ClosureLocation!$B$3, ClosureLocation!$B$6 &gt;= Table4[[#This Row],[StartMP]], ClosureLocation!$B$6 &lt;= Table4[[#This Row],[EndMP]]), "Yes", "")</f>
        <v/>
      </c>
      <c r="Q704" s="1" t="str">
        <f>IF( AND( Table4[[#This Row],[Route]]=ClosureLocation!$B$3, ClosureLocation!$B$6 &lt;= Table4[[#This Row],[StartMP]], ClosureLocation!$B$6 &gt;= Table4[[#This Row],[EndMP]]), "Yes", "")</f>
        <v/>
      </c>
      <c r="R704" s="1" t="str">
        <f>IF( OR( Table4[[#This Row],[PrimaryMatch]]="Yes", Table4[[#This Row],[SecondaryMatch]]="Yes"), "Yes", "")</f>
        <v/>
      </c>
    </row>
    <row r="705" spans="1:18" hidden="1" x14ac:dyDescent="0.25">
      <c r="A705" t="s">
        <v>1313</v>
      </c>
      <c r="B705" t="s">
        <v>3209</v>
      </c>
      <c r="C705" t="s">
        <v>3226</v>
      </c>
      <c r="D705" t="s">
        <v>4150</v>
      </c>
      <c r="E705" s="1">
        <v>258.27199999999999</v>
      </c>
      <c r="F705" s="1">
        <v>0.439</v>
      </c>
      <c r="G705">
        <v>2</v>
      </c>
      <c r="H705">
        <v>2</v>
      </c>
      <c r="I705" t="s">
        <v>2984</v>
      </c>
      <c r="J705" t="s">
        <v>1694</v>
      </c>
      <c r="K705" s="39">
        <v>9.9816409999999998</v>
      </c>
      <c r="L705" s="1">
        <v>6.4552149999999999</v>
      </c>
      <c r="M705" s="58" t="s">
        <v>5011</v>
      </c>
      <c r="N705" s="1">
        <v>741.72799999999995</v>
      </c>
      <c r="O705" s="1">
        <f>ABS(Table4[[#This Row],[EndMP]]-Table4[[#This Row],[StartMP]])</f>
        <v>257.83299999999997</v>
      </c>
      <c r="P705" s="1" t="str">
        <f>IF( AND( Table4[[#This Row],[Route]]=ClosureLocation!$B$3, ClosureLocation!$B$6 &gt;= Table4[[#This Row],[StartMP]], ClosureLocation!$B$6 &lt;= Table4[[#This Row],[EndMP]]), "Yes", "")</f>
        <v/>
      </c>
      <c r="Q705" s="1" t="str">
        <f>IF( AND( Table4[[#This Row],[Route]]=ClosureLocation!$B$3, ClosureLocation!$B$6 &lt;= Table4[[#This Row],[StartMP]], ClosureLocation!$B$6 &gt;= Table4[[#This Row],[EndMP]]), "Yes", "")</f>
        <v/>
      </c>
      <c r="R705" s="1" t="str">
        <f>IF( OR( Table4[[#This Row],[PrimaryMatch]]="Yes", Table4[[#This Row],[SecondaryMatch]]="Yes"), "Yes", "")</f>
        <v/>
      </c>
    </row>
    <row r="706" spans="1:18" hidden="1" x14ac:dyDescent="0.25">
      <c r="A706" t="s">
        <v>990</v>
      </c>
      <c r="B706" t="s">
        <v>3205</v>
      </c>
      <c r="C706" t="s">
        <v>3206</v>
      </c>
      <c r="D706" t="s">
        <v>3883</v>
      </c>
      <c r="E706" s="1">
        <v>227.24600000000001</v>
      </c>
      <c r="F706" s="1">
        <v>230.767</v>
      </c>
      <c r="G706">
        <v>1</v>
      </c>
      <c r="H706">
        <v>1</v>
      </c>
      <c r="I706" t="s">
        <v>2779</v>
      </c>
      <c r="J706" t="s">
        <v>1693</v>
      </c>
      <c r="K706" s="39">
        <v>9.9582540000000002</v>
      </c>
      <c r="L706" s="1">
        <v>12.93477</v>
      </c>
      <c r="M706" s="1" t="s">
        <v>3884</v>
      </c>
      <c r="N706" s="1">
        <v>227.24600000000001</v>
      </c>
      <c r="O706" s="1">
        <f>ABS(Table4[[#This Row],[EndMP]]-Table4[[#This Row],[StartMP]])</f>
        <v>3.5209999999999866</v>
      </c>
      <c r="P706" s="1" t="str">
        <f>IF( AND( Table4[[#This Row],[Route]]=ClosureLocation!$B$3, ClosureLocation!$B$6 &gt;= Table4[[#This Row],[StartMP]], ClosureLocation!$B$6 &lt;= Table4[[#This Row],[EndMP]]), "Yes", "")</f>
        <v/>
      </c>
      <c r="Q706" s="1" t="str">
        <f>IF( AND( Table4[[#This Row],[Route]]=ClosureLocation!$B$3, ClosureLocation!$B$6 &lt;= Table4[[#This Row],[StartMP]], ClosureLocation!$B$6 &gt;= Table4[[#This Row],[EndMP]]), "Yes", "")</f>
        <v/>
      </c>
      <c r="R706" s="1" t="str">
        <f>IF( OR( Table4[[#This Row],[PrimaryMatch]]="Yes", Table4[[#This Row],[SecondaryMatch]]="Yes"), "Yes", "")</f>
        <v/>
      </c>
    </row>
    <row r="707" spans="1:18" hidden="1" x14ac:dyDescent="0.25">
      <c r="A707" t="s">
        <v>1058</v>
      </c>
      <c r="B707" t="s">
        <v>3209</v>
      </c>
      <c r="C707" t="s">
        <v>3210</v>
      </c>
      <c r="D707" t="s">
        <v>3952</v>
      </c>
      <c r="E707" s="1">
        <v>7.5730000000000004</v>
      </c>
      <c r="F707" s="1">
        <v>0</v>
      </c>
      <c r="G707">
        <v>4</v>
      </c>
      <c r="H707">
        <v>7</v>
      </c>
      <c r="I707" t="s">
        <v>2835</v>
      </c>
      <c r="J707" t="s">
        <v>1693</v>
      </c>
      <c r="K707" s="39">
        <v>9.9338940000000004</v>
      </c>
      <c r="L707" s="1">
        <v>8.1387339999999995</v>
      </c>
      <c r="M707" s="1" t="s">
        <v>3956</v>
      </c>
      <c r="N707" s="1">
        <v>992.42700000000002</v>
      </c>
      <c r="O707" s="1">
        <f>ABS(Table4[[#This Row],[EndMP]]-Table4[[#This Row],[StartMP]])</f>
        <v>7.5730000000000004</v>
      </c>
      <c r="P707" s="1" t="str">
        <f>IF( AND( Table4[[#This Row],[Route]]=ClosureLocation!$B$3, ClosureLocation!$B$6 &gt;= Table4[[#This Row],[StartMP]], ClosureLocation!$B$6 &lt;= Table4[[#This Row],[EndMP]]), "Yes", "")</f>
        <v/>
      </c>
      <c r="Q707" s="1" t="str">
        <f>IF( AND( Table4[[#This Row],[Route]]=ClosureLocation!$B$3, ClosureLocation!$B$6 &lt;= Table4[[#This Row],[StartMP]], ClosureLocation!$B$6 &gt;= Table4[[#This Row],[EndMP]]), "Yes", "")</f>
        <v/>
      </c>
      <c r="R707" s="1" t="str">
        <f>IF( OR( Table4[[#This Row],[PrimaryMatch]]="Yes", Table4[[#This Row],[SecondaryMatch]]="Yes"), "Yes", "")</f>
        <v/>
      </c>
    </row>
    <row r="708" spans="1:18" hidden="1" x14ac:dyDescent="0.25">
      <c r="A708" t="s">
        <v>776</v>
      </c>
      <c r="B708" t="s">
        <v>3205</v>
      </c>
      <c r="C708" t="s">
        <v>3222</v>
      </c>
      <c r="D708" t="s">
        <v>3748</v>
      </c>
      <c r="E708" s="1">
        <v>412.28699999999998</v>
      </c>
      <c r="F708" s="1">
        <v>419.04700000000003</v>
      </c>
      <c r="G708">
        <v>49</v>
      </c>
      <c r="H708">
        <v>49</v>
      </c>
      <c r="I708" t="s">
        <v>2594</v>
      </c>
      <c r="J708" t="s">
        <v>1694</v>
      </c>
      <c r="K708" s="39">
        <v>9.8977129999999995</v>
      </c>
      <c r="L708" s="1">
        <v>1.036416</v>
      </c>
      <c r="M708" s="1" t="s">
        <v>4493</v>
      </c>
      <c r="N708" s="1">
        <v>412.28699999999998</v>
      </c>
      <c r="O708" s="1">
        <f>ABS(Table4[[#This Row],[EndMP]]-Table4[[#This Row],[StartMP]])</f>
        <v>6.7600000000000477</v>
      </c>
      <c r="P708" s="1" t="str">
        <f>IF( AND( Table4[[#This Row],[Route]]=ClosureLocation!$B$3, ClosureLocation!$B$6 &gt;= Table4[[#This Row],[StartMP]], ClosureLocation!$B$6 &lt;= Table4[[#This Row],[EndMP]]), "Yes", "")</f>
        <v/>
      </c>
      <c r="Q708" s="1" t="str">
        <f>IF( AND( Table4[[#This Row],[Route]]=ClosureLocation!$B$3, ClosureLocation!$B$6 &lt;= Table4[[#This Row],[StartMP]], ClosureLocation!$B$6 &gt;= Table4[[#This Row],[EndMP]]), "Yes", "")</f>
        <v/>
      </c>
      <c r="R708" s="1" t="str">
        <f>IF( OR( Table4[[#This Row],[PrimaryMatch]]="Yes", Table4[[#This Row],[SecondaryMatch]]="Yes"), "Yes", "")</f>
        <v/>
      </c>
    </row>
    <row r="709" spans="1:18" hidden="1" x14ac:dyDescent="0.25">
      <c r="A709" t="s">
        <v>776</v>
      </c>
      <c r="B709" t="s">
        <v>3205</v>
      </c>
      <c r="C709" t="s">
        <v>3222</v>
      </c>
      <c r="D709" t="s">
        <v>3748</v>
      </c>
      <c r="E709" s="1">
        <v>280</v>
      </c>
      <c r="F709" s="1">
        <v>282.214</v>
      </c>
      <c r="G709">
        <v>35</v>
      </c>
      <c r="H709">
        <v>35</v>
      </c>
      <c r="I709" t="s">
        <v>2580</v>
      </c>
      <c r="J709" t="s">
        <v>1694</v>
      </c>
      <c r="K709" s="39">
        <v>9.8725159999999992</v>
      </c>
      <c r="L709" s="1">
        <v>-2.130833</v>
      </c>
      <c r="M709" s="1" t="s">
        <v>3927</v>
      </c>
      <c r="N709" s="1">
        <v>280</v>
      </c>
      <c r="O709" s="1">
        <f>ABS(Table4[[#This Row],[EndMP]]-Table4[[#This Row],[StartMP]])</f>
        <v>2.2139999999999986</v>
      </c>
      <c r="P709" s="1" t="str">
        <f>IF( AND( Table4[[#This Row],[Route]]=ClosureLocation!$B$3, ClosureLocation!$B$6 &gt;= Table4[[#This Row],[StartMP]], ClosureLocation!$B$6 &lt;= Table4[[#This Row],[EndMP]]), "Yes", "")</f>
        <v/>
      </c>
      <c r="Q709" s="1" t="str">
        <f>IF( AND( Table4[[#This Row],[Route]]=ClosureLocation!$B$3, ClosureLocation!$B$6 &lt;= Table4[[#This Row],[StartMP]], ClosureLocation!$B$6 &gt;= Table4[[#This Row],[EndMP]]), "Yes", "")</f>
        <v/>
      </c>
      <c r="R709" s="1" t="str">
        <f>IF( OR( Table4[[#This Row],[PrimaryMatch]]="Yes", Table4[[#This Row],[SecondaryMatch]]="Yes"), "Yes", "")</f>
        <v/>
      </c>
    </row>
    <row r="710" spans="1:18" hidden="1" x14ac:dyDescent="0.25">
      <c r="A710" t="s">
        <v>917</v>
      </c>
      <c r="B710" t="s">
        <v>3209</v>
      </c>
      <c r="C710" t="s">
        <v>3226</v>
      </c>
      <c r="D710" t="s">
        <v>3840</v>
      </c>
      <c r="E710" s="1">
        <v>31.372</v>
      </c>
      <c r="F710" s="1">
        <v>18.504999999999999</v>
      </c>
      <c r="G710">
        <v>14</v>
      </c>
      <c r="H710">
        <v>36</v>
      </c>
      <c r="I710" t="s">
        <v>2739</v>
      </c>
      <c r="J710" t="s">
        <v>1694</v>
      </c>
      <c r="K710" s="39">
        <v>9.7742330000000006</v>
      </c>
      <c r="L710" s="1">
        <v>5.1277030000000003</v>
      </c>
      <c r="M710" s="1" t="s">
        <v>3898</v>
      </c>
      <c r="N710" s="1">
        <v>968.62800000000004</v>
      </c>
      <c r="O710" s="1">
        <f>ABS(Table4[[#This Row],[EndMP]]-Table4[[#This Row],[StartMP]])</f>
        <v>12.867000000000001</v>
      </c>
      <c r="P710" s="1" t="str">
        <f>IF( AND( Table4[[#This Row],[Route]]=ClosureLocation!$B$3, ClosureLocation!$B$6 &gt;= Table4[[#This Row],[StartMP]], ClosureLocation!$B$6 &lt;= Table4[[#This Row],[EndMP]]), "Yes", "")</f>
        <v/>
      </c>
      <c r="Q710" s="1" t="str">
        <f>IF( AND( Table4[[#This Row],[Route]]=ClosureLocation!$B$3, ClosureLocation!$B$6 &lt;= Table4[[#This Row],[StartMP]], ClosureLocation!$B$6 &gt;= Table4[[#This Row],[EndMP]]), "Yes", "")</f>
        <v/>
      </c>
      <c r="R710" s="1" t="str">
        <f>IF( OR( Table4[[#This Row],[PrimaryMatch]]="Yes", Table4[[#This Row],[SecondaryMatch]]="Yes"), "Yes", "")</f>
        <v/>
      </c>
    </row>
    <row r="711" spans="1:18" hidden="1" x14ac:dyDescent="0.25">
      <c r="A711" t="s">
        <v>776</v>
      </c>
      <c r="B711" t="s">
        <v>3205</v>
      </c>
      <c r="C711" t="s">
        <v>3222</v>
      </c>
      <c r="D711" t="s">
        <v>3748</v>
      </c>
      <c r="E711" s="1">
        <v>97.6</v>
      </c>
      <c r="F711" s="1">
        <v>105.05500000000001</v>
      </c>
      <c r="G711">
        <v>13</v>
      </c>
      <c r="H711">
        <v>13</v>
      </c>
      <c r="I711" t="s">
        <v>2558</v>
      </c>
      <c r="J711" t="s">
        <v>1694</v>
      </c>
      <c r="K711" s="39">
        <v>9.743525</v>
      </c>
      <c r="L711" s="1">
        <v>0.42130499999999999</v>
      </c>
      <c r="M711" s="1" t="s">
        <v>4463</v>
      </c>
      <c r="N711" s="1">
        <v>97.6</v>
      </c>
      <c r="O711" s="1">
        <f>ABS(Table4[[#This Row],[EndMP]]-Table4[[#This Row],[StartMP]])</f>
        <v>7.4550000000000125</v>
      </c>
      <c r="P711" s="1" t="str">
        <f>IF( AND( Table4[[#This Row],[Route]]=ClosureLocation!$B$3, ClosureLocation!$B$6 &gt;= Table4[[#This Row],[StartMP]], ClosureLocation!$B$6 &lt;= Table4[[#This Row],[EndMP]]), "Yes", "")</f>
        <v/>
      </c>
      <c r="Q711" s="1" t="str">
        <f>IF( AND( Table4[[#This Row],[Route]]=ClosureLocation!$B$3, ClosureLocation!$B$6 &lt;= Table4[[#This Row],[StartMP]], ClosureLocation!$B$6 &gt;= Table4[[#This Row],[EndMP]]), "Yes", "")</f>
        <v/>
      </c>
      <c r="R711" s="1" t="str">
        <f>IF( OR( Table4[[#This Row],[PrimaryMatch]]="Yes", Table4[[#This Row],[SecondaryMatch]]="Yes"), "Yes", "")</f>
        <v/>
      </c>
    </row>
    <row r="712" spans="1:18" hidden="1" x14ac:dyDescent="0.25">
      <c r="A712" t="s">
        <v>684</v>
      </c>
      <c r="B712" t="s">
        <v>3209</v>
      </c>
      <c r="C712" t="s">
        <v>3226</v>
      </c>
      <c r="D712" t="s">
        <v>3655</v>
      </c>
      <c r="E712" s="1">
        <v>29.23</v>
      </c>
      <c r="F712" s="1">
        <v>11.446</v>
      </c>
      <c r="G712">
        <v>3</v>
      </c>
      <c r="H712">
        <v>6</v>
      </c>
      <c r="I712" t="s">
        <v>2486</v>
      </c>
      <c r="J712" t="s">
        <v>1702</v>
      </c>
      <c r="K712" s="39">
        <v>9.6974920000000004</v>
      </c>
      <c r="L712" s="1">
        <v>17.059135999999999</v>
      </c>
      <c r="M712" s="1" t="s">
        <v>3658</v>
      </c>
      <c r="N712" s="1">
        <v>970.77</v>
      </c>
      <c r="O712" s="1">
        <f>ABS(Table4[[#This Row],[EndMP]]-Table4[[#This Row],[StartMP]])</f>
        <v>17.783999999999999</v>
      </c>
      <c r="P712" s="1" t="str">
        <f>IF( AND( Table4[[#This Row],[Route]]=ClosureLocation!$B$3, ClosureLocation!$B$6 &gt;= Table4[[#This Row],[StartMP]], ClosureLocation!$B$6 &lt;= Table4[[#This Row],[EndMP]]), "Yes", "")</f>
        <v/>
      </c>
      <c r="Q712" s="1" t="str">
        <f>IF( AND( Table4[[#This Row],[Route]]=ClosureLocation!$B$3, ClosureLocation!$B$6 &lt;= Table4[[#This Row],[StartMP]], ClosureLocation!$B$6 &gt;= Table4[[#This Row],[EndMP]]), "Yes", "")</f>
        <v/>
      </c>
      <c r="R712" s="1" t="str">
        <f>IF( OR( Table4[[#This Row],[PrimaryMatch]]="Yes", Table4[[#This Row],[SecondaryMatch]]="Yes"), "Yes", "")</f>
        <v/>
      </c>
    </row>
    <row r="713" spans="1:18" hidden="1" x14ac:dyDescent="0.25">
      <c r="A713" t="s">
        <v>1615</v>
      </c>
      <c r="B713" t="s">
        <v>3209</v>
      </c>
      <c r="C713" t="s">
        <v>3210</v>
      </c>
      <c r="D713" t="s">
        <v>4359</v>
      </c>
      <c r="E713" s="1">
        <v>310.95</v>
      </c>
      <c r="F713" s="1">
        <v>309.21699999999998</v>
      </c>
      <c r="G713">
        <v>1</v>
      </c>
      <c r="H713">
        <v>5</v>
      </c>
      <c r="I713" t="s">
        <v>3153</v>
      </c>
      <c r="J713" t="s">
        <v>1691</v>
      </c>
      <c r="K713" s="39">
        <v>9.6945189999999997</v>
      </c>
      <c r="L713" s="1">
        <v>10.633455</v>
      </c>
      <c r="M713" s="58" t="s">
        <v>4360</v>
      </c>
      <c r="N713" s="1">
        <v>689.05</v>
      </c>
      <c r="O713" s="1">
        <f>ABS(Table4[[#This Row],[EndMP]]-Table4[[#This Row],[StartMP]])</f>
        <v>1.7330000000000041</v>
      </c>
      <c r="P713" s="1" t="str">
        <f>IF( AND( Table4[[#This Row],[Route]]=ClosureLocation!$B$3, ClosureLocation!$B$6 &gt;= Table4[[#This Row],[StartMP]], ClosureLocation!$B$6 &lt;= Table4[[#This Row],[EndMP]]), "Yes", "")</f>
        <v/>
      </c>
      <c r="Q713" s="1" t="str">
        <f>IF( AND( Table4[[#This Row],[Route]]=ClosureLocation!$B$3, ClosureLocation!$B$6 &lt;= Table4[[#This Row],[StartMP]], ClosureLocation!$B$6 &gt;= Table4[[#This Row],[EndMP]]), "Yes", "")</f>
        <v/>
      </c>
      <c r="R713" s="1" t="str">
        <f>IF( OR( Table4[[#This Row],[PrimaryMatch]]="Yes", Table4[[#This Row],[SecondaryMatch]]="Yes"), "Yes", "")</f>
        <v/>
      </c>
    </row>
    <row r="714" spans="1:18" hidden="1" x14ac:dyDescent="0.25">
      <c r="A714" t="s">
        <v>640</v>
      </c>
      <c r="B714" t="s">
        <v>3209</v>
      </c>
      <c r="C714" t="s">
        <v>3226</v>
      </c>
      <c r="D714" t="s">
        <v>3640</v>
      </c>
      <c r="E714" s="1">
        <v>324.22899999999998</v>
      </c>
      <c r="F714" s="1">
        <v>319</v>
      </c>
      <c r="G714">
        <v>13</v>
      </c>
      <c r="H714">
        <v>13</v>
      </c>
      <c r="I714" t="s">
        <v>2471</v>
      </c>
      <c r="J714" t="s">
        <v>1694</v>
      </c>
      <c r="K714" s="39">
        <v>9.6615450000000003</v>
      </c>
      <c r="L714" s="1">
        <v>3.6235050000000002</v>
      </c>
      <c r="M714" s="1" t="s">
        <v>4950</v>
      </c>
      <c r="N714" s="1">
        <v>675.77099999999996</v>
      </c>
      <c r="O714" s="1">
        <f>ABS(Table4[[#This Row],[EndMP]]-Table4[[#This Row],[StartMP]])</f>
        <v>5.228999999999985</v>
      </c>
      <c r="P714" s="1" t="str">
        <f>IF( AND( Table4[[#This Row],[Route]]=ClosureLocation!$B$3, ClosureLocation!$B$6 &gt;= Table4[[#This Row],[StartMP]], ClosureLocation!$B$6 &lt;= Table4[[#This Row],[EndMP]]), "Yes", "")</f>
        <v/>
      </c>
      <c r="Q714" s="1" t="str">
        <f>IF( AND( Table4[[#This Row],[Route]]=ClosureLocation!$B$3, ClosureLocation!$B$6 &lt;= Table4[[#This Row],[StartMP]], ClosureLocation!$B$6 &gt;= Table4[[#This Row],[EndMP]]), "Yes", "")</f>
        <v/>
      </c>
      <c r="R714" s="1" t="str">
        <f>IF( OR( Table4[[#This Row],[PrimaryMatch]]="Yes", Table4[[#This Row],[SecondaryMatch]]="Yes"), "Yes", "")</f>
        <v/>
      </c>
    </row>
    <row r="715" spans="1:18" hidden="1" x14ac:dyDescent="0.25">
      <c r="A715" t="s">
        <v>170</v>
      </c>
      <c r="B715" t="s">
        <v>3209</v>
      </c>
      <c r="C715" t="s">
        <v>3226</v>
      </c>
      <c r="D715" t="s">
        <v>3319</v>
      </c>
      <c r="E715" s="1">
        <v>71.968000000000004</v>
      </c>
      <c r="F715" s="1">
        <v>62.88</v>
      </c>
      <c r="G715">
        <v>1</v>
      </c>
      <c r="H715">
        <v>4</v>
      </c>
      <c r="I715" t="s">
        <v>2130</v>
      </c>
      <c r="J715" t="s">
        <v>1696</v>
      </c>
      <c r="K715" s="39">
        <v>9.588279</v>
      </c>
      <c r="L715" s="1">
        <v>5.5216419999999999</v>
      </c>
      <c r="M715" s="1" t="s">
        <v>3320</v>
      </c>
      <c r="N715" s="1">
        <v>928.03200000000004</v>
      </c>
      <c r="O715" s="1">
        <f>ABS(Table4[[#This Row],[EndMP]]-Table4[[#This Row],[StartMP]])</f>
        <v>9.088000000000001</v>
      </c>
      <c r="P715" s="1" t="str">
        <f>IF( AND( Table4[[#This Row],[Route]]=ClosureLocation!$B$3, ClosureLocation!$B$6 &gt;= Table4[[#This Row],[StartMP]], ClosureLocation!$B$6 &lt;= Table4[[#This Row],[EndMP]]), "Yes", "")</f>
        <v/>
      </c>
      <c r="Q715" s="1" t="str">
        <f>IF( AND( Table4[[#This Row],[Route]]=ClosureLocation!$B$3, ClosureLocation!$B$6 &lt;= Table4[[#This Row],[StartMP]], ClosureLocation!$B$6 &gt;= Table4[[#This Row],[EndMP]]), "Yes", "")</f>
        <v/>
      </c>
      <c r="R715" s="1" t="str">
        <f>IF( OR( Table4[[#This Row],[PrimaryMatch]]="Yes", Table4[[#This Row],[SecondaryMatch]]="Yes"), "Yes", "")</f>
        <v/>
      </c>
    </row>
    <row r="716" spans="1:18" hidden="1" x14ac:dyDescent="0.25">
      <c r="A716" t="s">
        <v>1301</v>
      </c>
      <c r="B716" t="s">
        <v>3205</v>
      </c>
      <c r="C716" t="s">
        <v>3206</v>
      </c>
      <c r="D716" t="s">
        <v>4135</v>
      </c>
      <c r="E716" s="1">
        <v>0</v>
      </c>
      <c r="F716" s="1">
        <v>33.96</v>
      </c>
      <c r="G716">
        <v>1</v>
      </c>
      <c r="H716">
        <v>1</v>
      </c>
      <c r="I716" t="s">
        <v>2967</v>
      </c>
      <c r="J716" t="s">
        <v>1692</v>
      </c>
      <c r="K716" s="39">
        <v>9.5811069999999994</v>
      </c>
      <c r="L716" s="1">
        <v>17.337022999999999</v>
      </c>
      <c r="M716" s="1" t="s">
        <v>4136</v>
      </c>
      <c r="N716" s="1">
        <v>0</v>
      </c>
      <c r="O716" s="1">
        <f>ABS(Table4[[#This Row],[EndMP]]-Table4[[#This Row],[StartMP]])</f>
        <v>33.96</v>
      </c>
      <c r="P716" s="1" t="str">
        <f>IF( AND( Table4[[#This Row],[Route]]=ClosureLocation!$B$3, ClosureLocation!$B$6 &gt;= Table4[[#This Row],[StartMP]], ClosureLocation!$B$6 &lt;= Table4[[#This Row],[EndMP]]), "Yes", "")</f>
        <v/>
      </c>
      <c r="Q716" s="1" t="str">
        <f>IF( AND( Table4[[#This Row],[Route]]=ClosureLocation!$B$3, ClosureLocation!$B$6 &lt;= Table4[[#This Row],[StartMP]], ClosureLocation!$B$6 &gt;= Table4[[#This Row],[EndMP]]), "Yes", "")</f>
        <v/>
      </c>
      <c r="R716" s="1" t="str">
        <f>IF( OR( Table4[[#This Row],[PrimaryMatch]]="Yes", Table4[[#This Row],[SecondaryMatch]]="Yes"), "Yes", "")</f>
        <v/>
      </c>
    </row>
    <row r="717" spans="1:18" hidden="1" x14ac:dyDescent="0.25">
      <c r="A717" t="s">
        <v>722</v>
      </c>
      <c r="B717" t="s">
        <v>3205</v>
      </c>
      <c r="C717" t="s">
        <v>3222</v>
      </c>
      <c r="D717" t="s">
        <v>3701</v>
      </c>
      <c r="E717" s="1">
        <v>5.9320000000000004</v>
      </c>
      <c r="F717" s="1">
        <v>11.853</v>
      </c>
      <c r="G717">
        <v>1</v>
      </c>
      <c r="H717">
        <v>1</v>
      </c>
      <c r="I717" t="s">
        <v>2515</v>
      </c>
      <c r="J717" t="s">
        <v>1699</v>
      </c>
      <c r="K717" s="39">
        <v>9.5663140000000002</v>
      </c>
      <c r="L717" s="1">
        <v>10.641294</v>
      </c>
      <c r="M717" s="1" t="s">
        <v>3702</v>
      </c>
      <c r="N717" s="1">
        <v>5.9320000000000004</v>
      </c>
      <c r="O717" s="1">
        <f>ABS(Table4[[#This Row],[EndMP]]-Table4[[#This Row],[StartMP]])</f>
        <v>5.9209999999999994</v>
      </c>
      <c r="P717" s="1" t="str">
        <f>IF( AND( Table4[[#This Row],[Route]]=ClosureLocation!$B$3, ClosureLocation!$B$6 &gt;= Table4[[#This Row],[StartMP]], ClosureLocation!$B$6 &lt;= Table4[[#This Row],[EndMP]]), "Yes", "")</f>
        <v/>
      </c>
      <c r="Q717" s="1" t="str">
        <f>IF( AND( Table4[[#This Row],[Route]]=ClosureLocation!$B$3, ClosureLocation!$B$6 &lt;= Table4[[#This Row],[StartMP]], ClosureLocation!$B$6 &gt;= Table4[[#This Row],[EndMP]]), "Yes", "")</f>
        <v/>
      </c>
      <c r="R717" s="1" t="str">
        <f>IF( OR( Table4[[#This Row],[PrimaryMatch]]="Yes", Table4[[#This Row],[SecondaryMatch]]="Yes"), "Yes", "")</f>
        <v/>
      </c>
    </row>
    <row r="718" spans="1:18" hidden="1" x14ac:dyDescent="0.25">
      <c r="A718" t="s">
        <v>776</v>
      </c>
      <c r="B718" t="s">
        <v>3209</v>
      </c>
      <c r="C718" t="s">
        <v>3226</v>
      </c>
      <c r="D718" t="s">
        <v>3749</v>
      </c>
      <c r="E718" s="1">
        <v>419.04700000000003</v>
      </c>
      <c r="F718" s="1">
        <v>412.28699999999998</v>
      </c>
      <c r="G718">
        <v>5</v>
      </c>
      <c r="H718">
        <v>58</v>
      </c>
      <c r="I718" t="s">
        <v>2604</v>
      </c>
      <c r="J718" t="s">
        <v>1694</v>
      </c>
      <c r="K718" s="39">
        <v>9.5536100000000008</v>
      </c>
      <c r="L718" s="1">
        <v>0.87309000000000003</v>
      </c>
      <c r="M718" s="1" t="s">
        <v>4500</v>
      </c>
      <c r="N718" s="1">
        <v>580.95299999999997</v>
      </c>
      <c r="O718" s="1">
        <f>ABS(Table4[[#This Row],[EndMP]]-Table4[[#This Row],[StartMP]])</f>
        <v>6.7600000000000477</v>
      </c>
      <c r="P718" s="1" t="str">
        <f>IF( AND( Table4[[#This Row],[Route]]=ClosureLocation!$B$3, ClosureLocation!$B$6 &gt;= Table4[[#This Row],[StartMP]], ClosureLocation!$B$6 &lt;= Table4[[#This Row],[EndMP]]), "Yes", "")</f>
        <v/>
      </c>
      <c r="Q718" s="1" t="str">
        <f>IF( AND( Table4[[#This Row],[Route]]=ClosureLocation!$B$3, ClosureLocation!$B$6 &lt;= Table4[[#This Row],[StartMP]], ClosureLocation!$B$6 &gt;= Table4[[#This Row],[EndMP]]), "Yes", "")</f>
        <v/>
      </c>
      <c r="R718" s="1" t="str">
        <f>IF( OR( Table4[[#This Row],[PrimaryMatch]]="Yes", Table4[[#This Row],[SecondaryMatch]]="Yes"), "Yes", "")</f>
        <v/>
      </c>
    </row>
    <row r="719" spans="1:18" hidden="1" x14ac:dyDescent="0.25">
      <c r="A719" t="s">
        <v>693</v>
      </c>
      <c r="B719" t="s">
        <v>3209</v>
      </c>
      <c r="C719" t="s">
        <v>3210</v>
      </c>
      <c r="D719" t="s">
        <v>3665</v>
      </c>
      <c r="E719" s="1">
        <v>86.98</v>
      </c>
      <c r="F719" s="1">
        <v>86.480999999999995</v>
      </c>
      <c r="G719">
        <v>3</v>
      </c>
      <c r="H719">
        <v>6</v>
      </c>
      <c r="I719" t="s">
        <v>2494</v>
      </c>
      <c r="J719" t="s">
        <v>1690</v>
      </c>
      <c r="K719" s="39">
        <v>9.5242199999999997</v>
      </c>
      <c r="L719" s="1">
        <v>8.5029660000000007</v>
      </c>
      <c r="M719" s="1" t="s">
        <v>3668</v>
      </c>
      <c r="N719" s="1">
        <v>913.02</v>
      </c>
      <c r="O719" s="1">
        <f>ABS(Table4[[#This Row],[EndMP]]-Table4[[#This Row],[StartMP]])</f>
        <v>0.49900000000000944</v>
      </c>
      <c r="P719" s="1" t="str">
        <f>IF( AND( Table4[[#This Row],[Route]]=ClosureLocation!$B$3, ClosureLocation!$B$6 &gt;= Table4[[#This Row],[StartMP]], ClosureLocation!$B$6 &lt;= Table4[[#This Row],[EndMP]]), "Yes", "")</f>
        <v/>
      </c>
      <c r="Q719" s="1" t="str">
        <f>IF( AND( Table4[[#This Row],[Route]]=ClosureLocation!$B$3, ClosureLocation!$B$6 &lt;= Table4[[#This Row],[StartMP]], ClosureLocation!$B$6 &gt;= Table4[[#This Row],[EndMP]]), "Yes", "")</f>
        <v/>
      </c>
      <c r="R719" s="1" t="str">
        <f>IF( OR( Table4[[#This Row],[PrimaryMatch]]="Yes", Table4[[#This Row],[SecondaryMatch]]="Yes"), "Yes", "")</f>
        <v/>
      </c>
    </row>
    <row r="720" spans="1:18" hidden="1" x14ac:dyDescent="0.25">
      <c r="A720" t="s">
        <v>776</v>
      </c>
      <c r="B720" t="s">
        <v>3209</v>
      </c>
      <c r="C720" t="s">
        <v>3226</v>
      </c>
      <c r="D720" t="s">
        <v>3749</v>
      </c>
      <c r="E720" s="1">
        <v>105.026</v>
      </c>
      <c r="F720" s="1">
        <v>97.56</v>
      </c>
      <c r="G720">
        <v>43</v>
      </c>
      <c r="H720">
        <v>96</v>
      </c>
      <c r="I720" t="s">
        <v>2642</v>
      </c>
      <c r="J720" t="s">
        <v>1694</v>
      </c>
      <c r="K720" s="39">
        <v>9.4206350000000008</v>
      </c>
      <c r="L720" s="1">
        <v>0.24673</v>
      </c>
      <c r="M720" s="1" t="s">
        <v>4533</v>
      </c>
      <c r="N720" s="1">
        <v>894.97400000000005</v>
      </c>
      <c r="O720" s="1">
        <f>ABS(Table4[[#This Row],[EndMP]]-Table4[[#This Row],[StartMP]])</f>
        <v>7.465999999999994</v>
      </c>
      <c r="P720" s="1" t="str">
        <f>IF( AND( Table4[[#This Row],[Route]]=ClosureLocation!$B$3, ClosureLocation!$B$6 &gt;= Table4[[#This Row],[StartMP]], ClosureLocation!$B$6 &lt;= Table4[[#This Row],[EndMP]]), "Yes", "")</f>
        <v/>
      </c>
      <c r="Q720" s="1" t="str">
        <f>IF( AND( Table4[[#This Row],[Route]]=ClosureLocation!$B$3, ClosureLocation!$B$6 &lt;= Table4[[#This Row],[StartMP]], ClosureLocation!$B$6 &gt;= Table4[[#This Row],[EndMP]]), "Yes", "")</f>
        <v/>
      </c>
      <c r="R720" s="1" t="str">
        <f>IF( OR( Table4[[#This Row],[PrimaryMatch]]="Yes", Table4[[#This Row],[SecondaryMatch]]="Yes"), "Yes", "")</f>
        <v/>
      </c>
    </row>
    <row r="721" spans="1:18" hidden="1" x14ac:dyDescent="0.25">
      <c r="A721" t="s">
        <v>776</v>
      </c>
      <c r="B721" t="s">
        <v>3209</v>
      </c>
      <c r="C721" t="s">
        <v>3226</v>
      </c>
      <c r="D721" t="s">
        <v>3749</v>
      </c>
      <c r="E721" s="1">
        <v>36.692999999999998</v>
      </c>
      <c r="F721" s="1">
        <v>25.872</v>
      </c>
      <c r="G721">
        <v>50</v>
      </c>
      <c r="H721">
        <v>103</v>
      </c>
      <c r="I721" t="s">
        <v>2649</v>
      </c>
      <c r="J721" t="s">
        <v>1694</v>
      </c>
      <c r="K721" s="39">
        <v>9.4032079999999993</v>
      </c>
      <c r="L721" s="1">
        <v>1.994877</v>
      </c>
      <c r="M721" s="1" t="s">
        <v>4540</v>
      </c>
      <c r="N721" s="1">
        <v>963.30700000000002</v>
      </c>
      <c r="O721" s="1">
        <f>ABS(Table4[[#This Row],[EndMP]]-Table4[[#This Row],[StartMP]])</f>
        <v>10.820999999999998</v>
      </c>
      <c r="P721" s="1" t="str">
        <f>IF( AND( Table4[[#This Row],[Route]]=ClosureLocation!$B$3, ClosureLocation!$B$6 &gt;= Table4[[#This Row],[StartMP]], ClosureLocation!$B$6 &lt;= Table4[[#This Row],[EndMP]]), "Yes", "")</f>
        <v/>
      </c>
      <c r="Q721" s="1" t="str">
        <f>IF( AND( Table4[[#This Row],[Route]]=ClosureLocation!$B$3, ClosureLocation!$B$6 &lt;= Table4[[#This Row],[StartMP]], ClosureLocation!$B$6 &gt;= Table4[[#This Row],[EndMP]]), "Yes", "")</f>
        <v/>
      </c>
      <c r="R721" s="1" t="str">
        <f>IF( OR( Table4[[#This Row],[PrimaryMatch]]="Yes", Table4[[#This Row],[SecondaryMatch]]="Yes"), "Yes", "")</f>
        <v/>
      </c>
    </row>
    <row r="722" spans="1:18" hidden="1" x14ac:dyDescent="0.25">
      <c r="A722" t="s">
        <v>1313</v>
      </c>
      <c r="B722" t="s">
        <v>3205</v>
      </c>
      <c r="C722" t="s">
        <v>3222</v>
      </c>
      <c r="D722" t="s">
        <v>4149</v>
      </c>
      <c r="E722" s="1">
        <v>232.76900000000001</v>
      </c>
      <c r="F722" s="1">
        <v>258.27199999999999</v>
      </c>
      <c r="G722">
        <v>6</v>
      </c>
      <c r="H722">
        <v>13</v>
      </c>
      <c r="I722" t="s">
        <v>2980</v>
      </c>
      <c r="J722" t="s">
        <v>1694</v>
      </c>
      <c r="K722" s="39">
        <v>9.3943820000000002</v>
      </c>
      <c r="L722" s="1">
        <v>6.3640090000000002</v>
      </c>
      <c r="M722" s="58" t="s">
        <v>5008</v>
      </c>
      <c r="N722" s="1">
        <v>232.76900000000001</v>
      </c>
      <c r="O722" s="1">
        <f>ABS(Table4[[#This Row],[EndMP]]-Table4[[#This Row],[StartMP]])</f>
        <v>25.502999999999986</v>
      </c>
      <c r="P722" s="1" t="str">
        <f>IF( AND( Table4[[#This Row],[Route]]=ClosureLocation!$B$3, ClosureLocation!$B$6 &gt;= Table4[[#This Row],[StartMP]], ClosureLocation!$B$6 &lt;= Table4[[#This Row],[EndMP]]), "Yes", "")</f>
        <v/>
      </c>
      <c r="Q722" s="1" t="str">
        <f>IF( AND( Table4[[#This Row],[Route]]=ClosureLocation!$B$3, ClosureLocation!$B$6 &lt;= Table4[[#This Row],[StartMP]], ClosureLocation!$B$6 &gt;= Table4[[#This Row],[EndMP]]), "Yes", "")</f>
        <v/>
      </c>
      <c r="R722" s="1" t="str">
        <f>IF( OR( Table4[[#This Row],[PrimaryMatch]]="Yes", Table4[[#This Row],[SecondaryMatch]]="Yes"), "Yes", "")</f>
        <v/>
      </c>
    </row>
    <row r="723" spans="1:18" hidden="1" x14ac:dyDescent="0.25">
      <c r="A723" t="s">
        <v>1301</v>
      </c>
      <c r="B723" t="s">
        <v>3209</v>
      </c>
      <c r="C723" t="s">
        <v>3210</v>
      </c>
      <c r="D723" t="s">
        <v>4137</v>
      </c>
      <c r="E723" s="1">
        <v>33.96</v>
      </c>
      <c r="F723" s="1">
        <v>0</v>
      </c>
      <c r="G723">
        <v>1</v>
      </c>
      <c r="H723">
        <v>2</v>
      </c>
      <c r="I723" t="s">
        <v>2968</v>
      </c>
      <c r="J723" t="s">
        <v>1692</v>
      </c>
      <c r="K723" s="39">
        <v>9.3710149999999999</v>
      </c>
      <c r="L723" s="1">
        <v>17.337022999999999</v>
      </c>
      <c r="M723" s="1" t="s">
        <v>4138</v>
      </c>
      <c r="N723" s="1">
        <v>966.04</v>
      </c>
      <c r="O723" s="1">
        <f>ABS(Table4[[#This Row],[EndMP]]-Table4[[#This Row],[StartMP]])</f>
        <v>33.96</v>
      </c>
      <c r="P723" s="1" t="str">
        <f>IF( AND( Table4[[#This Row],[Route]]=ClosureLocation!$B$3, ClosureLocation!$B$6 &gt;= Table4[[#This Row],[StartMP]], ClosureLocation!$B$6 &lt;= Table4[[#This Row],[EndMP]]), "Yes", "")</f>
        <v/>
      </c>
      <c r="Q723" s="1" t="str">
        <f>IF( AND( Table4[[#This Row],[Route]]=ClosureLocation!$B$3, ClosureLocation!$B$6 &lt;= Table4[[#This Row],[StartMP]], ClosureLocation!$B$6 &gt;= Table4[[#This Row],[EndMP]]), "Yes", "")</f>
        <v/>
      </c>
      <c r="R723" s="1" t="str">
        <f>IF( OR( Table4[[#This Row],[PrimaryMatch]]="Yes", Table4[[#This Row],[SecondaryMatch]]="Yes"), "Yes", "")</f>
        <v/>
      </c>
    </row>
    <row r="724" spans="1:18" hidden="1" x14ac:dyDescent="0.25">
      <c r="A724" t="s">
        <v>1272</v>
      </c>
      <c r="B724" t="s">
        <v>3209</v>
      </c>
      <c r="C724" t="s">
        <v>3210</v>
      </c>
      <c r="D724" t="s">
        <v>4111</v>
      </c>
      <c r="E724" s="1">
        <v>162.297</v>
      </c>
      <c r="F724" s="1">
        <v>156.74600000000001</v>
      </c>
      <c r="G724">
        <v>1</v>
      </c>
      <c r="H724">
        <v>2</v>
      </c>
      <c r="I724" t="s">
        <v>2952</v>
      </c>
      <c r="J724" t="s">
        <v>1692</v>
      </c>
      <c r="K724" s="39">
        <v>9.3633030000000002</v>
      </c>
      <c r="L724" s="1">
        <v>7.2400979999999997</v>
      </c>
      <c r="M724" s="1" t="s">
        <v>4112</v>
      </c>
      <c r="N724" s="1">
        <v>837.70299999999997</v>
      </c>
      <c r="O724" s="1">
        <f>ABS(Table4[[#This Row],[EndMP]]-Table4[[#This Row],[StartMP]])</f>
        <v>5.5509999999999877</v>
      </c>
      <c r="P724" s="1" t="str">
        <f>IF( AND( Table4[[#This Row],[Route]]=ClosureLocation!$B$3, ClosureLocation!$B$6 &gt;= Table4[[#This Row],[StartMP]], ClosureLocation!$B$6 &lt;= Table4[[#This Row],[EndMP]]), "Yes", "")</f>
        <v/>
      </c>
      <c r="Q724" s="1" t="str">
        <f>IF( AND( Table4[[#This Row],[Route]]=ClosureLocation!$B$3, ClosureLocation!$B$6 &lt;= Table4[[#This Row],[StartMP]], ClosureLocation!$B$6 &gt;= Table4[[#This Row],[EndMP]]), "Yes", "")</f>
        <v/>
      </c>
      <c r="R724" s="1" t="str">
        <f>IF( OR( Table4[[#This Row],[PrimaryMatch]]="Yes", Table4[[#This Row],[SecondaryMatch]]="Yes"), "Yes", "")</f>
        <v/>
      </c>
    </row>
    <row r="725" spans="1:18" hidden="1" x14ac:dyDescent="0.25">
      <c r="A725" t="s">
        <v>776</v>
      </c>
      <c r="B725" t="s">
        <v>3205</v>
      </c>
      <c r="C725" t="s">
        <v>3222</v>
      </c>
      <c r="D725" t="s">
        <v>3748</v>
      </c>
      <c r="E725" s="1">
        <v>405.36200000000002</v>
      </c>
      <c r="F725" s="1">
        <v>411.82100000000003</v>
      </c>
      <c r="G725">
        <v>48</v>
      </c>
      <c r="H725">
        <v>48</v>
      </c>
      <c r="I725" t="s">
        <v>2593</v>
      </c>
      <c r="J725" t="s">
        <v>1694</v>
      </c>
      <c r="K725" s="39">
        <v>9.3280180000000001</v>
      </c>
      <c r="L725" s="1">
        <v>1.027004</v>
      </c>
      <c r="M725" s="1" t="s">
        <v>4492</v>
      </c>
      <c r="N725" s="1">
        <v>405.36200000000002</v>
      </c>
      <c r="O725" s="1">
        <f>ABS(Table4[[#This Row],[EndMP]]-Table4[[#This Row],[StartMP]])</f>
        <v>6.4590000000000032</v>
      </c>
      <c r="P725" s="1" t="str">
        <f>IF( AND( Table4[[#This Row],[Route]]=ClosureLocation!$B$3, ClosureLocation!$B$6 &gt;= Table4[[#This Row],[StartMP]], ClosureLocation!$B$6 &lt;= Table4[[#This Row],[EndMP]]), "Yes", "")</f>
        <v/>
      </c>
      <c r="Q725" s="1" t="str">
        <f>IF( AND( Table4[[#This Row],[Route]]=ClosureLocation!$B$3, ClosureLocation!$B$6 &lt;= Table4[[#This Row],[StartMP]], ClosureLocation!$B$6 &gt;= Table4[[#This Row],[EndMP]]), "Yes", "")</f>
        <v/>
      </c>
      <c r="R725" s="1" t="str">
        <f>IF( OR( Table4[[#This Row],[PrimaryMatch]]="Yes", Table4[[#This Row],[SecondaryMatch]]="Yes"), "Yes", "")</f>
        <v/>
      </c>
    </row>
    <row r="726" spans="1:18" hidden="1" x14ac:dyDescent="0.25">
      <c r="A726" t="s">
        <v>1516</v>
      </c>
      <c r="B726" t="s">
        <v>3205</v>
      </c>
      <c r="C726" t="s">
        <v>3206</v>
      </c>
      <c r="D726" t="s">
        <v>4285</v>
      </c>
      <c r="E726" s="1">
        <v>310.39</v>
      </c>
      <c r="F726" s="1">
        <v>314.90199999999999</v>
      </c>
      <c r="G726">
        <v>8</v>
      </c>
      <c r="H726">
        <v>2</v>
      </c>
      <c r="I726" t="s">
        <v>3104</v>
      </c>
      <c r="J726" t="s">
        <v>1700</v>
      </c>
      <c r="K726" s="39">
        <v>9.3235600000000005</v>
      </c>
      <c r="L726" s="1">
        <v>6.8571669999999996</v>
      </c>
      <c r="M726" s="1" t="s">
        <v>4293</v>
      </c>
      <c r="N726" s="1">
        <v>310.39</v>
      </c>
      <c r="O726" s="1">
        <f>ABS(Table4[[#This Row],[EndMP]]-Table4[[#This Row],[StartMP]])</f>
        <v>4.5120000000000005</v>
      </c>
      <c r="P726" s="1" t="str">
        <f>IF( AND( Table4[[#This Row],[Route]]=ClosureLocation!$B$3, ClosureLocation!$B$6 &gt;= Table4[[#This Row],[StartMP]], ClosureLocation!$B$6 &lt;= Table4[[#This Row],[EndMP]]), "Yes", "")</f>
        <v/>
      </c>
      <c r="Q726" s="1" t="str">
        <f>IF( AND( Table4[[#This Row],[Route]]=ClosureLocation!$B$3, ClosureLocation!$B$6 &lt;= Table4[[#This Row],[StartMP]], ClosureLocation!$B$6 &gt;= Table4[[#This Row],[EndMP]]), "Yes", "")</f>
        <v/>
      </c>
      <c r="R726" s="1" t="str">
        <f>IF( OR( Table4[[#This Row],[PrimaryMatch]]="Yes", Table4[[#This Row],[SecondaryMatch]]="Yes"), "Yes", "")</f>
        <v/>
      </c>
    </row>
    <row r="727" spans="1:18" hidden="1" x14ac:dyDescent="0.25">
      <c r="A727" t="s">
        <v>1516</v>
      </c>
      <c r="B727" t="s">
        <v>3209</v>
      </c>
      <c r="C727" t="s">
        <v>3210</v>
      </c>
      <c r="D727" t="s">
        <v>4296</v>
      </c>
      <c r="E727" s="1">
        <v>314.90199999999999</v>
      </c>
      <c r="F727" s="1">
        <v>310.39</v>
      </c>
      <c r="G727">
        <v>4</v>
      </c>
      <c r="H727">
        <v>5</v>
      </c>
      <c r="I727" t="s">
        <v>3112</v>
      </c>
      <c r="J727" t="s">
        <v>1700</v>
      </c>
      <c r="K727" s="39">
        <v>9.3194079999999992</v>
      </c>
      <c r="L727" s="1">
        <v>6.8571669999999996</v>
      </c>
      <c r="M727" s="1" t="s">
        <v>4299</v>
      </c>
      <c r="N727" s="1">
        <v>685.09799999999996</v>
      </c>
      <c r="O727" s="1">
        <f>ABS(Table4[[#This Row],[EndMP]]-Table4[[#This Row],[StartMP]])</f>
        <v>4.5120000000000005</v>
      </c>
      <c r="P727" s="1" t="str">
        <f>IF( AND( Table4[[#This Row],[Route]]=ClosureLocation!$B$3, ClosureLocation!$B$6 &gt;= Table4[[#This Row],[StartMP]], ClosureLocation!$B$6 &lt;= Table4[[#This Row],[EndMP]]), "Yes", "")</f>
        <v/>
      </c>
      <c r="Q727" s="1" t="str">
        <f>IF( AND( Table4[[#This Row],[Route]]=ClosureLocation!$B$3, ClosureLocation!$B$6 &lt;= Table4[[#This Row],[StartMP]], ClosureLocation!$B$6 &gt;= Table4[[#This Row],[EndMP]]), "Yes", "")</f>
        <v/>
      </c>
      <c r="R727" s="1" t="str">
        <f>IF( OR( Table4[[#This Row],[PrimaryMatch]]="Yes", Table4[[#This Row],[SecondaryMatch]]="Yes"), "Yes", "")</f>
        <v/>
      </c>
    </row>
    <row r="728" spans="1:18" hidden="1" x14ac:dyDescent="0.25">
      <c r="A728" t="s">
        <v>170</v>
      </c>
      <c r="B728" t="s">
        <v>3205</v>
      </c>
      <c r="C728" t="s">
        <v>3222</v>
      </c>
      <c r="D728" t="s">
        <v>3315</v>
      </c>
      <c r="E728" s="1">
        <v>62.88</v>
      </c>
      <c r="F728" s="1">
        <v>71.968000000000004</v>
      </c>
      <c r="G728">
        <v>3</v>
      </c>
      <c r="H728">
        <v>3</v>
      </c>
      <c r="I728" t="s">
        <v>2129</v>
      </c>
      <c r="J728" t="s">
        <v>1696</v>
      </c>
      <c r="K728" s="39">
        <v>9.2527790000000003</v>
      </c>
      <c r="L728" s="1">
        <v>5.4716930000000001</v>
      </c>
      <c r="M728" s="1" t="s">
        <v>3318</v>
      </c>
      <c r="N728" s="1">
        <v>62.88</v>
      </c>
      <c r="O728" s="1">
        <f>ABS(Table4[[#This Row],[EndMP]]-Table4[[#This Row],[StartMP]])</f>
        <v>9.088000000000001</v>
      </c>
      <c r="P728" s="1" t="str">
        <f>IF( AND( Table4[[#This Row],[Route]]=ClosureLocation!$B$3, ClosureLocation!$B$6 &gt;= Table4[[#This Row],[StartMP]], ClosureLocation!$B$6 &lt;= Table4[[#This Row],[EndMP]]), "Yes", "")</f>
        <v/>
      </c>
      <c r="Q728" s="1" t="str">
        <f>IF( AND( Table4[[#This Row],[Route]]=ClosureLocation!$B$3, ClosureLocation!$B$6 &lt;= Table4[[#This Row],[StartMP]], ClosureLocation!$B$6 &gt;= Table4[[#This Row],[EndMP]]), "Yes", "")</f>
        <v/>
      </c>
      <c r="R728" s="1" t="str">
        <f>IF( OR( Table4[[#This Row],[PrimaryMatch]]="Yes", Table4[[#This Row],[SecondaryMatch]]="Yes"), "Yes", "")</f>
        <v/>
      </c>
    </row>
    <row r="729" spans="1:18" hidden="1" x14ac:dyDescent="0.25">
      <c r="A729" t="s">
        <v>310</v>
      </c>
      <c r="B729" t="s">
        <v>3209</v>
      </c>
      <c r="C729" t="s">
        <v>3210</v>
      </c>
      <c r="D729" t="s">
        <v>3444</v>
      </c>
      <c r="E729" s="1">
        <v>201.26900000000001</v>
      </c>
      <c r="F729" s="1">
        <v>200.6</v>
      </c>
      <c r="G729">
        <v>21</v>
      </c>
      <c r="H729">
        <v>15</v>
      </c>
      <c r="I729" t="s">
        <v>2260</v>
      </c>
      <c r="J729" t="s">
        <v>1700</v>
      </c>
      <c r="K729" s="39">
        <v>9.2137980000000006</v>
      </c>
      <c r="L729" s="1">
        <v>7.2067300000000003</v>
      </c>
      <c r="M729" s="1" t="s">
        <v>3458</v>
      </c>
      <c r="N729" s="1">
        <v>798.73099999999999</v>
      </c>
      <c r="O729" s="1">
        <f>ABS(Table4[[#This Row],[EndMP]]-Table4[[#This Row],[StartMP]])</f>
        <v>0.66900000000001114</v>
      </c>
      <c r="P729" s="1" t="str">
        <f>IF( AND( Table4[[#This Row],[Route]]=ClosureLocation!$B$3, ClosureLocation!$B$6 &gt;= Table4[[#This Row],[StartMP]], ClosureLocation!$B$6 &lt;= Table4[[#This Row],[EndMP]]), "Yes", "")</f>
        <v/>
      </c>
      <c r="Q729" s="1" t="str">
        <f>IF( AND( Table4[[#This Row],[Route]]=ClosureLocation!$B$3, ClosureLocation!$B$6 &lt;= Table4[[#This Row],[StartMP]], ClosureLocation!$B$6 &gt;= Table4[[#This Row],[EndMP]]), "Yes", "")</f>
        <v/>
      </c>
      <c r="R729" s="1" t="str">
        <f>IF( OR( Table4[[#This Row],[PrimaryMatch]]="Yes", Table4[[#This Row],[SecondaryMatch]]="Yes"), "Yes", "")</f>
        <v/>
      </c>
    </row>
    <row r="730" spans="1:18" hidden="1" x14ac:dyDescent="0.25">
      <c r="A730" t="s">
        <v>454</v>
      </c>
      <c r="B730" t="s">
        <v>3205</v>
      </c>
      <c r="C730" t="s">
        <v>3222</v>
      </c>
      <c r="D730" t="s">
        <v>3525</v>
      </c>
      <c r="E730" s="1">
        <v>48.252000000000002</v>
      </c>
      <c r="F730" s="1">
        <v>54.545000000000002</v>
      </c>
      <c r="G730">
        <v>4</v>
      </c>
      <c r="H730">
        <v>1</v>
      </c>
      <c r="I730" t="s">
        <v>2334</v>
      </c>
      <c r="J730" t="s">
        <v>1702</v>
      </c>
      <c r="K730" s="39">
        <v>9.2091340000000006</v>
      </c>
      <c r="L730" s="1">
        <v>3.040483</v>
      </c>
      <c r="M730" s="1" t="s">
        <v>3529</v>
      </c>
      <c r="N730" s="1">
        <v>48.252000000000002</v>
      </c>
      <c r="O730" s="1">
        <f>ABS(Table4[[#This Row],[EndMP]]-Table4[[#This Row],[StartMP]])</f>
        <v>6.2929999999999993</v>
      </c>
      <c r="P730" s="1" t="str">
        <f>IF( AND( Table4[[#This Row],[Route]]=ClosureLocation!$B$3, ClosureLocation!$B$6 &gt;= Table4[[#This Row],[StartMP]], ClosureLocation!$B$6 &lt;= Table4[[#This Row],[EndMP]]), "Yes", "")</f>
        <v/>
      </c>
      <c r="Q730" s="1" t="str">
        <f>IF( AND( Table4[[#This Row],[Route]]=ClosureLocation!$B$3, ClosureLocation!$B$6 &lt;= Table4[[#This Row],[StartMP]], ClosureLocation!$B$6 &gt;= Table4[[#This Row],[EndMP]]), "Yes", "")</f>
        <v/>
      </c>
      <c r="R730" s="1" t="str">
        <f>IF( OR( Table4[[#This Row],[PrimaryMatch]]="Yes", Table4[[#This Row],[SecondaryMatch]]="Yes"), "Yes", "")</f>
        <v/>
      </c>
    </row>
    <row r="731" spans="1:18" hidden="1" x14ac:dyDescent="0.25">
      <c r="A731" t="s">
        <v>1272</v>
      </c>
      <c r="B731" t="s">
        <v>3205</v>
      </c>
      <c r="C731" t="s">
        <v>3206</v>
      </c>
      <c r="D731" t="s">
        <v>4109</v>
      </c>
      <c r="E731" s="1">
        <v>156.74600000000001</v>
      </c>
      <c r="F731" s="1">
        <v>162.297</v>
      </c>
      <c r="G731">
        <v>1</v>
      </c>
      <c r="H731">
        <v>1</v>
      </c>
      <c r="I731" t="s">
        <v>2951</v>
      </c>
      <c r="J731" t="s">
        <v>1692</v>
      </c>
      <c r="K731" s="39">
        <v>9.1794379999999993</v>
      </c>
      <c r="L731" s="1">
        <v>7.182518</v>
      </c>
      <c r="M731" s="1" t="s">
        <v>4110</v>
      </c>
      <c r="N731" s="1">
        <v>156.74600000000001</v>
      </c>
      <c r="O731" s="1">
        <f>ABS(Table4[[#This Row],[EndMP]]-Table4[[#This Row],[StartMP]])</f>
        <v>5.5509999999999877</v>
      </c>
      <c r="P731" s="1" t="str">
        <f>IF( AND( Table4[[#This Row],[Route]]=ClosureLocation!$B$3, ClosureLocation!$B$6 &gt;= Table4[[#This Row],[StartMP]], ClosureLocation!$B$6 &lt;= Table4[[#This Row],[EndMP]]), "Yes", "")</f>
        <v/>
      </c>
      <c r="Q731" s="1" t="str">
        <f>IF( AND( Table4[[#This Row],[Route]]=ClosureLocation!$B$3, ClosureLocation!$B$6 &lt;= Table4[[#This Row],[StartMP]], ClosureLocation!$B$6 &gt;= Table4[[#This Row],[EndMP]]), "Yes", "")</f>
        <v/>
      </c>
      <c r="R731" s="1" t="str">
        <f>IF( OR( Table4[[#This Row],[PrimaryMatch]]="Yes", Table4[[#This Row],[SecondaryMatch]]="Yes"), "Yes", "")</f>
        <v/>
      </c>
    </row>
    <row r="732" spans="1:18" hidden="1" x14ac:dyDescent="0.25">
      <c r="A732" t="s">
        <v>640</v>
      </c>
      <c r="B732" t="s">
        <v>3205</v>
      </c>
      <c r="C732" t="s">
        <v>3222</v>
      </c>
      <c r="D732" t="s">
        <v>3638</v>
      </c>
      <c r="E732" s="1">
        <v>368.93</v>
      </c>
      <c r="F732" s="1">
        <v>378.41899999999998</v>
      </c>
      <c r="G732">
        <v>9</v>
      </c>
      <c r="H732">
        <v>23</v>
      </c>
      <c r="I732" t="s">
        <v>2453</v>
      </c>
      <c r="J732" t="s">
        <v>1694</v>
      </c>
      <c r="K732" s="39">
        <v>9.1715680000000006</v>
      </c>
      <c r="L732" s="1">
        <v>4.2701560000000001</v>
      </c>
      <c r="M732" s="1" t="s">
        <v>4932</v>
      </c>
      <c r="N732" s="1">
        <v>368.93</v>
      </c>
      <c r="O732" s="1">
        <f>ABS(Table4[[#This Row],[EndMP]]-Table4[[#This Row],[StartMP]])</f>
        <v>9.4889999999999759</v>
      </c>
      <c r="P732" s="1" t="str">
        <f>IF( AND( Table4[[#This Row],[Route]]=ClosureLocation!$B$3, ClosureLocation!$B$6 &gt;= Table4[[#This Row],[StartMP]], ClosureLocation!$B$6 &lt;= Table4[[#This Row],[EndMP]]), "Yes", "")</f>
        <v/>
      </c>
      <c r="Q732" s="1" t="str">
        <f>IF( AND( Table4[[#This Row],[Route]]=ClosureLocation!$B$3, ClosureLocation!$B$6 &lt;= Table4[[#This Row],[StartMP]], ClosureLocation!$B$6 &gt;= Table4[[#This Row],[EndMP]]), "Yes", "")</f>
        <v/>
      </c>
      <c r="R732" s="1" t="str">
        <f>IF( OR( Table4[[#This Row],[PrimaryMatch]]="Yes", Table4[[#This Row],[SecondaryMatch]]="Yes"), "Yes", "")</f>
        <v/>
      </c>
    </row>
    <row r="733" spans="1:18" hidden="1" x14ac:dyDescent="0.25">
      <c r="A733" t="s">
        <v>707</v>
      </c>
      <c r="B733" t="s">
        <v>3209</v>
      </c>
      <c r="C733" t="s">
        <v>3226</v>
      </c>
      <c r="D733" t="s">
        <v>3683</v>
      </c>
      <c r="E733" s="1">
        <v>3.573</v>
      </c>
      <c r="F733" s="1">
        <v>0</v>
      </c>
      <c r="G733">
        <v>1</v>
      </c>
      <c r="H733">
        <v>2</v>
      </c>
      <c r="I733" t="s">
        <v>2502</v>
      </c>
      <c r="J733" t="s">
        <v>1699</v>
      </c>
      <c r="K733" s="39">
        <v>9.1501319999999993</v>
      </c>
      <c r="L733" s="1">
        <v>6.2244020000000004</v>
      </c>
      <c r="M733" s="1" t="s">
        <v>3684</v>
      </c>
      <c r="N733" s="1">
        <v>996.42700000000002</v>
      </c>
      <c r="O733" s="1">
        <f>ABS(Table4[[#This Row],[EndMP]]-Table4[[#This Row],[StartMP]])</f>
        <v>3.573</v>
      </c>
      <c r="P733" s="1" t="str">
        <f>IF( AND( Table4[[#This Row],[Route]]=ClosureLocation!$B$3, ClosureLocation!$B$6 &gt;= Table4[[#This Row],[StartMP]], ClosureLocation!$B$6 &lt;= Table4[[#This Row],[EndMP]]), "Yes", "")</f>
        <v/>
      </c>
      <c r="Q733" s="1" t="str">
        <f>IF( AND( Table4[[#This Row],[Route]]=ClosureLocation!$B$3, ClosureLocation!$B$6 &lt;= Table4[[#This Row],[StartMP]], ClosureLocation!$B$6 &gt;= Table4[[#This Row],[EndMP]]), "Yes", "")</f>
        <v/>
      </c>
      <c r="R733" s="1" t="str">
        <f>IF( OR( Table4[[#This Row],[PrimaryMatch]]="Yes", Table4[[#This Row],[SecondaryMatch]]="Yes"), "Yes", "")</f>
        <v/>
      </c>
    </row>
    <row r="734" spans="1:18" hidden="1" x14ac:dyDescent="0.25">
      <c r="A734" t="s">
        <v>776</v>
      </c>
      <c r="B734" t="s">
        <v>3209</v>
      </c>
      <c r="C734" t="s">
        <v>3226</v>
      </c>
      <c r="D734" t="s">
        <v>3749</v>
      </c>
      <c r="E734" s="1">
        <v>81.11</v>
      </c>
      <c r="F734" s="1">
        <v>74.930000000000007</v>
      </c>
      <c r="G734">
        <v>47</v>
      </c>
      <c r="H734">
        <v>100</v>
      </c>
      <c r="I734" t="s">
        <v>2646</v>
      </c>
      <c r="J734" t="s">
        <v>1694</v>
      </c>
      <c r="K734" s="39">
        <v>9.1390340000000005</v>
      </c>
      <c r="L734" s="1">
        <v>0.39133600000000002</v>
      </c>
      <c r="M734" s="1" t="s">
        <v>4537</v>
      </c>
      <c r="N734" s="1">
        <v>918.89</v>
      </c>
      <c r="O734" s="1">
        <f>ABS(Table4[[#This Row],[EndMP]]-Table4[[#This Row],[StartMP]])</f>
        <v>6.1799999999999926</v>
      </c>
      <c r="P734" s="1" t="str">
        <f>IF( AND( Table4[[#This Row],[Route]]=ClosureLocation!$B$3, ClosureLocation!$B$6 &gt;= Table4[[#This Row],[StartMP]], ClosureLocation!$B$6 &lt;= Table4[[#This Row],[EndMP]]), "Yes", "")</f>
        <v/>
      </c>
      <c r="Q734" s="1" t="str">
        <f>IF( AND( Table4[[#This Row],[Route]]=ClosureLocation!$B$3, ClosureLocation!$B$6 &lt;= Table4[[#This Row],[StartMP]], ClosureLocation!$B$6 &gt;= Table4[[#This Row],[EndMP]]), "Yes", "")</f>
        <v/>
      </c>
      <c r="R734" s="1" t="str">
        <f>IF( OR( Table4[[#This Row],[PrimaryMatch]]="Yes", Table4[[#This Row],[SecondaryMatch]]="Yes"), "Yes", "")</f>
        <v/>
      </c>
    </row>
    <row r="735" spans="1:18" hidden="1" x14ac:dyDescent="0.25">
      <c r="A735" t="s">
        <v>776</v>
      </c>
      <c r="B735" t="s">
        <v>3209</v>
      </c>
      <c r="C735" t="s">
        <v>3226</v>
      </c>
      <c r="D735" t="s">
        <v>3749</v>
      </c>
      <c r="E735" s="1">
        <v>162.53700000000001</v>
      </c>
      <c r="F735" s="1">
        <v>156.809</v>
      </c>
      <c r="G735">
        <v>38</v>
      </c>
      <c r="H735">
        <v>91</v>
      </c>
      <c r="I735" t="s">
        <v>2637</v>
      </c>
      <c r="J735" t="s">
        <v>1694</v>
      </c>
      <c r="K735" s="39">
        <v>9.1101639999999993</v>
      </c>
      <c r="L735" s="1">
        <v>0.98558800000000002</v>
      </c>
      <c r="M735" s="1" t="s">
        <v>4529</v>
      </c>
      <c r="N735" s="1">
        <v>837.46299999999997</v>
      </c>
      <c r="O735" s="1">
        <f>ABS(Table4[[#This Row],[EndMP]]-Table4[[#This Row],[StartMP]])</f>
        <v>5.7280000000000086</v>
      </c>
      <c r="P735" s="1" t="str">
        <f>IF( AND( Table4[[#This Row],[Route]]=ClosureLocation!$B$3, ClosureLocation!$B$6 &gt;= Table4[[#This Row],[StartMP]], ClosureLocation!$B$6 &lt;= Table4[[#This Row],[EndMP]]), "Yes", "")</f>
        <v/>
      </c>
      <c r="Q735" s="1" t="str">
        <f>IF( AND( Table4[[#This Row],[Route]]=ClosureLocation!$B$3, ClosureLocation!$B$6 &lt;= Table4[[#This Row],[StartMP]], ClosureLocation!$B$6 &gt;= Table4[[#This Row],[EndMP]]), "Yes", "")</f>
        <v/>
      </c>
      <c r="R735" s="1" t="str">
        <f>IF( OR( Table4[[#This Row],[PrimaryMatch]]="Yes", Table4[[#This Row],[SecondaryMatch]]="Yes"), "Yes", "")</f>
        <v/>
      </c>
    </row>
    <row r="736" spans="1:18" hidden="1" x14ac:dyDescent="0.25">
      <c r="A736" t="s">
        <v>776</v>
      </c>
      <c r="B736" t="s">
        <v>3205</v>
      </c>
      <c r="C736" t="s">
        <v>3222</v>
      </c>
      <c r="D736" t="s">
        <v>3748</v>
      </c>
      <c r="E736" s="1">
        <v>90.625</v>
      </c>
      <c r="F736" s="1">
        <v>97.302000000000007</v>
      </c>
      <c r="G736">
        <v>12</v>
      </c>
      <c r="H736">
        <v>12</v>
      </c>
      <c r="I736" t="s">
        <v>2557</v>
      </c>
      <c r="J736" t="s">
        <v>1694</v>
      </c>
      <c r="K736" s="39">
        <v>9.0896109999999997</v>
      </c>
      <c r="L736" s="1">
        <v>0.82177999999999995</v>
      </c>
      <c r="M736" s="1" t="s">
        <v>4462</v>
      </c>
      <c r="N736" s="1">
        <v>90.625</v>
      </c>
      <c r="O736" s="1">
        <f>ABS(Table4[[#This Row],[EndMP]]-Table4[[#This Row],[StartMP]])</f>
        <v>6.6770000000000067</v>
      </c>
      <c r="P736" s="1" t="str">
        <f>IF( AND( Table4[[#This Row],[Route]]=ClosureLocation!$B$3, ClosureLocation!$B$6 &gt;= Table4[[#This Row],[StartMP]], ClosureLocation!$B$6 &lt;= Table4[[#This Row],[EndMP]]), "Yes", "")</f>
        <v/>
      </c>
      <c r="Q736" s="1" t="str">
        <f>IF( AND( Table4[[#This Row],[Route]]=ClosureLocation!$B$3, ClosureLocation!$B$6 &lt;= Table4[[#This Row],[StartMP]], ClosureLocation!$B$6 &gt;= Table4[[#This Row],[EndMP]]), "Yes", "")</f>
        <v/>
      </c>
      <c r="R736" s="1" t="str">
        <f>IF( OR( Table4[[#This Row],[PrimaryMatch]]="Yes", Table4[[#This Row],[SecondaryMatch]]="Yes"), "Yes", "")</f>
        <v/>
      </c>
    </row>
    <row r="737" spans="1:18" hidden="1" x14ac:dyDescent="0.25">
      <c r="A737" t="s">
        <v>745</v>
      </c>
      <c r="B737" t="s">
        <v>3205</v>
      </c>
      <c r="C737" t="s">
        <v>3222</v>
      </c>
      <c r="D737" t="s">
        <v>3726</v>
      </c>
      <c r="E737" s="1">
        <v>36.622</v>
      </c>
      <c r="F737" s="1">
        <v>42.710999999999999</v>
      </c>
      <c r="G737">
        <v>2</v>
      </c>
      <c r="H737">
        <v>2</v>
      </c>
      <c r="I737" t="s">
        <v>2533</v>
      </c>
      <c r="J737" t="s">
        <v>1693</v>
      </c>
      <c r="K737" s="39">
        <v>9.0817219999999992</v>
      </c>
      <c r="L737" s="1">
        <v>6.7470800000000004</v>
      </c>
      <c r="M737" s="1" t="s">
        <v>3728</v>
      </c>
      <c r="N737" s="1">
        <v>36.622</v>
      </c>
      <c r="O737" s="1">
        <f>ABS(Table4[[#This Row],[EndMP]]-Table4[[#This Row],[StartMP]])</f>
        <v>6.0889999999999986</v>
      </c>
      <c r="P737" s="1" t="str">
        <f>IF( AND( Table4[[#This Row],[Route]]=ClosureLocation!$B$3, ClosureLocation!$B$6 &gt;= Table4[[#This Row],[StartMP]], ClosureLocation!$B$6 &lt;= Table4[[#This Row],[EndMP]]), "Yes", "")</f>
        <v/>
      </c>
      <c r="Q737" s="1" t="str">
        <f>IF( AND( Table4[[#This Row],[Route]]=ClosureLocation!$B$3, ClosureLocation!$B$6 &lt;= Table4[[#This Row],[StartMP]], ClosureLocation!$B$6 &gt;= Table4[[#This Row],[EndMP]]), "Yes", "")</f>
        <v/>
      </c>
      <c r="R737" s="1" t="str">
        <f>IF( OR( Table4[[#This Row],[PrimaryMatch]]="Yes", Table4[[#This Row],[SecondaryMatch]]="Yes"), "Yes", "")</f>
        <v/>
      </c>
    </row>
    <row r="738" spans="1:18" hidden="1" x14ac:dyDescent="0.25">
      <c r="A738" t="s">
        <v>665</v>
      </c>
      <c r="B738" t="s">
        <v>3205</v>
      </c>
      <c r="C738" t="s">
        <v>3222</v>
      </c>
      <c r="D738" t="s">
        <v>3641</v>
      </c>
      <c r="E738" s="1">
        <v>0</v>
      </c>
      <c r="F738" s="1">
        <v>0.82399999999999995</v>
      </c>
      <c r="G738">
        <v>1</v>
      </c>
      <c r="H738">
        <v>1</v>
      </c>
      <c r="I738" t="s">
        <v>2473</v>
      </c>
      <c r="J738" t="s">
        <v>1700</v>
      </c>
      <c r="K738" s="39">
        <v>9.0786149999999992</v>
      </c>
      <c r="L738" s="1">
        <v>7.2658500000000004</v>
      </c>
      <c r="M738" s="1" t="s">
        <v>3642</v>
      </c>
      <c r="N738" s="1">
        <v>0</v>
      </c>
      <c r="O738" s="1">
        <f>ABS(Table4[[#This Row],[EndMP]]-Table4[[#This Row],[StartMP]])</f>
        <v>0.82399999999999995</v>
      </c>
      <c r="P738" s="1" t="str">
        <f>IF( AND( Table4[[#This Row],[Route]]=ClosureLocation!$B$3, ClosureLocation!$B$6 &gt;= Table4[[#This Row],[StartMP]], ClosureLocation!$B$6 &lt;= Table4[[#This Row],[EndMP]]), "Yes", "")</f>
        <v/>
      </c>
      <c r="Q738" s="1" t="str">
        <f>IF( AND( Table4[[#This Row],[Route]]=ClosureLocation!$B$3, ClosureLocation!$B$6 &lt;= Table4[[#This Row],[StartMP]], ClosureLocation!$B$6 &gt;= Table4[[#This Row],[EndMP]]), "Yes", "")</f>
        <v/>
      </c>
      <c r="R738" s="1" t="str">
        <f>IF( OR( Table4[[#This Row],[PrimaryMatch]]="Yes", Table4[[#This Row],[SecondaryMatch]]="Yes"), "Yes", "")</f>
        <v/>
      </c>
    </row>
    <row r="739" spans="1:18" hidden="1" x14ac:dyDescent="0.25">
      <c r="A739" t="s">
        <v>745</v>
      </c>
      <c r="B739" t="s">
        <v>3209</v>
      </c>
      <c r="C739" t="s">
        <v>3226</v>
      </c>
      <c r="D739" t="s">
        <v>3731</v>
      </c>
      <c r="E739" s="1">
        <v>42.710999999999999</v>
      </c>
      <c r="F739" s="1">
        <v>36.622</v>
      </c>
      <c r="G739">
        <v>3</v>
      </c>
      <c r="H739">
        <v>7</v>
      </c>
      <c r="I739" t="s">
        <v>2538</v>
      </c>
      <c r="J739" t="s">
        <v>1693</v>
      </c>
      <c r="K739" s="39">
        <v>9.0762280000000004</v>
      </c>
      <c r="L739" s="1">
        <v>6.7416130000000001</v>
      </c>
      <c r="M739" s="1" t="s">
        <v>3734</v>
      </c>
      <c r="N739" s="1">
        <v>957.28899999999999</v>
      </c>
      <c r="O739" s="1">
        <f>ABS(Table4[[#This Row],[EndMP]]-Table4[[#This Row],[StartMP]])</f>
        <v>6.0889999999999986</v>
      </c>
      <c r="P739" s="1" t="str">
        <f>IF( AND( Table4[[#This Row],[Route]]=ClosureLocation!$B$3, ClosureLocation!$B$6 &gt;= Table4[[#This Row],[StartMP]], ClosureLocation!$B$6 &lt;= Table4[[#This Row],[EndMP]]), "Yes", "")</f>
        <v/>
      </c>
      <c r="Q739" s="1" t="str">
        <f>IF( AND( Table4[[#This Row],[Route]]=ClosureLocation!$B$3, ClosureLocation!$B$6 &lt;= Table4[[#This Row],[StartMP]], ClosureLocation!$B$6 &gt;= Table4[[#This Row],[EndMP]]), "Yes", "")</f>
        <v/>
      </c>
      <c r="R739" s="1" t="str">
        <f>IF( OR( Table4[[#This Row],[PrimaryMatch]]="Yes", Table4[[#This Row],[SecondaryMatch]]="Yes"), "Yes", "")</f>
        <v/>
      </c>
    </row>
    <row r="740" spans="1:18" hidden="1" x14ac:dyDescent="0.25">
      <c r="A740" t="s">
        <v>640</v>
      </c>
      <c r="B740" t="s">
        <v>3209</v>
      </c>
      <c r="C740" t="s">
        <v>3226</v>
      </c>
      <c r="D740" t="s">
        <v>3640</v>
      </c>
      <c r="E740" s="1">
        <v>378.41899999999998</v>
      </c>
      <c r="F740" s="1">
        <v>0.41699999999999998</v>
      </c>
      <c r="G740">
        <v>7</v>
      </c>
      <c r="H740">
        <v>7</v>
      </c>
      <c r="I740" t="s">
        <v>2465</v>
      </c>
      <c r="J740" t="s">
        <v>1694</v>
      </c>
      <c r="K740" s="39">
        <v>9.068956</v>
      </c>
      <c r="L740" s="1">
        <v>4.3172360000000003</v>
      </c>
      <c r="M740" s="1" t="s">
        <v>4944</v>
      </c>
      <c r="N740" s="1">
        <v>621.58100000000002</v>
      </c>
      <c r="O740" s="1">
        <f>ABS(Table4[[#This Row],[EndMP]]-Table4[[#This Row],[StartMP]])</f>
        <v>378.00200000000001</v>
      </c>
      <c r="P740" s="1" t="str">
        <f>IF( AND( Table4[[#This Row],[Route]]=ClosureLocation!$B$3, ClosureLocation!$B$6 &gt;= Table4[[#This Row],[StartMP]], ClosureLocation!$B$6 &lt;= Table4[[#This Row],[EndMP]]), "Yes", "")</f>
        <v/>
      </c>
      <c r="Q740" s="1" t="str">
        <f>IF( AND( Table4[[#This Row],[Route]]=ClosureLocation!$B$3, ClosureLocation!$B$6 &lt;= Table4[[#This Row],[StartMP]], ClosureLocation!$B$6 &gt;= Table4[[#This Row],[EndMP]]), "Yes", "")</f>
        <v/>
      </c>
      <c r="R740" s="1" t="str">
        <f>IF( OR( Table4[[#This Row],[PrimaryMatch]]="Yes", Table4[[#This Row],[SecondaryMatch]]="Yes"), "Yes", "")</f>
        <v/>
      </c>
    </row>
    <row r="741" spans="1:18" hidden="1" x14ac:dyDescent="0.25">
      <c r="A741" t="s">
        <v>776</v>
      </c>
      <c r="B741" t="s">
        <v>3205</v>
      </c>
      <c r="C741" t="s">
        <v>3222</v>
      </c>
      <c r="D741" t="s">
        <v>3748</v>
      </c>
      <c r="E741" s="1">
        <v>74.930000000000007</v>
      </c>
      <c r="F741" s="1">
        <v>81.088999999999999</v>
      </c>
      <c r="G741">
        <v>9</v>
      </c>
      <c r="H741">
        <v>9</v>
      </c>
      <c r="I741" t="s">
        <v>2554</v>
      </c>
      <c r="J741" t="s">
        <v>1694</v>
      </c>
      <c r="K741" s="39">
        <v>9.0609680000000008</v>
      </c>
      <c r="L741" s="1">
        <v>0.35906500000000002</v>
      </c>
      <c r="M741" s="1" t="s">
        <v>4459</v>
      </c>
      <c r="N741" s="1">
        <v>74.930000000000007</v>
      </c>
      <c r="O741" s="1">
        <f>ABS(Table4[[#This Row],[EndMP]]-Table4[[#This Row],[StartMP]])</f>
        <v>6.1589999999999918</v>
      </c>
      <c r="P741" s="1" t="str">
        <f>IF( AND( Table4[[#This Row],[Route]]=ClosureLocation!$B$3, ClosureLocation!$B$6 &gt;= Table4[[#This Row],[StartMP]], ClosureLocation!$B$6 &lt;= Table4[[#This Row],[EndMP]]), "Yes", "")</f>
        <v/>
      </c>
      <c r="Q741" s="1" t="str">
        <f>IF( AND( Table4[[#This Row],[Route]]=ClosureLocation!$B$3, ClosureLocation!$B$6 &lt;= Table4[[#This Row],[StartMP]], ClosureLocation!$B$6 &gt;= Table4[[#This Row],[EndMP]]), "Yes", "")</f>
        <v/>
      </c>
      <c r="R741" s="1" t="str">
        <f>IF( OR( Table4[[#This Row],[PrimaryMatch]]="Yes", Table4[[#This Row],[SecondaryMatch]]="Yes"), "Yes", "")</f>
        <v/>
      </c>
    </row>
    <row r="742" spans="1:18" hidden="1" x14ac:dyDescent="0.25">
      <c r="A742" t="s">
        <v>1615</v>
      </c>
      <c r="B742" t="s">
        <v>3205</v>
      </c>
      <c r="C742" t="s">
        <v>3206</v>
      </c>
      <c r="D742" t="s">
        <v>4354</v>
      </c>
      <c r="E742" s="1">
        <v>309.21699999999998</v>
      </c>
      <c r="F742" s="1">
        <v>310.95</v>
      </c>
      <c r="G742">
        <v>4</v>
      </c>
      <c r="H742">
        <v>4</v>
      </c>
      <c r="I742" t="s">
        <v>3152</v>
      </c>
      <c r="J742" t="s">
        <v>1691</v>
      </c>
      <c r="K742" s="39">
        <v>9.0462199999999999</v>
      </c>
      <c r="L742" s="1">
        <v>10.498173</v>
      </c>
      <c r="M742" s="58" t="s">
        <v>4358</v>
      </c>
      <c r="N742" s="1">
        <v>309.21699999999998</v>
      </c>
      <c r="O742" s="1">
        <f>ABS(Table4[[#This Row],[EndMP]]-Table4[[#This Row],[StartMP]])</f>
        <v>1.7330000000000041</v>
      </c>
      <c r="P742" s="1" t="str">
        <f>IF( AND( Table4[[#This Row],[Route]]=ClosureLocation!$B$3, ClosureLocation!$B$6 &gt;= Table4[[#This Row],[StartMP]], ClosureLocation!$B$6 &lt;= Table4[[#This Row],[EndMP]]), "Yes", "")</f>
        <v/>
      </c>
      <c r="Q742" s="1" t="str">
        <f>IF( AND( Table4[[#This Row],[Route]]=ClosureLocation!$B$3, ClosureLocation!$B$6 &lt;= Table4[[#This Row],[StartMP]], ClosureLocation!$B$6 &gt;= Table4[[#This Row],[EndMP]]), "Yes", "")</f>
        <v/>
      </c>
      <c r="R742" s="1" t="str">
        <f>IF( OR( Table4[[#This Row],[PrimaryMatch]]="Yes", Table4[[#This Row],[SecondaryMatch]]="Yes"), "Yes", "")</f>
        <v/>
      </c>
    </row>
    <row r="743" spans="1:18" hidden="1" x14ac:dyDescent="0.25">
      <c r="A743" t="s">
        <v>776</v>
      </c>
      <c r="B743" t="s">
        <v>3209</v>
      </c>
      <c r="C743" t="s">
        <v>3226</v>
      </c>
      <c r="D743" t="s">
        <v>3749</v>
      </c>
      <c r="E743" s="1">
        <v>411.82100000000003</v>
      </c>
      <c r="F743" s="1">
        <v>405.38600000000002</v>
      </c>
      <c r="G743">
        <v>6</v>
      </c>
      <c r="H743">
        <v>59</v>
      </c>
      <c r="I743" t="s">
        <v>2605</v>
      </c>
      <c r="J743" t="s">
        <v>1694</v>
      </c>
      <c r="K743" s="39">
        <v>9.0028699999999997</v>
      </c>
      <c r="L743" s="1">
        <v>0.86719800000000002</v>
      </c>
      <c r="M743" s="1" t="s">
        <v>4501</v>
      </c>
      <c r="N743" s="1">
        <v>588.17899999999997</v>
      </c>
      <c r="O743" s="1">
        <f>ABS(Table4[[#This Row],[EndMP]]-Table4[[#This Row],[StartMP]])</f>
        <v>6.4350000000000023</v>
      </c>
      <c r="P743" s="1" t="str">
        <f>IF( AND( Table4[[#This Row],[Route]]=ClosureLocation!$B$3, ClosureLocation!$B$6 &gt;= Table4[[#This Row],[StartMP]], ClosureLocation!$B$6 &lt;= Table4[[#This Row],[EndMP]]), "Yes", "")</f>
        <v/>
      </c>
      <c r="Q743" s="1" t="str">
        <f>IF( AND( Table4[[#This Row],[Route]]=ClosureLocation!$B$3, ClosureLocation!$B$6 &lt;= Table4[[#This Row],[StartMP]], ClosureLocation!$B$6 &gt;= Table4[[#This Row],[EndMP]]), "Yes", "")</f>
        <v/>
      </c>
      <c r="R743" s="1" t="str">
        <f>IF( OR( Table4[[#This Row],[PrimaryMatch]]="Yes", Table4[[#This Row],[SecondaryMatch]]="Yes"), "Yes", "")</f>
        <v/>
      </c>
    </row>
    <row r="744" spans="1:18" hidden="1" x14ac:dyDescent="0.25">
      <c r="A744" t="s">
        <v>776</v>
      </c>
      <c r="B744" t="s">
        <v>3205</v>
      </c>
      <c r="C744" t="s">
        <v>3222</v>
      </c>
      <c r="D744" t="s">
        <v>3748</v>
      </c>
      <c r="E744" s="1">
        <v>156.83099999999999</v>
      </c>
      <c r="F744" s="1">
        <v>162.559</v>
      </c>
      <c r="G744">
        <v>17</v>
      </c>
      <c r="H744">
        <v>17</v>
      </c>
      <c r="I744" t="s">
        <v>2562</v>
      </c>
      <c r="J744" t="s">
        <v>1694</v>
      </c>
      <c r="K744" s="39">
        <v>8.9796870000000002</v>
      </c>
      <c r="L744" s="1">
        <v>0.93013199999999996</v>
      </c>
      <c r="M744" s="1" t="s">
        <v>4466</v>
      </c>
      <c r="N744" s="1">
        <v>156.83099999999999</v>
      </c>
      <c r="O744" s="1">
        <f>ABS(Table4[[#This Row],[EndMP]]-Table4[[#This Row],[StartMP]])</f>
        <v>5.7280000000000086</v>
      </c>
      <c r="P744" s="1" t="str">
        <f>IF( AND( Table4[[#This Row],[Route]]=ClosureLocation!$B$3, ClosureLocation!$B$6 &gt;= Table4[[#This Row],[StartMP]], ClosureLocation!$B$6 &lt;= Table4[[#This Row],[EndMP]]), "Yes", "")</f>
        <v/>
      </c>
      <c r="Q744" s="1" t="str">
        <f>IF( AND( Table4[[#This Row],[Route]]=ClosureLocation!$B$3, ClosureLocation!$B$6 &lt;= Table4[[#This Row],[StartMP]], ClosureLocation!$B$6 &gt;= Table4[[#This Row],[EndMP]]), "Yes", "")</f>
        <v/>
      </c>
      <c r="R744" s="1" t="str">
        <f>IF( OR( Table4[[#This Row],[PrimaryMatch]]="Yes", Table4[[#This Row],[SecondaryMatch]]="Yes"), "Yes", "")</f>
        <v/>
      </c>
    </row>
    <row r="745" spans="1:18" hidden="1" x14ac:dyDescent="0.25">
      <c r="A745" t="s">
        <v>1661</v>
      </c>
      <c r="B745" t="s">
        <v>3209</v>
      </c>
      <c r="C745" t="s">
        <v>3222</v>
      </c>
      <c r="D745" t="s">
        <v>4403</v>
      </c>
      <c r="E745" s="1">
        <v>54.45</v>
      </c>
      <c r="F745" s="1">
        <v>53.027000000000001</v>
      </c>
      <c r="G745">
        <v>1</v>
      </c>
      <c r="H745">
        <v>1</v>
      </c>
      <c r="I745" t="s">
        <v>3187</v>
      </c>
      <c r="J745" t="s">
        <v>1691</v>
      </c>
      <c r="K745" s="39">
        <v>8.9306950000000001</v>
      </c>
      <c r="L745" s="1">
        <v>4.2811820000000003</v>
      </c>
      <c r="M745" s="1" t="s">
        <v>4404</v>
      </c>
      <c r="N745" s="1">
        <v>945.55</v>
      </c>
      <c r="O745" s="1">
        <f>ABS(Table4[[#This Row],[EndMP]]-Table4[[#This Row],[StartMP]])</f>
        <v>1.4230000000000018</v>
      </c>
      <c r="P745" s="1" t="str">
        <f>IF( AND( Table4[[#This Row],[Route]]=ClosureLocation!$B$3, ClosureLocation!$B$6 &gt;= Table4[[#This Row],[StartMP]], ClosureLocation!$B$6 &lt;= Table4[[#This Row],[EndMP]]), "Yes", "")</f>
        <v/>
      </c>
      <c r="Q745" s="1" t="str">
        <f>IF( AND( Table4[[#This Row],[Route]]=ClosureLocation!$B$3, ClosureLocation!$B$6 &lt;= Table4[[#This Row],[StartMP]], ClosureLocation!$B$6 &gt;= Table4[[#This Row],[EndMP]]), "Yes", "")</f>
        <v/>
      </c>
      <c r="R745" s="1" t="str">
        <f>IF( OR( Table4[[#This Row],[PrimaryMatch]]="Yes", Table4[[#This Row],[SecondaryMatch]]="Yes"), "Yes", "")</f>
        <v/>
      </c>
    </row>
    <row r="746" spans="1:18" hidden="1" x14ac:dyDescent="0.25">
      <c r="A746" t="s">
        <v>665</v>
      </c>
      <c r="B746" t="s">
        <v>3209</v>
      </c>
      <c r="C746" t="s">
        <v>3226</v>
      </c>
      <c r="D746" t="s">
        <v>3645</v>
      </c>
      <c r="E746" s="1">
        <v>0.82399999999999995</v>
      </c>
      <c r="F746" s="1">
        <v>0</v>
      </c>
      <c r="G746">
        <v>3</v>
      </c>
      <c r="H746">
        <v>2</v>
      </c>
      <c r="I746" t="s">
        <v>2478</v>
      </c>
      <c r="J746" t="s">
        <v>1700</v>
      </c>
      <c r="K746" s="39">
        <v>8.9281349999999993</v>
      </c>
      <c r="L746" s="1">
        <v>7.0436030000000001</v>
      </c>
      <c r="M746" s="1" t="s">
        <v>3648</v>
      </c>
      <c r="N746" s="1">
        <v>999.17600000000004</v>
      </c>
      <c r="O746" s="1">
        <f>ABS(Table4[[#This Row],[EndMP]]-Table4[[#This Row],[StartMP]])</f>
        <v>0.82399999999999995</v>
      </c>
      <c r="P746" s="1" t="str">
        <f>IF( AND( Table4[[#This Row],[Route]]=ClosureLocation!$B$3, ClosureLocation!$B$6 &gt;= Table4[[#This Row],[StartMP]], ClosureLocation!$B$6 &lt;= Table4[[#This Row],[EndMP]]), "Yes", "")</f>
        <v/>
      </c>
      <c r="Q746" s="1" t="str">
        <f>IF( AND( Table4[[#This Row],[Route]]=ClosureLocation!$B$3, ClosureLocation!$B$6 &lt;= Table4[[#This Row],[StartMP]], ClosureLocation!$B$6 &gt;= Table4[[#This Row],[EndMP]]), "Yes", "")</f>
        <v/>
      </c>
      <c r="R746" s="1" t="str">
        <f>IF( OR( Table4[[#This Row],[PrimaryMatch]]="Yes", Table4[[#This Row],[SecondaryMatch]]="Yes"), "Yes", "")</f>
        <v/>
      </c>
    </row>
    <row r="747" spans="1:18" hidden="1" x14ac:dyDescent="0.25">
      <c r="A747" t="s">
        <v>776</v>
      </c>
      <c r="B747" t="s">
        <v>3205</v>
      </c>
      <c r="C747" t="s">
        <v>3222</v>
      </c>
      <c r="D747" t="s">
        <v>3748</v>
      </c>
      <c r="E747" s="1">
        <v>25.872</v>
      </c>
      <c r="F747" s="1">
        <v>36.573</v>
      </c>
      <c r="G747">
        <v>5</v>
      </c>
      <c r="H747">
        <v>5</v>
      </c>
      <c r="I747" t="s">
        <v>2550</v>
      </c>
      <c r="J747" t="s">
        <v>1694</v>
      </c>
      <c r="K747" s="39">
        <v>8.9220819999999996</v>
      </c>
      <c r="L747" s="1">
        <v>1.8082560000000001</v>
      </c>
      <c r="M747" s="1" t="s">
        <v>836</v>
      </c>
      <c r="N747" s="1">
        <v>25.872</v>
      </c>
      <c r="O747" s="1">
        <f>ABS(Table4[[#This Row],[EndMP]]-Table4[[#This Row],[StartMP]])</f>
        <v>10.701000000000001</v>
      </c>
      <c r="P747" s="1" t="str">
        <f>IF( AND( Table4[[#This Row],[Route]]=ClosureLocation!$B$3, ClosureLocation!$B$6 &gt;= Table4[[#This Row],[StartMP]], ClosureLocation!$B$6 &lt;= Table4[[#This Row],[EndMP]]), "Yes", "")</f>
        <v/>
      </c>
      <c r="Q747" s="1" t="str">
        <f>IF( AND( Table4[[#This Row],[Route]]=ClosureLocation!$B$3, ClosureLocation!$B$6 &lt;= Table4[[#This Row],[StartMP]], ClosureLocation!$B$6 &gt;= Table4[[#This Row],[EndMP]]), "Yes", "")</f>
        <v/>
      </c>
      <c r="R747" s="1" t="str">
        <f>IF( OR( Table4[[#This Row],[PrimaryMatch]]="Yes", Table4[[#This Row],[SecondaryMatch]]="Yes"), "Yes", "")</f>
        <v/>
      </c>
    </row>
    <row r="748" spans="1:18" hidden="1" x14ac:dyDescent="0.25">
      <c r="A748" t="s">
        <v>454</v>
      </c>
      <c r="B748" t="s">
        <v>3209</v>
      </c>
      <c r="C748" t="s">
        <v>3226</v>
      </c>
      <c r="D748" t="s">
        <v>3532</v>
      </c>
      <c r="E748" s="1">
        <v>54.476999999999997</v>
      </c>
      <c r="F748" s="1">
        <v>48.33</v>
      </c>
      <c r="G748">
        <v>5</v>
      </c>
      <c r="H748">
        <v>2</v>
      </c>
      <c r="I748" t="s">
        <v>2335</v>
      </c>
      <c r="J748" t="s">
        <v>1702</v>
      </c>
      <c r="K748" s="39">
        <v>8.9176690000000001</v>
      </c>
      <c r="L748" s="1">
        <v>2.634182</v>
      </c>
      <c r="M748" s="1" t="s">
        <v>3534</v>
      </c>
      <c r="N748" s="1">
        <v>945.52300000000002</v>
      </c>
      <c r="O748" s="1">
        <f>ABS(Table4[[#This Row],[EndMP]]-Table4[[#This Row],[StartMP]])</f>
        <v>6.1469999999999985</v>
      </c>
      <c r="P748" s="1" t="str">
        <f>IF( AND( Table4[[#This Row],[Route]]=ClosureLocation!$B$3, ClosureLocation!$B$6 &gt;= Table4[[#This Row],[StartMP]], ClosureLocation!$B$6 &lt;= Table4[[#This Row],[EndMP]]), "Yes", "")</f>
        <v/>
      </c>
      <c r="Q748" s="1" t="str">
        <f>IF( AND( Table4[[#This Row],[Route]]=ClosureLocation!$B$3, ClosureLocation!$B$6 &lt;= Table4[[#This Row],[StartMP]], ClosureLocation!$B$6 &gt;= Table4[[#This Row],[EndMP]]), "Yes", "")</f>
        <v/>
      </c>
      <c r="R748" s="1" t="str">
        <f>IF( OR( Table4[[#This Row],[PrimaryMatch]]="Yes", Table4[[#This Row],[SecondaryMatch]]="Yes"), "Yes", "")</f>
        <v/>
      </c>
    </row>
    <row r="749" spans="1:18" hidden="1" x14ac:dyDescent="0.25">
      <c r="A749" t="s">
        <v>139</v>
      </c>
      <c r="B749" t="s">
        <v>3205</v>
      </c>
      <c r="C749" t="s">
        <v>3222</v>
      </c>
      <c r="D749" t="s">
        <v>3281</v>
      </c>
      <c r="E749" s="1">
        <v>53.457000000000001</v>
      </c>
      <c r="F749" s="1">
        <v>60.683</v>
      </c>
      <c r="G749">
        <v>2</v>
      </c>
      <c r="H749">
        <v>2</v>
      </c>
      <c r="I749" t="s">
        <v>2108</v>
      </c>
      <c r="J749" t="s">
        <v>1696</v>
      </c>
      <c r="K749" s="39">
        <v>8.7837180000000004</v>
      </c>
      <c r="L749" s="1">
        <v>8.4355460000000004</v>
      </c>
      <c r="M749" s="1" t="s">
        <v>3283</v>
      </c>
      <c r="N749" s="1">
        <v>53.457000000000001</v>
      </c>
      <c r="O749" s="1">
        <f>ABS(Table4[[#This Row],[EndMP]]-Table4[[#This Row],[StartMP]])</f>
        <v>7.2259999999999991</v>
      </c>
      <c r="P749" s="1" t="str">
        <f>IF( AND( Table4[[#This Row],[Route]]=ClosureLocation!$B$3, ClosureLocation!$B$6 &gt;= Table4[[#This Row],[StartMP]], ClosureLocation!$B$6 &lt;= Table4[[#This Row],[EndMP]]), "Yes", "")</f>
        <v/>
      </c>
      <c r="Q749" s="1" t="str">
        <f>IF( AND( Table4[[#This Row],[Route]]=ClosureLocation!$B$3, ClosureLocation!$B$6 &lt;= Table4[[#This Row],[StartMP]], ClosureLocation!$B$6 &gt;= Table4[[#This Row],[EndMP]]), "Yes", "")</f>
        <v/>
      </c>
      <c r="R749" s="1" t="str">
        <f>IF( OR( Table4[[#This Row],[PrimaryMatch]]="Yes", Table4[[#This Row],[SecondaryMatch]]="Yes"), "Yes", "")</f>
        <v/>
      </c>
    </row>
    <row r="750" spans="1:18" hidden="1" x14ac:dyDescent="0.25">
      <c r="A750" t="s">
        <v>776</v>
      </c>
      <c r="B750" t="s">
        <v>3209</v>
      </c>
      <c r="C750" t="s">
        <v>3226</v>
      </c>
      <c r="D750" t="s">
        <v>3749</v>
      </c>
      <c r="E750" s="1">
        <v>97.238</v>
      </c>
      <c r="F750" s="1">
        <v>90.625</v>
      </c>
      <c r="G750">
        <v>44</v>
      </c>
      <c r="H750">
        <v>97</v>
      </c>
      <c r="I750" t="s">
        <v>2643</v>
      </c>
      <c r="J750" t="s">
        <v>1694</v>
      </c>
      <c r="K750" s="39">
        <v>8.7019739999999999</v>
      </c>
      <c r="L750" s="1">
        <v>0.62675999999999998</v>
      </c>
      <c r="M750" s="1" t="s">
        <v>4534</v>
      </c>
      <c r="N750" s="1">
        <v>902.76199999999994</v>
      </c>
      <c r="O750" s="1">
        <f>ABS(Table4[[#This Row],[EndMP]]-Table4[[#This Row],[StartMP]])</f>
        <v>6.6129999999999995</v>
      </c>
      <c r="P750" s="1" t="str">
        <f>IF( AND( Table4[[#This Row],[Route]]=ClosureLocation!$B$3, ClosureLocation!$B$6 &gt;= Table4[[#This Row],[StartMP]], ClosureLocation!$B$6 &lt;= Table4[[#This Row],[EndMP]]), "Yes", "")</f>
        <v/>
      </c>
      <c r="Q750" s="1" t="str">
        <f>IF( AND( Table4[[#This Row],[Route]]=ClosureLocation!$B$3, ClosureLocation!$B$6 &lt;= Table4[[#This Row],[StartMP]], ClosureLocation!$B$6 &gt;= Table4[[#This Row],[EndMP]]), "Yes", "")</f>
        <v/>
      </c>
      <c r="R750" s="1" t="str">
        <f>IF( OR( Table4[[#This Row],[PrimaryMatch]]="Yes", Table4[[#This Row],[SecondaryMatch]]="Yes"), "Yes", "")</f>
        <v/>
      </c>
    </row>
    <row r="751" spans="1:18" hidden="1" x14ac:dyDescent="0.25">
      <c r="A751" t="s">
        <v>1445</v>
      </c>
      <c r="B751" t="s">
        <v>3209</v>
      </c>
      <c r="C751" t="s">
        <v>3210</v>
      </c>
      <c r="D751" t="s">
        <v>4222</v>
      </c>
      <c r="E751" s="1">
        <v>18.486999999999998</v>
      </c>
      <c r="F751" s="1">
        <v>0</v>
      </c>
      <c r="G751">
        <v>1</v>
      </c>
      <c r="H751">
        <v>2</v>
      </c>
      <c r="I751" t="s">
        <v>3034</v>
      </c>
      <c r="J751" t="s">
        <v>1691</v>
      </c>
      <c r="K751" s="39">
        <v>8.6927710000000005</v>
      </c>
      <c r="L751" s="1">
        <v>9.7716989999999999</v>
      </c>
      <c r="M751" s="1" t="s">
        <v>4223</v>
      </c>
      <c r="N751" s="1">
        <v>981.51300000000003</v>
      </c>
      <c r="O751" s="1">
        <f>ABS(Table4[[#This Row],[EndMP]]-Table4[[#This Row],[StartMP]])</f>
        <v>18.486999999999998</v>
      </c>
      <c r="P751" s="1" t="str">
        <f>IF( AND( Table4[[#This Row],[Route]]=ClosureLocation!$B$3, ClosureLocation!$B$6 &gt;= Table4[[#This Row],[StartMP]], ClosureLocation!$B$6 &lt;= Table4[[#This Row],[EndMP]]), "Yes", "")</f>
        <v/>
      </c>
      <c r="Q751" s="1" t="str">
        <f>IF( AND( Table4[[#This Row],[Route]]=ClosureLocation!$B$3, ClosureLocation!$B$6 &lt;= Table4[[#This Row],[StartMP]], ClosureLocation!$B$6 &gt;= Table4[[#This Row],[EndMP]]), "Yes", "")</f>
        <v/>
      </c>
      <c r="R751" s="1" t="str">
        <f>IF( OR( Table4[[#This Row],[PrimaryMatch]]="Yes", Table4[[#This Row],[SecondaryMatch]]="Yes"), "Yes", "")</f>
        <v/>
      </c>
    </row>
    <row r="752" spans="1:18" hidden="1" x14ac:dyDescent="0.25">
      <c r="A752" t="s">
        <v>917</v>
      </c>
      <c r="B752" t="s">
        <v>3205</v>
      </c>
      <c r="C752" t="s">
        <v>3222</v>
      </c>
      <c r="D752" t="s">
        <v>3837</v>
      </c>
      <c r="E752" s="1">
        <v>115.474</v>
      </c>
      <c r="F752" s="1">
        <v>124.453</v>
      </c>
      <c r="G752">
        <v>18</v>
      </c>
      <c r="H752">
        <v>18</v>
      </c>
      <c r="I752" t="s">
        <v>2721</v>
      </c>
      <c r="J752" t="s">
        <v>1694</v>
      </c>
      <c r="K752" s="39">
        <v>8.6496449999999996</v>
      </c>
      <c r="L752" s="1">
        <v>2.2018629999999999</v>
      </c>
      <c r="M752" s="1" t="s">
        <v>4971</v>
      </c>
      <c r="N752" s="1">
        <v>115.474</v>
      </c>
      <c r="O752" s="1">
        <f>ABS(Table4[[#This Row],[EndMP]]-Table4[[#This Row],[StartMP]])</f>
        <v>8.9789999999999992</v>
      </c>
      <c r="P752" s="1" t="str">
        <f>IF( AND( Table4[[#This Row],[Route]]=ClosureLocation!$B$3, ClosureLocation!$B$6 &gt;= Table4[[#This Row],[StartMP]], ClosureLocation!$B$6 &lt;= Table4[[#This Row],[EndMP]]), "Yes", "")</f>
        <v/>
      </c>
      <c r="Q752" s="1" t="str">
        <f>IF( AND( Table4[[#This Row],[Route]]=ClosureLocation!$B$3, ClosureLocation!$B$6 &lt;= Table4[[#This Row],[StartMP]], ClosureLocation!$B$6 &gt;= Table4[[#This Row],[EndMP]]), "Yes", "")</f>
        <v/>
      </c>
      <c r="R752" s="1" t="str">
        <f>IF( OR( Table4[[#This Row],[PrimaryMatch]]="Yes", Table4[[#This Row],[SecondaryMatch]]="Yes"), "Yes", "")</f>
        <v/>
      </c>
    </row>
    <row r="753" spans="1:18" hidden="1" x14ac:dyDescent="0.25">
      <c r="A753" t="s">
        <v>252</v>
      </c>
      <c r="B753" t="s">
        <v>3209</v>
      </c>
      <c r="C753" t="s">
        <v>3226</v>
      </c>
      <c r="D753" t="s">
        <v>3398</v>
      </c>
      <c r="E753" s="1">
        <v>174.649</v>
      </c>
      <c r="F753" s="1">
        <v>143.5</v>
      </c>
      <c r="G753">
        <v>6</v>
      </c>
      <c r="H753">
        <v>4</v>
      </c>
      <c r="I753" t="s">
        <v>2188</v>
      </c>
      <c r="J753" t="s">
        <v>1702</v>
      </c>
      <c r="K753" s="39">
        <v>8.6432140000000004</v>
      </c>
      <c r="L753" s="1">
        <v>16.325265999999999</v>
      </c>
      <c r="M753" s="1" t="s">
        <v>3402</v>
      </c>
      <c r="N753" s="1">
        <v>825.351</v>
      </c>
      <c r="O753" s="1">
        <f>ABS(Table4[[#This Row],[EndMP]]-Table4[[#This Row],[StartMP]])</f>
        <v>31.149000000000001</v>
      </c>
      <c r="P753" s="1" t="str">
        <f>IF( AND( Table4[[#This Row],[Route]]=ClosureLocation!$B$3, ClosureLocation!$B$6 &gt;= Table4[[#This Row],[StartMP]], ClosureLocation!$B$6 &lt;= Table4[[#This Row],[EndMP]]), "Yes", "")</f>
        <v/>
      </c>
      <c r="Q753" s="1" t="str">
        <f>IF( AND( Table4[[#This Row],[Route]]=ClosureLocation!$B$3, ClosureLocation!$B$6 &lt;= Table4[[#This Row],[StartMP]], ClosureLocation!$B$6 &gt;= Table4[[#This Row],[EndMP]]), "Yes", "")</f>
        <v/>
      </c>
      <c r="R753" s="1" t="str">
        <f>IF( OR( Table4[[#This Row],[PrimaryMatch]]="Yes", Table4[[#This Row],[SecondaryMatch]]="Yes"), "Yes", "")</f>
        <v/>
      </c>
    </row>
    <row r="754" spans="1:18" hidden="1" x14ac:dyDescent="0.25">
      <c r="A754" t="s">
        <v>1431</v>
      </c>
      <c r="B754" t="s">
        <v>3205</v>
      </c>
      <c r="C754" t="s">
        <v>3206</v>
      </c>
      <c r="D754" t="s">
        <v>4207</v>
      </c>
      <c r="E754" s="1">
        <v>4.2670000000000003</v>
      </c>
      <c r="F754" s="1">
        <v>8.7149999999999999</v>
      </c>
      <c r="G754">
        <v>2</v>
      </c>
      <c r="H754">
        <v>2</v>
      </c>
      <c r="I754" t="s">
        <v>3025</v>
      </c>
      <c r="J754" t="s">
        <v>1692</v>
      </c>
      <c r="K754" s="39">
        <v>8.6382100000000008</v>
      </c>
      <c r="L754" s="1">
        <v>2.6951689999999999</v>
      </c>
      <c r="M754" s="1" t="s">
        <v>4209</v>
      </c>
      <c r="N754" s="1">
        <v>4.2670000000000003</v>
      </c>
      <c r="O754" s="1">
        <f>ABS(Table4[[#This Row],[EndMP]]-Table4[[#This Row],[StartMP]])</f>
        <v>4.4479999999999995</v>
      </c>
      <c r="P754" s="1" t="str">
        <f>IF( AND( Table4[[#This Row],[Route]]=ClosureLocation!$B$3, ClosureLocation!$B$6 &gt;= Table4[[#This Row],[StartMP]], ClosureLocation!$B$6 &lt;= Table4[[#This Row],[EndMP]]), "Yes", "")</f>
        <v/>
      </c>
      <c r="Q754" s="1" t="str">
        <f>IF( AND( Table4[[#This Row],[Route]]=ClosureLocation!$B$3, ClosureLocation!$B$6 &lt;= Table4[[#This Row],[StartMP]], ClosureLocation!$B$6 &gt;= Table4[[#This Row],[EndMP]]), "Yes", "")</f>
        <v/>
      </c>
      <c r="R754" s="1" t="str">
        <f>IF( OR( Table4[[#This Row],[PrimaryMatch]]="Yes", Table4[[#This Row],[SecondaryMatch]]="Yes"), "Yes", "")</f>
        <v/>
      </c>
    </row>
    <row r="755" spans="1:18" hidden="1" x14ac:dyDescent="0.25">
      <c r="A755" t="s">
        <v>1661</v>
      </c>
      <c r="B755" t="s">
        <v>3205</v>
      </c>
      <c r="C755" t="s">
        <v>3226</v>
      </c>
      <c r="D755" t="s">
        <v>4406</v>
      </c>
      <c r="E755" s="1">
        <v>53.43</v>
      </c>
      <c r="F755" s="1">
        <v>54.45</v>
      </c>
      <c r="G755">
        <v>2</v>
      </c>
      <c r="H755">
        <v>4</v>
      </c>
      <c r="I755" t="s">
        <v>3186</v>
      </c>
      <c r="J755" t="s">
        <v>1691</v>
      </c>
      <c r="K755" s="39">
        <v>8.5740049999999997</v>
      </c>
      <c r="L755" s="1">
        <v>4.1695529999999996</v>
      </c>
      <c r="M755" s="1" t="s">
        <v>4408</v>
      </c>
      <c r="N755" s="1">
        <v>53.43</v>
      </c>
      <c r="O755" s="1">
        <f>ABS(Table4[[#This Row],[EndMP]]-Table4[[#This Row],[StartMP]])</f>
        <v>1.0200000000000031</v>
      </c>
      <c r="P755" s="1" t="str">
        <f>IF( AND( Table4[[#This Row],[Route]]=ClosureLocation!$B$3, ClosureLocation!$B$6 &gt;= Table4[[#This Row],[StartMP]], ClosureLocation!$B$6 &lt;= Table4[[#This Row],[EndMP]]), "Yes", "")</f>
        <v/>
      </c>
      <c r="Q755" s="1" t="str">
        <f>IF( AND( Table4[[#This Row],[Route]]=ClosureLocation!$B$3, ClosureLocation!$B$6 &lt;= Table4[[#This Row],[StartMP]], ClosureLocation!$B$6 &gt;= Table4[[#This Row],[EndMP]]), "Yes", "")</f>
        <v/>
      </c>
      <c r="R755" s="1" t="str">
        <f>IF( OR( Table4[[#This Row],[PrimaryMatch]]="Yes", Table4[[#This Row],[SecondaryMatch]]="Yes"), "Yes", "")</f>
        <v/>
      </c>
    </row>
    <row r="756" spans="1:18" hidden="1" x14ac:dyDescent="0.25">
      <c r="A756" t="s">
        <v>139</v>
      </c>
      <c r="B756" t="s">
        <v>3209</v>
      </c>
      <c r="C756" t="s">
        <v>3226</v>
      </c>
      <c r="D756" t="s">
        <v>3284</v>
      </c>
      <c r="E756" s="1">
        <v>60.683</v>
      </c>
      <c r="F756" s="1">
        <v>53.457000000000001</v>
      </c>
      <c r="G756">
        <v>1</v>
      </c>
      <c r="H756">
        <v>3</v>
      </c>
      <c r="I756" t="s">
        <v>2109</v>
      </c>
      <c r="J756" t="s">
        <v>1696</v>
      </c>
      <c r="K756" s="39">
        <v>8.546977</v>
      </c>
      <c r="L756" s="1">
        <v>8.1836020000000005</v>
      </c>
      <c r="M756" s="1" t="s">
        <v>3285</v>
      </c>
      <c r="N756" s="1">
        <v>939.31700000000001</v>
      </c>
      <c r="O756" s="1">
        <f>ABS(Table4[[#This Row],[EndMP]]-Table4[[#This Row],[StartMP]])</f>
        <v>7.2259999999999991</v>
      </c>
      <c r="P756" s="1" t="str">
        <f>IF( AND( Table4[[#This Row],[Route]]=ClosureLocation!$B$3, ClosureLocation!$B$6 &gt;= Table4[[#This Row],[StartMP]], ClosureLocation!$B$6 &lt;= Table4[[#This Row],[EndMP]]), "Yes", "")</f>
        <v/>
      </c>
      <c r="Q756" s="1" t="str">
        <f>IF( AND( Table4[[#This Row],[Route]]=ClosureLocation!$B$3, ClosureLocation!$B$6 &lt;= Table4[[#This Row],[StartMP]], ClosureLocation!$B$6 &gt;= Table4[[#This Row],[EndMP]]), "Yes", "")</f>
        <v/>
      </c>
      <c r="R756" s="1" t="str">
        <f>IF( OR( Table4[[#This Row],[PrimaryMatch]]="Yes", Table4[[#This Row],[SecondaryMatch]]="Yes"), "Yes", "")</f>
        <v/>
      </c>
    </row>
    <row r="757" spans="1:18" hidden="1" x14ac:dyDescent="0.25">
      <c r="A757" t="s">
        <v>310</v>
      </c>
      <c r="B757" t="s">
        <v>3209</v>
      </c>
      <c r="C757" t="s">
        <v>3210</v>
      </c>
      <c r="D757" t="s">
        <v>3444</v>
      </c>
      <c r="E757" s="1">
        <v>227.34700000000001</v>
      </c>
      <c r="F757" s="1">
        <v>217.38</v>
      </c>
      <c r="G757">
        <v>13</v>
      </c>
      <c r="H757">
        <v>15</v>
      </c>
      <c r="I757" t="s">
        <v>2252</v>
      </c>
      <c r="J757" t="s">
        <v>1701</v>
      </c>
      <c r="K757" s="39">
        <v>8.5338930000000008</v>
      </c>
      <c r="L757" s="1">
        <v>8.5186639999999993</v>
      </c>
      <c r="M757" s="1" t="s">
        <v>3451</v>
      </c>
      <c r="N757" s="1">
        <v>772.65300000000002</v>
      </c>
      <c r="O757" s="1">
        <f>ABS(Table4[[#This Row],[EndMP]]-Table4[[#This Row],[StartMP]])</f>
        <v>9.967000000000013</v>
      </c>
      <c r="P757" s="1" t="str">
        <f>IF( AND( Table4[[#This Row],[Route]]=ClosureLocation!$B$3, ClosureLocation!$B$6 &gt;= Table4[[#This Row],[StartMP]], ClosureLocation!$B$6 &lt;= Table4[[#This Row],[EndMP]]), "Yes", "")</f>
        <v/>
      </c>
      <c r="Q757" s="1" t="str">
        <f>IF( AND( Table4[[#This Row],[Route]]=ClosureLocation!$B$3, ClosureLocation!$B$6 &lt;= Table4[[#This Row],[StartMP]], ClosureLocation!$B$6 &gt;= Table4[[#This Row],[EndMP]]), "Yes", "")</f>
        <v/>
      </c>
      <c r="R757" s="1" t="str">
        <f>IF( OR( Table4[[#This Row],[PrimaryMatch]]="Yes", Table4[[#This Row],[SecondaryMatch]]="Yes"), "Yes", "")</f>
        <v/>
      </c>
    </row>
    <row r="758" spans="1:18" hidden="1" x14ac:dyDescent="0.25">
      <c r="A758" t="s">
        <v>448</v>
      </c>
      <c r="B758" t="s">
        <v>3205</v>
      </c>
      <c r="C758" t="s">
        <v>3206</v>
      </c>
      <c r="D758" t="s">
        <v>3517</v>
      </c>
      <c r="E758" s="1">
        <v>8.6720000000000006</v>
      </c>
      <c r="F758" s="1">
        <v>8.7880000000000003</v>
      </c>
      <c r="G758">
        <v>1</v>
      </c>
      <c r="H758">
        <v>1</v>
      </c>
      <c r="I758" t="s">
        <v>2325</v>
      </c>
      <c r="J758" t="s">
        <v>1690</v>
      </c>
      <c r="K758" s="39">
        <v>8.5228610000000007</v>
      </c>
      <c r="L758" s="1">
        <v>5.9698120000000001</v>
      </c>
      <c r="M758" s="1" t="s">
        <v>3518</v>
      </c>
      <c r="N758" s="1">
        <v>8.6720000000000006</v>
      </c>
      <c r="O758" s="1">
        <f>ABS(Table4[[#This Row],[EndMP]]-Table4[[#This Row],[StartMP]])</f>
        <v>0.11599999999999966</v>
      </c>
      <c r="P758" s="1" t="str">
        <f>IF( AND( Table4[[#This Row],[Route]]=ClosureLocation!$B$3, ClosureLocation!$B$6 &gt;= Table4[[#This Row],[StartMP]], ClosureLocation!$B$6 &lt;= Table4[[#This Row],[EndMP]]), "Yes", "")</f>
        <v/>
      </c>
      <c r="Q758" s="1" t="str">
        <f>IF( AND( Table4[[#This Row],[Route]]=ClosureLocation!$B$3, ClosureLocation!$B$6 &lt;= Table4[[#This Row],[StartMP]], ClosureLocation!$B$6 &gt;= Table4[[#This Row],[EndMP]]), "Yes", "")</f>
        <v/>
      </c>
      <c r="R758" s="1" t="str">
        <f>IF( OR( Table4[[#This Row],[PrimaryMatch]]="Yes", Table4[[#This Row],[SecondaryMatch]]="Yes"), "Yes", "")</f>
        <v/>
      </c>
    </row>
    <row r="759" spans="1:18" hidden="1" x14ac:dyDescent="0.25">
      <c r="A759" t="s">
        <v>966</v>
      </c>
      <c r="B759" t="s">
        <v>3209</v>
      </c>
      <c r="C759" t="s">
        <v>3210</v>
      </c>
      <c r="D759" t="s">
        <v>3866</v>
      </c>
      <c r="E759" s="1">
        <v>61.570999999999998</v>
      </c>
      <c r="F759" s="1">
        <v>50.756</v>
      </c>
      <c r="G759">
        <v>3</v>
      </c>
      <c r="H759">
        <v>5</v>
      </c>
      <c r="I759" t="s">
        <v>2765</v>
      </c>
      <c r="J759" t="s">
        <v>1700</v>
      </c>
      <c r="K759" s="39">
        <v>8.5051319999999997</v>
      </c>
      <c r="L759" s="1">
        <v>9.1203330000000005</v>
      </c>
      <c r="M759" s="1" t="s">
        <v>3869</v>
      </c>
      <c r="N759" s="1">
        <v>938.42899999999997</v>
      </c>
      <c r="O759" s="1">
        <f>ABS(Table4[[#This Row],[EndMP]]-Table4[[#This Row],[StartMP]])</f>
        <v>10.814999999999998</v>
      </c>
      <c r="P759" s="1" t="str">
        <f>IF( AND( Table4[[#This Row],[Route]]=ClosureLocation!$B$3, ClosureLocation!$B$6 &gt;= Table4[[#This Row],[StartMP]], ClosureLocation!$B$6 &lt;= Table4[[#This Row],[EndMP]]), "Yes", "")</f>
        <v/>
      </c>
      <c r="Q759" s="1" t="str">
        <f>IF( AND( Table4[[#This Row],[Route]]=ClosureLocation!$B$3, ClosureLocation!$B$6 &lt;= Table4[[#This Row],[StartMP]], ClosureLocation!$B$6 &gt;= Table4[[#This Row],[EndMP]]), "Yes", "")</f>
        <v/>
      </c>
      <c r="R759" s="1" t="str">
        <f>IF( OR( Table4[[#This Row],[PrimaryMatch]]="Yes", Table4[[#This Row],[SecondaryMatch]]="Yes"), "Yes", "")</f>
        <v/>
      </c>
    </row>
    <row r="760" spans="1:18" hidden="1" x14ac:dyDescent="0.25">
      <c r="A760" t="s">
        <v>225</v>
      </c>
      <c r="B760" t="s">
        <v>3209</v>
      </c>
      <c r="C760" t="s">
        <v>3226</v>
      </c>
      <c r="D760" t="s">
        <v>3370</v>
      </c>
      <c r="E760" s="1">
        <v>0.67900000000000005</v>
      </c>
      <c r="F760" s="1">
        <v>0.186</v>
      </c>
      <c r="G760">
        <v>2</v>
      </c>
      <c r="H760">
        <v>4</v>
      </c>
      <c r="I760" t="s">
        <v>2166</v>
      </c>
      <c r="J760" t="s">
        <v>1696</v>
      </c>
      <c r="K760" s="39">
        <v>8.480988</v>
      </c>
      <c r="L760" s="1">
        <v>7.0158139999999998</v>
      </c>
      <c r="M760" s="1" t="s">
        <v>3372</v>
      </c>
      <c r="N760" s="1">
        <v>999.32100000000003</v>
      </c>
      <c r="O760" s="1">
        <f>ABS(Table4[[#This Row],[EndMP]]-Table4[[#This Row],[StartMP]])</f>
        <v>0.49300000000000005</v>
      </c>
      <c r="P760" s="1" t="str">
        <f>IF( AND( Table4[[#This Row],[Route]]=ClosureLocation!$B$3, ClosureLocation!$B$6 &gt;= Table4[[#This Row],[StartMP]], ClosureLocation!$B$6 &lt;= Table4[[#This Row],[EndMP]]), "Yes", "")</f>
        <v/>
      </c>
      <c r="Q760" s="1" t="str">
        <f>IF( AND( Table4[[#This Row],[Route]]=ClosureLocation!$B$3, ClosureLocation!$B$6 &lt;= Table4[[#This Row],[StartMP]], ClosureLocation!$B$6 &gt;= Table4[[#This Row],[EndMP]]), "Yes", "")</f>
        <v/>
      </c>
      <c r="R760" s="1" t="str">
        <f>IF( OR( Table4[[#This Row],[PrimaryMatch]]="Yes", Table4[[#This Row],[SecondaryMatch]]="Yes"), "Yes", "")</f>
        <v/>
      </c>
    </row>
    <row r="761" spans="1:18" hidden="1" x14ac:dyDescent="0.25">
      <c r="A761" t="s">
        <v>310</v>
      </c>
      <c r="B761" t="s">
        <v>3205</v>
      </c>
      <c r="C761" t="s">
        <v>3206</v>
      </c>
      <c r="D761" t="s">
        <v>3427</v>
      </c>
      <c r="E761" s="1">
        <v>217.38</v>
      </c>
      <c r="F761" s="1">
        <v>227.10599999999999</v>
      </c>
      <c r="G761">
        <v>21</v>
      </c>
      <c r="H761">
        <v>2</v>
      </c>
      <c r="I761" t="s">
        <v>2227</v>
      </c>
      <c r="J761" t="s">
        <v>1701</v>
      </c>
      <c r="K761" s="39">
        <v>8.4794289999999997</v>
      </c>
      <c r="L761" s="1">
        <v>8.7642849999999992</v>
      </c>
      <c r="M761" s="1" t="s">
        <v>3437</v>
      </c>
      <c r="N761" s="1">
        <v>217.38</v>
      </c>
      <c r="O761" s="1">
        <f>ABS(Table4[[#This Row],[EndMP]]-Table4[[#This Row],[StartMP]])</f>
        <v>9.7259999999999991</v>
      </c>
      <c r="P761" s="1" t="str">
        <f>IF( AND( Table4[[#This Row],[Route]]=ClosureLocation!$B$3, ClosureLocation!$B$6 &gt;= Table4[[#This Row],[StartMP]], ClosureLocation!$B$6 &lt;= Table4[[#This Row],[EndMP]]), "Yes", "")</f>
        <v/>
      </c>
      <c r="Q761" s="1" t="str">
        <f>IF( AND( Table4[[#This Row],[Route]]=ClosureLocation!$B$3, ClosureLocation!$B$6 &lt;= Table4[[#This Row],[StartMP]], ClosureLocation!$B$6 &gt;= Table4[[#This Row],[EndMP]]), "Yes", "")</f>
        <v/>
      </c>
      <c r="R761" s="1" t="str">
        <f>IF( OR( Table4[[#This Row],[PrimaryMatch]]="Yes", Table4[[#This Row],[SecondaryMatch]]="Yes"), "Yes", "")</f>
        <v/>
      </c>
    </row>
    <row r="762" spans="1:18" hidden="1" x14ac:dyDescent="0.25">
      <c r="A762" t="s">
        <v>485</v>
      </c>
      <c r="B762" t="s">
        <v>3205</v>
      </c>
      <c r="C762" t="s">
        <v>3222</v>
      </c>
      <c r="D762" t="s">
        <v>3543</v>
      </c>
      <c r="E762" s="1">
        <v>101.012</v>
      </c>
      <c r="F762" s="1">
        <v>178.048</v>
      </c>
      <c r="H762">
        <v>2</v>
      </c>
      <c r="I762" t="s">
        <v>2345</v>
      </c>
      <c r="J762" t="s">
        <v>1707</v>
      </c>
      <c r="K762" s="39">
        <v>8.4527730000000005</v>
      </c>
      <c r="L762" s="1">
        <v>38.151049</v>
      </c>
      <c r="M762" s="1" t="s">
        <v>3547</v>
      </c>
      <c r="N762" s="1">
        <v>101.012</v>
      </c>
      <c r="O762" s="1">
        <f>ABS(Table4[[#This Row],[EndMP]]-Table4[[#This Row],[StartMP]])</f>
        <v>77.036000000000001</v>
      </c>
      <c r="P762" s="1" t="str">
        <f>IF( AND( Table4[[#This Row],[Route]]=ClosureLocation!$B$3, ClosureLocation!$B$6 &gt;= Table4[[#This Row],[StartMP]], ClosureLocation!$B$6 &lt;= Table4[[#This Row],[EndMP]]), "Yes", "")</f>
        <v/>
      </c>
      <c r="Q762" s="1" t="str">
        <f>IF( AND( Table4[[#This Row],[Route]]=ClosureLocation!$B$3, ClosureLocation!$B$6 &lt;= Table4[[#This Row],[StartMP]], ClosureLocation!$B$6 &gt;= Table4[[#This Row],[EndMP]]), "Yes", "")</f>
        <v/>
      </c>
      <c r="R762" s="1" t="str">
        <f>IF( OR( Table4[[#This Row],[PrimaryMatch]]="Yes", Table4[[#This Row],[SecondaryMatch]]="Yes"), "Yes", "")</f>
        <v/>
      </c>
    </row>
    <row r="763" spans="1:18" hidden="1" x14ac:dyDescent="0.25">
      <c r="A763" t="s">
        <v>485</v>
      </c>
      <c r="B763" t="s">
        <v>3209</v>
      </c>
      <c r="C763" t="s">
        <v>3226</v>
      </c>
      <c r="D763" t="s">
        <v>3548</v>
      </c>
      <c r="E763" s="1">
        <v>178.048</v>
      </c>
      <c r="F763" s="1">
        <v>101.012</v>
      </c>
      <c r="H763">
        <v>3</v>
      </c>
      <c r="I763" t="s">
        <v>2348</v>
      </c>
      <c r="J763" t="s">
        <v>1707</v>
      </c>
      <c r="K763" s="39">
        <v>8.4023090000000007</v>
      </c>
      <c r="L763" s="1">
        <v>38.124493000000001</v>
      </c>
      <c r="M763" s="1" t="s">
        <v>3549</v>
      </c>
      <c r="N763" s="1">
        <v>821.952</v>
      </c>
      <c r="O763" s="1">
        <f>ABS(Table4[[#This Row],[EndMP]]-Table4[[#This Row],[StartMP]])</f>
        <v>77.036000000000001</v>
      </c>
      <c r="P763" s="1" t="str">
        <f>IF( AND( Table4[[#This Row],[Route]]=ClosureLocation!$B$3, ClosureLocation!$B$6 &gt;= Table4[[#This Row],[StartMP]], ClosureLocation!$B$6 &lt;= Table4[[#This Row],[EndMP]]), "Yes", "")</f>
        <v/>
      </c>
      <c r="Q763" s="1" t="str">
        <f>IF( AND( Table4[[#This Row],[Route]]=ClosureLocation!$B$3, ClosureLocation!$B$6 &lt;= Table4[[#This Row],[StartMP]], ClosureLocation!$B$6 &gt;= Table4[[#This Row],[EndMP]]), "Yes", "")</f>
        <v/>
      </c>
      <c r="R763" s="1" t="str">
        <f>IF( OR( Table4[[#This Row],[PrimaryMatch]]="Yes", Table4[[#This Row],[SecondaryMatch]]="Yes"), "Yes", "")</f>
        <v/>
      </c>
    </row>
    <row r="764" spans="1:18" hidden="1" x14ac:dyDescent="0.25">
      <c r="A764" t="s">
        <v>703</v>
      </c>
      <c r="B764" t="s">
        <v>3205</v>
      </c>
      <c r="C764" t="s">
        <v>3222</v>
      </c>
      <c r="D764" t="s">
        <v>3673</v>
      </c>
      <c r="E764" s="1">
        <v>2.8210000000000002</v>
      </c>
      <c r="F764" s="1">
        <v>9.4019999999999992</v>
      </c>
      <c r="G764">
        <v>1</v>
      </c>
      <c r="H764">
        <v>1</v>
      </c>
      <c r="I764" t="s">
        <v>2497</v>
      </c>
      <c r="J764" t="s">
        <v>1690</v>
      </c>
      <c r="K764" s="39">
        <v>8.3984590000000008</v>
      </c>
      <c r="L764" s="1">
        <v>5.7976460000000003</v>
      </c>
      <c r="M764" s="1" t="s">
        <v>3674</v>
      </c>
      <c r="N764" s="1">
        <v>2.8210000000000002</v>
      </c>
      <c r="O764" s="1">
        <f>ABS(Table4[[#This Row],[EndMP]]-Table4[[#This Row],[StartMP]])</f>
        <v>6.5809999999999995</v>
      </c>
      <c r="P764" s="1" t="str">
        <f>IF( AND( Table4[[#This Row],[Route]]=ClosureLocation!$B$3, ClosureLocation!$B$6 &gt;= Table4[[#This Row],[StartMP]], ClosureLocation!$B$6 &lt;= Table4[[#This Row],[EndMP]]), "Yes", "")</f>
        <v/>
      </c>
      <c r="Q764" s="1" t="str">
        <f>IF( AND( Table4[[#This Row],[Route]]=ClosureLocation!$B$3, ClosureLocation!$B$6 &lt;= Table4[[#This Row],[StartMP]], ClosureLocation!$B$6 &gt;= Table4[[#This Row],[EndMP]]), "Yes", "")</f>
        <v/>
      </c>
      <c r="R764" s="1" t="str">
        <f>IF( OR( Table4[[#This Row],[PrimaryMatch]]="Yes", Table4[[#This Row],[SecondaryMatch]]="Yes"), "Yes", "")</f>
        <v/>
      </c>
    </row>
    <row r="765" spans="1:18" hidden="1" x14ac:dyDescent="0.25">
      <c r="A765" t="s">
        <v>917</v>
      </c>
      <c r="B765" t="s">
        <v>3205</v>
      </c>
      <c r="C765" t="s">
        <v>3222</v>
      </c>
      <c r="D765" t="s">
        <v>3837</v>
      </c>
      <c r="E765" s="1">
        <v>80.391000000000005</v>
      </c>
      <c r="F765" s="1">
        <v>89.488</v>
      </c>
      <c r="G765">
        <v>15</v>
      </c>
      <c r="H765">
        <v>15</v>
      </c>
      <c r="I765" t="s">
        <v>2718</v>
      </c>
      <c r="J765" t="s">
        <v>1694</v>
      </c>
      <c r="K765" s="39">
        <v>8.3912630000000004</v>
      </c>
      <c r="L765" s="1">
        <v>1.4368609999999999</v>
      </c>
      <c r="M765" s="1" t="s">
        <v>4964</v>
      </c>
      <c r="N765" s="1">
        <v>80.391000000000005</v>
      </c>
      <c r="O765" s="1">
        <f>ABS(Table4[[#This Row],[EndMP]]-Table4[[#This Row],[StartMP]])</f>
        <v>9.0969999999999942</v>
      </c>
      <c r="P765" s="1" t="str">
        <f>IF( AND( Table4[[#This Row],[Route]]=ClosureLocation!$B$3, ClosureLocation!$B$6 &gt;= Table4[[#This Row],[StartMP]], ClosureLocation!$B$6 &lt;= Table4[[#This Row],[EndMP]]), "Yes", "")</f>
        <v/>
      </c>
      <c r="Q765" s="1" t="str">
        <f>IF( AND( Table4[[#This Row],[Route]]=ClosureLocation!$B$3, ClosureLocation!$B$6 &lt;= Table4[[#This Row],[StartMP]], ClosureLocation!$B$6 &gt;= Table4[[#This Row],[EndMP]]), "Yes", "")</f>
        <v/>
      </c>
      <c r="R765" s="1" t="str">
        <f>IF( OR( Table4[[#This Row],[PrimaryMatch]]="Yes", Table4[[#This Row],[SecondaryMatch]]="Yes"), "Yes", "")</f>
        <v/>
      </c>
    </row>
    <row r="766" spans="1:18" hidden="1" x14ac:dyDescent="0.25">
      <c r="A766" t="s">
        <v>693</v>
      </c>
      <c r="B766" t="s">
        <v>3205</v>
      </c>
      <c r="C766" t="s">
        <v>3206</v>
      </c>
      <c r="D766" t="s">
        <v>3661</v>
      </c>
      <c r="E766" s="1">
        <v>86.480999999999995</v>
      </c>
      <c r="F766" s="1">
        <v>86.98</v>
      </c>
      <c r="G766">
        <v>1</v>
      </c>
      <c r="H766">
        <v>1</v>
      </c>
      <c r="I766" t="s">
        <v>2489</v>
      </c>
      <c r="J766" t="s">
        <v>1690</v>
      </c>
      <c r="K766" s="39">
        <v>8.3070160000000008</v>
      </c>
      <c r="L766" s="1">
        <v>7.7958189999999998</v>
      </c>
      <c r="M766" s="1" t="s">
        <v>3662</v>
      </c>
      <c r="N766" s="1">
        <v>86.480999999999995</v>
      </c>
      <c r="O766" s="1">
        <f>ABS(Table4[[#This Row],[EndMP]]-Table4[[#This Row],[StartMP]])</f>
        <v>0.49900000000000944</v>
      </c>
      <c r="P766" s="1" t="str">
        <f>IF( AND( Table4[[#This Row],[Route]]=ClosureLocation!$B$3, ClosureLocation!$B$6 &gt;= Table4[[#This Row],[StartMP]], ClosureLocation!$B$6 &lt;= Table4[[#This Row],[EndMP]]), "Yes", "")</f>
        <v/>
      </c>
      <c r="Q766" s="1" t="str">
        <f>IF( AND( Table4[[#This Row],[Route]]=ClosureLocation!$B$3, ClosureLocation!$B$6 &lt;= Table4[[#This Row],[StartMP]], ClosureLocation!$B$6 &gt;= Table4[[#This Row],[EndMP]]), "Yes", "")</f>
        <v/>
      </c>
      <c r="R766" s="1" t="str">
        <f>IF( OR( Table4[[#This Row],[PrimaryMatch]]="Yes", Table4[[#This Row],[SecondaryMatch]]="Yes"), "Yes", "")</f>
        <v/>
      </c>
    </row>
    <row r="767" spans="1:18" hidden="1" x14ac:dyDescent="0.25">
      <c r="A767" t="s">
        <v>225</v>
      </c>
      <c r="B767" t="s">
        <v>3205</v>
      </c>
      <c r="C767" t="s">
        <v>3222</v>
      </c>
      <c r="D767" t="s">
        <v>3367</v>
      </c>
      <c r="E767" s="1">
        <v>0.186</v>
      </c>
      <c r="F767" s="1">
        <v>0.67900000000000005</v>
      </c>
      <c r="G767">
        <v>1</v>
      </c>
      <c r="H767">
        <v>1</v>
      </c>
      <c r="I767" t="s">
        <v>2163</v>
      </c>
      <c r="J767" t="s">
        <v>1696</v>
      </c>
      <c r="K767" s="39">
        <v>8.3056350000000005</v>
      </c>
      <c r="L767" s="1">
        <v>6.8119500000000004</v>
      </c>
      <c r="M767" s="1" t="s">
        <v>3368</v>
      </c>
      <c r="N767" s="1">
        <v>0.186</v>
      </c>
      <c r="O767" s="1">
        <f>ABS(Table4[[#This Row],[EndMP]]-Table4[[#This Row],[StartMP]])</f>
        <v>0.49300000000000005</v>
      </c>
      <c r="P767" s="1" t="str">
        <f>IF( AND( Table4[[#This Row],[Route]]=ClosureLocation!$B$3, ClosureLocation!$B$6 &gt;= Table4[[#This Row],[StartMP]], ClosureLocation!$B$6 &lt;= Table4[[#This Row],[EndMP]]), "Yes", "")</f>
        <v/>
      </c>
      <c r="Q767" s="1" t="str">
        <f>IF( AND( Table4[[#This Row],[Route]]=ClosureLocation!$B$3, ClosureLocation!$B$6 &lt;= Table4[[#This Row],[StartMP]], ClosureLocation!$B$6 &gt;= Table4[[#This Row],[EndMP]]), "Yes", "")</f>
        <v/>
      </c>
      <c r="R767" s="1" t="str">
        <f>IF( OR( Table4[[#This Row],[PrimaryMatch]]="Yes", Table4[[#This Row],[SecondaryMatch]]="Yes"), "Yes", "")</f>
        <v/>
      </c>
    </row>
    <row r="768" spans="1:18" hidden="1" x14ac:dyDescent="0.25">
      <c r="A768" t="s">
        <v>1431</v>
      </c>
      <c r="B768" t="s">
        <v>3205</v>
      </c>
      <c r="C768" t="s">
        <v>3206</v>
      </c>
      <c r="D768" t="s">
        <v>4207</v>
      </c>
      <c r="E768" s="1">
        <v>1.6240000000000001</v>
      </c>
      <c r="F768" s="1">
        <v>3.726</v>
      </c>
      <c r="G768">
        <v>1</v>
      </c>
      <c r="H768">
        <v>1</v>
      </c>
      <c r="I768" t="s">
        <v>3024</v>
      </c>
      <c r="J768" t="s">
        <v>1692</v>
      </c>
      <c r="K768" s="39">
        <v>8.3034689999999998</v>
      </c>
      <c r="L768" s="1">
        <v>3.1914799999999999</v>
      </c>
      <c r="M768" s="1" t="s">
        <v>4208</v>
      </c>
      <c r="N768" s="1">
        <v>1.6240000000000001</v>
      </c>
      <c r="O768" s="1">
        <f>ABS(Table4[[#This Row],[EndMP]]-Table4[[#This Row],[StartMP]])</f>
        <v>2.1019999999999999</v>
      </c>
      <c r="P768" s="1" t="str">
        <f>IF( AND( Table4[[#This Row],[Route]]=ClosureLocation!$B$3, ClosureLocation!$B$6 &gt;= Table4[[#This Row],[StartMP]], ClosureLocation!$B$6 &lt;= Table4[[#This Row],[EndMP]]), "Yes", "")</f>
        <v/>
      </c>
      <c r="Q768" s="1" t="str">
        <f>IF( AND( Table4[[#This Row],[Route]]=ClosureLocation!$B$3, ClosureLocation!$B$6 &lt;= Table4[[#This Row],[StartMP]], ClosureLocation!$B$6 &gt;= Table4[[#This Row],[EndMP]]), "Yes", "")</f>
        <v/>
      </c>
      <c r="R768" s="1" t="str">
        <f>IF( OR( Table4[[#This Row],[PrimaryMatch]]="Yes", Table4[[#This Row],[SecondaryMatch]]="Yes"), "Yes", "")</f>
        <v/>
      </c>
    </row>
    <row r="769" spans="1:18" hidden="1" x14ac:dyDescent="0.25">
      <c r="A769" t="s">
        <v>754</v>
      </c>
      <c r="B769" t="s">
        <v>3205</v>
      </c>
      <c r="C769" t="s">
        <v>3206</v>
      </c>
      <c r="D769" t="s">
        <v>3740</v>
      </c>
      <c r="E769" s="1">
        <v>11.561999999999999</v>
      </c>
      <c r="F769" s="1">
        <v>15</v>
      </c>
      <c r="G769">
        <v>1</v>
      </c>
      <c r="H769">
        <v>1</v>
      </c>
      <c r="I769" t="s">
        <v>2542</v>
      </c>
      <c r="J769" t="s">
        <v>1699</v>
      </c>
      <c r="K769" s="39">
        <v>8.3034549999999996</v>
      </c>
      <c r="L769" s="1">
        <v>5.9380920000000001</v>
      </c>
      <c r="M769" s="1" t="s">
        <v>3741</v>
      </c>
      <c r="N769" s="1">
        <v>11.561999999999999</v>
      </c>
      <c r="O769" s="1">
        <f>ABS(Table4[[#This Row],[EndMP]]-Table4[[#This Row],[StartMP]])</f>
        <v>3.4380000000000006</v>
      </c>
      <c r="P769" s="1" t="str">
        <f>IF( AND( Table4[[#This Row],[Route]]=ClosureLocation!$B$3, ClosureLocation!$B$6 &gt;= Table4[[#This Row],[StartMP]], ClosureLocation!$B$6 &lt;= Table4[[#This Row],[EndMP]]), "Yes", "")</f>
        <v/>
      </c>
      <c r="Q769" s="1" t="str">
        <f>IF( AND( Table4[[#This Row],[Route]]=ClosureLocation!$B$3, ClosureLocation!$B$6 &lt;= Table4[[#This Row],[StartMP]], ClosureLocation!$B$6 &gt;= Table4[[#This Row],[EndMP]]), "Yes", "")</f>
        <v/>
      </c>
      <c r="R769" s="1" t="str">
        <f>IF( OR( Table4[[#This Row],[PrimaryMatch]]="Yes", Table4[[#This Row],[SecondaryMatch]]="Yes"), "Yes", "")</f>
        <v/>
      </c>
    </row>
    <row r="770" spans="1:18" hidden="1" x14ac:dyDescent="0.25">
      <c r="A770" t="s">
        <v>1424</v>
      </c>
      <c r="B770" t="s">
        <v>3205</v>
      </c>
      <c r="C770" t="s">
        <v>3222</v>
      </c>
      <c r="D770" t="s">
        <v>4200</v>
      </c>
      <c r="E770" s="1">
        <v>7.9000000000000001E-2</v>
      </c>
      <c r="F770" s="1">
        <v>0.26800000000000002</v>
      </c>
      <c r="G770">
        <v>1</v>
      </c>
      <c r="H770">
        <v>1</v>
      </c>
      <c r="I770" t="s">
        <v>3018</v>
      </c>
      <c r="J770" t="s">
        <v>1708</v>
      </c>
      <c r="K770" s="39">
        <v>8.2817779999999992</v>
      </c>
      <c r="L770" s="1">
        <v>5.7136820000000004</v>
      </c>
      <c r="M770" s="1" t="s">
        <v>4201</v>
      </c>
      <c r="N770" s="1">
        <v>7.9000000000000001E-2</v>
      </c>
      <c r="O770" s="1">
        <f>ABS(Table4[[#This Row],[EndMP]]-Table4[[#This Row],[StartMP]])</f>
        <v>0.189</v>
      </c>
      <c r="P770" s="1" t="str">
        <f>IF( AND( Table4[[#This Row],[Route]]=ClosureLocation!$B$3, ClosureLocation!$B$6 &gt;= Table4[[#This Row],[StartMP]], ClosureLocation!$B$6 &lt;= Table4[[#This Row],[EndMP]]), "Yes", "")</f>
        <v/>
      </c>
      <c r="Q770" s="1" t="str">
        <f>IF( AND( Table4[[#This Row],[Route]]=ClosureLocation!$B$3, ClosureLocation!$B$6 &lt;= Table4[[#This Row],[StartMP]], ClosureLocation!$B$6 &gt;= Table4[[#This Row],[EndMP]]), "Yes", "")</f>
        <v/>
      </c>
      <c r="R770" s="1" t="str">
        <f>IF( OR( Table4[[#This Row],[PrimaryMatch]]="Yes", Table4[[#This Row],[SecondaryMatch]]="Yes"), "Yes", "")</f>
        <v/>
      </c>
    </row>
    <row r="771" spans="1:18" hidden="1" x14ac:dyDescent="0.25">
      <c r="A771" t="s">
        <v>1445</v>
      </c>
      <c r="B771" t="s">
        <v>3205</v>
      </c>
      <c r="C771" t="s">
        <v>3206</v>
      </c>
      <c r="D771" t="s">
        <v>4220</v>
      </c>
      <c r="E771" s="1">
        <v>0</v>
      </c>
      <c r="F771" s="1">
        <v>18.486999999999998</v>
      </c>
      <c r="G771">
        <v>1</v>
      </c>
      <c r="H771">
        <v>1</v>
      </c>
      <c r="I771" t="s">
        <v>3033</v>
      </c>
      <c r="J771" t="s">
        <v>1691</v>
      </c>
      <c r="K771" s="39">
        <v>8.1249199999999995</v>
      </c>
      <c r="L771" s="1">
        <v>9.3338070000000002</v>
      </c>
      <c r="M771" s="1" t="s">
        <v>4221</v>
      </c>
      <c r="N771" s="1">
        <v>0</v>
      </c>
      <c r="O771" s="1">
        <f>ABS(Table4[[#This Row],[EndMP]]-Table4[[#This Row],[StartMP]])</f>
        <v>18.486999999999998</v>
      </c>
      <c r="P771" s="1" t="str">
        <f>IF( AND( Table4[[#This Row],[Route]]=ClosureLocation!$B$3, ClosureLocation!$B$6 &gt;= Table4[[#This Row],[StartMP]], ClosureLocation!$B$6 &lt;= Table4[[#This Row],[EndMP]]), "Yes", "")</f>
        <v/>
      </c>
      <c r="Q771" s="1" t="str">
        <f>IF( AND( Table4[[#This Row],[Route]]=ClosureLocation!$B$3, ClosureLocation!$B$6 &lt;= Table4[[#This Row],[StartMP]], ClosureLocation!$B$6 &gt;= Table4[[#This Row],[EndMP]]), "Yes", "")</f>
        <v/>
      </c>
      <c r="R771" s="1" t="str">
        <f>IF( OR( Table4[[#This Row],[PrimaryMatch]]="Yes", Table4[[#This Row],[SecondaryMatch]]="Yes"), "Yes", "")</f>
        <v/>
      </c>
    </row>
    <row r="772" spans="1:18" hidden="1" x14ac:dyDescent="0.25">
      <c r="A772" t="s">
        <v>1081</v>
      </c>
      <c r="B772" t="s">
        <v>3205</v>
      </c>
      <c r="C772" t="s">
        <v>3222</v>
      </c>
      <c r="D772" t="s">
        <v>3973</v>
      </c>
      <c r="E772" s="1">
        <v>90.147999999999996</v>
      </c>
      <c r="F772" s="1">
        <v>99.58</v>
      </c>
      <c r="G772">
        <v>2</v>
      </c>
      <c r="H772">
        <v>2</v>
      </c>
      <c r="I772" t="s">
        <v>2847</v>
      </c>
      <c r="J772" t="s">
        <v>1693</v>
      </c>
      <c r="K772" s="39">
        <v>8.1141369999999995</v>
      </c>
      <c r="L772" s="1">
        <v>5.9717289999999998</v>
      </c>
      <c r="M772" s="1" t="s">
        <v>3975</v>
      </c>
      <c r="N772" s="1">
        <v>90.147999999999996</v>
      </c>
      <c r="O772" s="1">
        <f>ABS(Table4[[#This Row],[EndMP]]-Table4[[#This Row],[StartMP]])</f>
        <v>9.4320000000000022</v>
      </c>
      <c r="P772" s="1" t="str">
        <f>IF( AND( Table4[[#This Row],[Route]]=ClosureLocation!$B$3, ClosureLocation!$B$6 &gt;= Table4[[#This Row],[StartMP]], ClosureLocation!$B$6 &lt;= Table4[[#This Row],[EndMP]]), "Yes", "")</f>
        <v/>
      </c>
      <c r="Q772" s="1" t="str">
        <f>IF( AND( Table4[[#This Row],[Route]]=ClosureLocation!$B$3, ClosureLocation!$B$6 &lt;= Table4[[#This Row],[StartMP]], ClosureLocation!$B$6 &gt;= Table4[[#This Row],[EndMP]]), "Yes", "")</f>
        <v/>
      </c>
      <c r="R772" s="1" t="str">
        <f>IF( OR( Table4[[#This Row],[PrimaryMatch]]="Yes", Table4[[#This Row],[SecondaryMatch]]="Yes"), "Yes", "")</f>
        <v/>
      </c>
    </row>
    <row r="773" spans="1:18" hidden="1" x14ac:dyDescent="0.25">
      <c r="A773" t="s">
        <v>1081</v>
      </c>
      <c r="B773" t="s">
        <v>3209</v>
      </c>
      <c r="C773" t="s">
        <v>3226</v>
      </c>
      <c r="D773" t="s">
        <v>3977</v>
      </c>
      <c r="E773" s="1">
        <v>99.58</v>
      </c>
      <c r="F773" s="1">
        <v>90.147999999999996</v>
      </c>
      <c r="G773">
        <v>2</v>
      </c>
      <c r="H773">
        <v>5</v>
      </c>
      <c r="I773" t="s">
        <v>2850</v>
      </c>
      <c r="J773" t="s">
        <v>1693</v>
      </c>
      <c r="K773" s="39">
        <v>8.1139580000000002</v>
      </c>
      <c r="L773" s="1">
        <v>5.9717289999999998</v>
      </c>
      <c r="M773" s="1" t="s">
        <v>3979</v>
      </c>
      <c r="N773" s="1">
        <v>900.42</v>
      </c>
      <c r="O773" s="1">
        <f>ABS(Table4[[#This Row],[EndMP]]-Table4[[#This Row],[StartMP]])</f>
        <v>9.4320000000000022</v>
      </c>
      <c r="P773" s="1" t="str">
        <f>IF( AND( Table4[[#This Row],[Route]]=ClosureLocation!$B$3, ClosureLocation!$B$6 &gt;= Table4[[#This Row],[StartMP]], ClosureLocation!$B$6 &lt;= Table4[[#This Row],[EndMP]]), "Yes", "")</f>
        <v/>
      </c>
      <c r="Q773" s="1" t="str">
        <f>IF( AND( Table4[[#This Row],[Route]]=ClosureLocation!$B$3, ClosureLocation!$B$6 &lt;= Table4[[#This Row],[StartMP]], ClosureLocation!$B$6 &gt;= Table4[[#This Row],[EndMP]]), "Yes", "")</f>
        <v/>
      </c>
      <c r="R773" s="1" t="str">
        <f>IF( OR( Table4[[#This Row],[PrimaryMatch]]="Yes", Table4[[#This Row],[SecondaryMatch]]="Yes"), "Yes", "")</f>
        <v/>
      </c>
    </row>
    <row r="774" spans="1:18" hidden="1" x14ac:dyDescent="0.25">
      <c r="A774" t="s">
        <v>917</v>
      </c>
      <c r="B774" t="s">
        <v>3209</v>
      </c>
      <c r="C774" t="s">
        <v>3226</v>
      </c>
      <c r="D774" t="s">
        <v>3840</v>
      </c>
      <c r="E774" s="1">
        <v>18.504999999999999</v>
      </c>
      <c r="F774" s="1">
        <v>12.715</v>
      </c>
      <c r="G774">
        <v>15</v>
      </c>
      <c r="H774">
        <v>37</v>
      </c>
      <c r="I774" t="s">
        <v>2740</v>
      </c>
      <c r="J774" t="s">
        <v>1694</v>
      </c>
      <c r="K774" s="39">
        <v>8.0698450000000008</v>
      </c>
      <c r="L774" s="1">
        <v>5.9200460000000001</v>
      </c>
      <c r="M774" s="1" t="s">
        <v>5043</v>
      </c>
      <c r="N774" s="1">
        <v>981.495</v>
      </c>
      <c r="O774" s="1">
        <f>ABS(Table4[[#This Row],[EndMP]]-Table4[[#This Row],[StartMP]])</f>
        <v>5.7899999999999991</v>
      </c>
      <c r="P774" s="1" t="str">
        <f>IF( AND( Table4[[#This Row],[Route]]=ClosureLocation!$B$3, ClosureLocation!$B$6 &gt;= Table4[[#This Row],[StartMP]], ClosureLocation!$B$6 &lt;= Table4[[#This Row],[EndMP]]), "Yes", "")</f>
        <v/>
      </c>
      <c r="Q774" s="1" t="str">
        <f>IF( AND( Table4[[#This Row],[Route]]=ClosureLocation!$B$3, ClosureLocation!$B$6 &lt;= Table4[[#This Row],[StartMP]], ClosureLocation!$B$6 &gt;= Table4[[#This Row],[EndMP]]), "Yes", "")</f>
        <v/>
      </c>
      <c r="R774" s="1" t="str">
        <f>IF( OR( Table4[[#This Row],[PrimaryMatch]]="Yes", Table4[[#This Row],[SecondaryMatch]]="Yes"), "Yes", "")</f>
        <v/>
      </c>
    </row>
    <row r="775" spans="1:18" hidden="1" x14ac:dyDescent="0.25">
      <c r="A775" t="s">
        <v>776</v>
      </c>
      <c r="B775" t="s">
        <v>3209</v>
      </c>
      <c r="C775" t="s">
        <v>3226</v>
      </c>
      <c r="D775" t="s">
        <v>3749</v>
      </c>
      <c r="E775" s="1">
        <v>44.02</v>
      </c>
      <c r="F775" s="1">
        <v>37.042999999999999</v>
      </c>
      <c r="G775">
        <v>49</v>
      </c>
      <c r="H775">
        <v>102</v>
      </c>
      <c r="I775" t="s">
        <v>2648</v>
      </c>
      <c r="J775" t="s">
        <v>1694</v>
      </c>
      <c r="K775" s="39">
        <v>8.0458590000000001</v>
      </c>
      <c r="L775" s="1">
        <v>2.3509139999999999</v>
      </c>
      <c r="M775" s="1" t="s">
        <v>4539</v>
      </c>
      <c r="N775" s="1">
        <v>955.98</v>
      </c>
      <c r="O775" s="1">
        <f>ABS(Table4[[#This Row],[EndMP]]-Table4[[#This Row],[StartMP]])</f>
        <v>6.9770000000000039</v>
      </c>
      <c r="P775" s="1" t="str">
        <f>IF( AND( Table4[[#This Row],[Route]]=ClosureLocation!$B$3, ClosureLocation!$B$6 &gt;= Table4[[#This Row],[StartMP]], ClosureLocation!$B$6 &lt;= Table4[[#This Row],[EndMP]]), "Yes", "")</f>
        <v/>
      </c>
      <c r="Q775" s="1" t="str">
        <f>IF( AND( Table4[[#This Row],[Route]]=ClosureLocation!$B$3, ClosureLocation!$B$6 &lt;= Table4[[#This Row],[StartMP]], ClosureLocation!$B$6 &gt;= Table4[[#This Row],[EndMP]]), "Yes", "")</f>
        <v/>
      </c>
      <c r="R775" s="1" t="str">
        <f>IF( OR( Table4[[#This Row],[PrimaryMatch]]="Yes", Table4[[#This Row],[SecondaryMatch]]="Yes"), "Yes", "")</f>
        <v/>
      </c>
    </row>
    <row r="776" spans="1:18" hidden="1" x14ac:dyDescent="0.25">
      <c r="A776" t="s">
        <v>252</v>
      </c>
      <c r="B776" t="s">
        <v>3205</v>
      </c>
      <c r="C776" t="s">
        <v>3222</v>
      </c>
      <c r="D776" t="s">
        <v>3393</v>
      </c>
      <c r="E776" s="1">
        <v>143.5</v>
      </c>
      <c r="F776" s="1">
        <v>174.649</v>
      </c>
      <c r="G776">
        <v>1</v>
      </c>
      <c r="H776">
        <v>1</v>
      </c>
      <c r="I776" t="s">
        <v>2177</v>
      </c>
      <c r="J776" t="s">
        <v>1702</v>
      </c>
      <c r="K776" s="39">
        <v>8.0451960000000007</v>
      </c>
      <c r="L776" s="1">
        <v>15.592817999999999</v>
      </c>
      <c r="M776" s="1" t="s">
        <v>3394</v>
      </c>
      <c r="N776" s="1">
        <v>143.5</v>
      </c>
      <c r="O776" s="1">
        <f>ABS(Table4[[#This Row],[EndMP]]-Table4[[#This Row],[StartMP]])</f>
        <v>31.149000000000001</v>
      </c>
      <c r="P776" s="1" t="str">
        <f>IF( AND( Table4[[#This Row],[Route]]=ClosureLocation!$B$3, ClosureLocation!$B$6 &gt;= Table4[[#This Row],[StartMP]], ClosureLocation!$B$6 &lt;= Table4[[#This Row],[EndMP]]), "Yes", "")</f>
        <v/>
      </c>
      <c r="Q776" s="1" t="str">
        <f>IF( AND( Table4[[#This Row],[Route]]=ClosureLocation!$B$3, ClosureLocation!$B$6 &lt;= Table4[[#This Row],[StartMP]], ClosureLocation!$B$6 &gt;= Table4[[#This Row],[EndMP]]), "Yes", "")</f>
        <v/>
      </c>
      <c r="R776" s="1" t="str">
        <f>IF( OR( Table4[[#This Row],[PrimaryMatch]]="Yes", Table4[[#This Row],[SecondaryMatch]]="Yes"), "Yes", "")</f>
        <v/>
      </c>
    </row>
    <row r="777" spans="1:18" hidden="1" x14ac:dyDescent="0.25">
      <c r="A777" t="s">
        <v>310</v>
      </c>
      <c r="B777" t="s">
        <v>3205</v>
      </c>
      <c r="C777" t="s">
        <v>3206</v>
      </c>
      <c r="D777" t="s">
        <v>3427</v>
      </c>
      <c r="E777" s="1">
        <v>94.927000000000007</v>
      </c>
      <c r="F777" s="1">
        <v>97.747</v>
      </c>
      <c r="G777">
        <v>6</v>
      </c>
      <c r="H777">
        <v>5</v>
      </c>
      <c r="I777" t="s">
        <v>2212</v>
      </c>
      <c r="J777" t="s">
        <v>1694</v>
      </c>
      <c r="K777" s="39">
        <v>8.0225600000000004</v>
      </c>
      <c r="L777" s="1">
        <v>4.6191190000000004</v>
      </c>
      <c r="M777" s="1" t="s">
        <v>4884</v>
      </c>
      <c r="N777" s="1">
        <v>94.927000000000007</v>
      </c>
      <c r="O777" s="1">
        <f>ABS(Table4[[#This Row],[EndMP]]-Table4[[#This Row],[StartMP]])</f>
        <v>2.8199999999999932</v>
      </c>
      <c r="P777" s="1" t="str">
        <f>IF( AND( Table4[[#This Row],[Route]]=ClosureLocation!$B$3, ClosureLocation!$B$6 &gt;= Table4[[#This Row],[StartMP]], ClosureLocation!$B$6 &lt;= Table4[[#This Row],[EndMP]]), "Yes", "")</f>
        <v/>
      </c>
      <c r="Q777" s="1" t="str">
        <f>IF( AND( Table4[[#This Row],[Route]]=ClosureLocation!$B$3, ClosureLocation!$B$6 &lt;= Table4[[#This Row],[StartMP]], ClosureLocation!$B$6 &gt;= Table4[[#This Row],[EndMP]]), "Yes", "")</f>
        <v/>
      </c>
      <c r="R777" s="1" t="str">
        <f>IF( OR( Table4[[#This Row],[PrimaryMatch]]="Yes", Table4[[#This Row],[SecondaryMatch]]="Yes"), "Yes", "")</f>
        <v/>
      </c>
    </row>
    <row r="778" spans="1:18" hidden="1" x14ac:dyDescent="0.25">
      <c r="A778" t="s">
        <v>1493</v>
      </c>
      <c r="B778" t="s">
        <v>3209</v>
      </c>
      <c r="C778" t="s">
        <v>3210</v>
      </c>
      <c r="D778" t="s">
        <v>4262</v>
      </c>
      <c r="E778" s="1">
        <v>257.94299999999998</v>
      </c>
      <c r="F778" s="1">
        <v>255.24700000000001</v>
      </c>
      <c r="G778">
        <v>4</v>
      </c>
      <c r="H778">
        <v>14</v>
      </c>
      <c r="I778" t="s">
        <v>3082</v>
      </c>
      <c r="J778" t="s">
        <v>1693</v>
      </c>
      <c r="K778" s="39">
        <v>8.0196380000000005</v>
      </c>
      <c r="L778" s="1">
        <v>9.9096510000000002</v>
      </c>
      <c r="M778" s="1" t="s">
        <v>4266</v>
      </c>
      <c r="N778" s="1">
        <v>742.05700000000002</v>
      </c>
      <c r="O778" s="1">
        <f>ABS(Table4[[#This Row],[EndMP]]-Table4[[#This Row],[StartMP]])</f>
        <v>2.6959999999999695</v>
      </c>
      <c r="P778" s="1" t="str">
        <f>IF( AND( Table4[[#This Row],[Route]]=ClosureLocation!$B$3, ClosureLocation!$B$6 &gt;= Table4[[#This Row],[StartMP]], ClosureLocation!$B$6 &lt;= Table4[[#This Row],[EndMP]]), "Yes", "")</f>
        <v/>
      </c>
      <c r="Q778" s="1" t="str">
        <f>IF( AND( Table4[[#This Row],[Route]]=ClosureLocation!$B$3, ClosureLocation!$B$6 &lt;= Table4[[#This Row],[StartMP]], ClosureLocation!$B$6 &gt;= Table4[[#This Row],[EndMP]]), "Yes", "")</f>
        <v/>
      </c>
      <c r="R778" s="1" t="str">
        <f>IF( OR( Table4[[#This Row],[PrimaryMatch]]="Yes", Table4[[#This Row],[SecondaryMatch]]="Yes"), "Yes", "")</f>
        <v/>
      </c>
    </row>
    <row r="779" spans="1:18" hidden="1" x14ac:dyDescent="0.25">
      <c r="A779" t="s">
        <v>703</v>
      </c>
      <c r="B779" t="s">
        <v>3209</v>
      </c>
      <c r="C779" t="s">
        <v>3226</v>
      </c>
      <c r="D779" t="s">
        <v>3675</v>
      </c>
      <c r="E779" s="1">
        <v>9.4019999999999992</v>
      </c>
      <c r="F779" s="1">
        <v>2.8210000000000002</v>
      </c>
      <c r="G779">
        <v>1</v>
      </c>
      <c r="H779">
        <v>2</v>
      </c>
      <c r="I779" t="s">
        <v>2498</v>
      </c>
      <c r="J779" t="s">
        <v>1690</v>
      </c>
      <c r="K779" s="39">
        <v>8.0068280000000005</v>
      </c>
      <c r="L779" s="1">
        <v>5.5760439999999996</v>
      </c>
      <c r="M779" s="1" t="s">
        <v>3676</v>
      </c>
      <c r="N779" s="1">
        <v>990.59799999999996</v>
      </c>
      <c r="O779" s="1">
        <f>ABS(Table4[[#This Row],[EndMP]]-Table4[[#This Row],[StartMP]])</f>
        <v>6.5809999999999995</v>
      </c>
      <c r="P779" s="1" t="str">
        <f>IF( AND( Table4[[#This Row],[Route]]=ClosureLocation!$B$3, ClosureLocation!$B$6 &gt;= Table4[[#This Row],[StartMP]], ClosureLocation!$B$6 &lt;= Table4[[#This Row],[EndMP]]), "Yes", "")</f>
        <v/>
      </c>
      <c r="Q779" s="1" t="str">
        <f>IF( AND( Table4[[#This Row],[Route]]=ClosureLocation!$B$3, ClosureLocation!$B$6 &lt;= Table4[[#This Row],[StartMP]], ClosureLocation!$B$6 &gt;= Table4[[#This Row],[EndMP]]), "Yes", "")</f>
        <v/>
      </c>
      <c r="R779" s="1" t="str">
        <f>IF( OR( Table4[[#This Row],[PrimaryMatch]]="Yes", Table4[[#This Row],[SecondaryMatch]]="Yes"), "Yes", "")</f>
        <v/>
      </c>
    </row>
    <row r="780" spans="1:18" hidden="1" x14ac:dyDescent="0.25">
      <c r="A780" t="s">
        <v>310</v>
      </c>
      <c r="B780" t="s">
        <v>3209</v>
      </c>
      <c r="C780" t="s">
        <v>3210</v>
      </c>
      <c r="D780" t="s">
        <v>3444</v>
      </c>
      <c r="E780" s="1">
        <v>97.774000000000001</v>
      </c>
      <c r="F780" s="1">
        <v>94.927000000000007</v>
      </c>
      <c r="G780">
        <v>30</v>
      </c>
      <c r="H780">
        <v>43</v>
      </c>
      <c r="I780" t="s">
        <v>2269</v>
      </c>
      <c r="J780" t="s">
        <v>1694</v>
      </c>
      <c r="K780" s="39">
        <v>7.9966160000000004</v>
      </c>
      <c r="L780" s="1">
        <v>4.4956149999999999</v>
      </c>
      <c r="M780" s="1" t="s">
        <v>4906</v>
      </c>
      <c r="N780" s="1">
        <v>902.226</v>
      </c>
      <c r="O780" s="1">
        <f>ABS(Table4[[#This Row],[EndMP]]-Table4[[#This Row],[StartMP]])</f>
        <v>2.8469999999999942</v>
      </c>
      <c r="P780" s="1" t="str">
        <f>IF( AND( Table4[[#This Row],[Route]]=ClosureLocation!$B$3, ClosureLocation!$B$6 &gt;= Table4[[#This Row],[StartMP]], ClosureLocation!$B$6 &lt;= Table4[[#This Row],[EndMP]]), "Yes", "")</f>
        <v/>
      </c>
      <c r="Q780" s="1" t="str">
        <f>IF( AND( Table4[[#This Row],[Route]]=ClosureLocation!$B$3, ClosureLocation!$B$6 &lt;= Table4[[#This Row],[StartMP]], ClosureLocation!$B$6 &gt;= Table4[[#This Row],[EndMP]]), "Yes", "")</f>
        <v/>
      </c>
      <c r="R780" s="1" t="str">
        <f>IF( OR( Table4[[#This Row],[PrimaryMatch]]="Yes", Table4[[#This Row],[SecondaryMatch]]="Yes"), "Yes", "")</f>
        <v/>
      </c>
    </row>
    <row r="781" spans="1:18" hidden="1" x14ac:dyDescent="0.25">
      <c r="A781" t="s">
        <v>448</v>
      </c>
      <c r="B781" t="s">
        <v>3209</v>
      </c>
      <c r="C781" t="s">
        <v>3210</v>
      </c>
      <c r="D781" t="s">
        <v>3519</v>
      </c>
      <c r="E781" s="1">
        <v>8.7880000000000003</v>
      </c>
      <c r="F781" s="1">
        <v>8.6720000000000006</v>
      </c>
      <c r="G781">
        <v>1</v>
      </c>
      <c r="H781">
        <v>3</v>
      </c>
      <c r="I781" t="s">
        <v>2326</v>
      </c>
      <c r="J781" t="s">
        <v>1690</v>
      </c>
      <c r="K781" s="39">
        <v>7.931883</v>
      </c>
      <c r="L781" s="1">
        <v>5.5439059999999998</v>
      </c>
      <c r="M781" s="1" t="s">
        <v>3520</v>
      </c>
      <c r="N781" s="1">
        <v>991.21199999999999</v>
      </c>
      <c r="O781" s="1">
        <f>ABS(Table4[[#This Row],[EndMP]]-Table4[[#This Row],[StartMP]])</f>
        <v>0.11599999999999966</v>
      </c>
      <c r="P781" s="1" t="str">
        <f>IF( AND( Table4[[#This Row],[Route]]=ClosureLocation!$B$3, ClosureLocation!$B$6 &gt;= Table4[[#This Row],[StartMP]], ClosureLocation!$B$6 &lt;= Table4[[#This Row],[EndMP]]), "Yes", "")</f>
        <v/>
      </c>
      <c r="Q781" s="1" t="str">
        <f>IF( AND( Table4[[#This Row],[Route]]=ClosureLocation!$B$3, ClosureLocation!$B$6 &lt;= Table4[[#This Row],[StartMP]], ClosureLocation!$B$6 &gt;= Table4[[#This Row],[EndMP]]), "Yes", "")</f>
        <v/>
      </c>
      <c r="R781" s="1" t="str">
        <f>IF( OR( Table4[[#This Row],[PrimaryMatch]]="Yes", Table4[[#This Row],[SecondaryMatch]]="Yes"), "Yes", "")</f>
        <v/>
      </c>
    </row>
    <row r="782" spans="1:18" hidden="1" x14ac:dyDescent="0.25">
      <c r="A782" t="s">
        <v>1392</v>
      </c>
      <c r="B782" t="s">
        <v>3205</v>
      </c>
      <c r="C782" t="s">
        <v>3206</v>
      </c>
      <c r="D782" t="s">
        <v>4176</v>
      </c>
      <c r="E782" s="1">
        <v>0.1</v>
      </c>
      <c r="F782" s="1">
        <v>6.1109999999999998</v>
      </c>
      <c r="G782">
        <v>1</v>
      </c>
      <c r="H782">
        <v>1</v>
      </c>
      <c r="I782" t="s">
        <v>3006</v>
      </c>
      <c r="J782" t="s">
        <v>1692</v>
      </c>
      <c r="K782" s="39">
        <v>7.9229269999999996</v>
      </c>
      <c r="L782" s="1">
        <v>8.261666</v>
      </c>
      <c r="M782" s="1" t="s">
        <v>4177</v>
      </c>
      <c r="N782" s="1">
        <v>0.1</v>
      </c>
      <c r="O782" s="1">
        <f>ABS(Table4[[#This Row],[EndMP]]-Table4[[#This Row],[StartMP]])</f>
        <v>6.0110000000000001</v>
      </c>
      <c r="P782" s="1" t="str">
        <f>IF( AND( Table4[[#This Row],[Route]]=ClosureLocation!$B$3, ClosureLocation!$B$6 &gt;= Table4[[#This Row],[StartMP]], ClosureLocation!$B$6 &lt;= Table4[[#This Row],[EndMP]]), "Yes", "")</f>
        <v/>
      </c>
      <c r="Q782" s="1" t="str">
        <f>IF( AND( Table4[[#This Row],[Route]]=ClosureLocation!$B$3, ClosureLocation!$B$6 &lt;= Table4[[#This Row],[StartMP]], ClosureLocation!$B$6 &gt;= Table4[[#This Row],[EndMP]]), "Yes", "")</f>
        <v/>
      </c>
      <c r="R782" s="1" t="str">
        <f>IF( OR( Table4[[#This Row],[PrimaryMatch]]="Yes", Table4[[#This Row],[SecondaryMatch]]="Yes"), "Yes", "")</f>
        <v/>
      </c>
    </row>
    <row r="783" spans="1:18" hidden="1" x14ac:dyDescent="0.25">
      <c r="A783" t="s">
        <v>754</v>
      </c>
      <c r="B783" t="s">
        <v>3209</v>
      </c>
      <c r="C783" t="s">
        <v>3210</v>
      </c>
      <c r="D783" t="s">
        <v>3742</v>
      </c>
      <c r="E783" s="1">
        <v>15</v>
      </c>
      <c r="F783" s="1">
        <v>11.561999999999999</v>
      </c>
      <c r="G783">
        <v>1</v>
      </c>
      <c r="H783">
        <v>2</v>
      </c>
      <c r="I783" t="s">
        <v>2543</v>
      </c>
      <c r="J783" t="s">
        <v>1699</v>
      </c>
      <c r="K783" s="39">
        <v>7.9186030000000001</v>
      </c>
      <c r="L783" s="1">
        <v>5.7675359999999998</v>
      </c>
      <c r="M783" s="1" t="s">
        <v>3743</v>
      </c>
      <c r="N783" s="1">
        <v>985</v>
      </c>
      <c r="O783" s="1">
        <f>ABS(Table4[[#This Row],[EndMP]]-Table4[[#This Row],[StartMP]])</f>
        <v>3.4380000000000006</v>
      </c>
      <c r="P783" s="1" t="str">
        <f>IF( AND( Table4[[#This Row],[Route]]=ClosureLocation!$B$3, ClosureLocation!$B$6 &gt;= Table4[[#This Row],[StartMP]], ClosureLocation!$B$6 &lt;= Table4[[#This Row],[EndMP]]), "Yes", "")</f>
        <v/>
      </c>
      <c r="Q783" s="1" t="str">
        <f>IF( AND( Table4[[#This Row],[Route]]=ClosureLocation!$B$3, ClosureLocation!$B$6 &lt;= Table4[[#This Row],[StartMP]], ClosureLocation!$B$6 &gt;= Table4[[#This Row],[EndMP]]), "Yes", "")</f>
        <v/>
      </c>
      <c r="R783" s="1" t="str">
        <f>IF( OR( Table4[[#This Row],[PrimaryMatch]]="Yes", Table4[[#This Row],[SecondaryMatch]]="Yes"), "Yes", "")</f>
        <v/>
      </c>
    </row>
    <row r="784" spans="1:18" hidden="1" x14ac:dyDescent="0.25">
      <c r="A784" t="s">
        <v>1392</v>
      </c>
      <c r="B784" t="s">
        <v>3209</v>
      </c>
      <c r="C784" t="s">
        <v>3210</v>
      </c>
      <c r="D784" t="s">
        <v>4178</v>
      </c>
      <c r="E784" s="1">
        <v>6.1109999999999998</v>
      </c>
      <c r="F784" s="1">
        <v>0.1</v>
      </c>
      <c r="G784">
        <v>1</v>
      </c>
      <c r="H784">
        <v>2</v>
      </c>
      <c r="I784" t="s">
        <v>3007</v>
      </c>
      <c r="J784" t="s">
        <v>1692</v>
      </c>
      <c r="K784" s="39">
        <v>7.8609</v>
      </c>
      <c r="L784" s="1">
        <v>8.0365730000000006</v>
      </c>
      <c r="M784" s="1" t="s">
        <v>4179</v>
      </c>
      <c r="N784" s="1">
        <v>993.88900000000001</v>
      </c>
      <c r="O784" s="1">
        <f>ABS(Table4[[#This Row],[EndMP]]-Table4[[#This Row],[StartMP]])</f>
        <v>6.0110000000000001</v>
      </c>
      <c r="P784" s="1" t="str">
        <f>IF( AND( Table4[[#This Row],[Route]]=ClosureLocation!$B$3, ClosureLocation!$B$6 &gt;= Table4[[#This Row],[StartMP]], ClosureLocation!$B$6 &lt;= Table4[[#This Row],[EndMP]]), "Yes", "")</f>
        <v/>
      </c>
      <c r="Q784" s="1" t="str">
        <f>IF( AND( Table4[[#This Row],[Route]]=ClosureLocation!$B$3, ClosureLocation!$B$6 &lt;= Table4[[#This Row],[StartMP]], ClosureLocation!$B$6 &gt;= Table4[[#This Row],[EndMP]]), "Yes", "")</f>
        <v/>
      </c>
      <c r="R784" s="1" t="str">
        <f>IF( OR( Table4[[#This Row],[PrimaryMatch]]="Yes", Table4[[#This Row],[SecondaryMatch]]="Yes"), "Yes", "")</f>
        <v/>
      </c>
    </row>
    <row r="785" spans="1:18" hidden="1" x14ac:dyDescent="0.25">
      <c r="A785" t="s">
        <v>310</v>
      </c>
      <c r="B785" t="s">
        <v>3205</v>
      </c>
      <c r="C785" t="s">
        <v>3206</v>
      </c>
      <c r="D785" t="s">
        <v>3427</v>
      </c>
      <c r="E785" s="1">
        <v>97.820999999999998</v>
      </c>
      <c r="F785" s="1">
        <v>99.840999999999994</v>
      </c>
      <c r="G785">
        <v>7</v>
      </c>
      <c r="H785">
        <v>6</v>
      </c>
      <c r="I785" t="s">
        <v>2213</v>
      </c>
      <c r="J785" t="s">
        <v>1694</v>
      </c>
      <c r="K785" s="39">
        <v>7.857348</v>
      </c>
      <c r="L785" s="1">
        <v>4.6288229999999997</v>
      </c>
      <c r="M785" s="1" t="s">
        <v>4886</v>
      </c>
      <c r="N785" s="1">
        <v>97.820999999999998</v>
      </c>
      <c r="O785" s="1">
        <f>ABS(Table4[[#This Row],[EndMP]]-Table4[[#This Row],[StartMP]])</f>
        <v>2.019999999999996</v>
      </c>
      <c r="P785" s="1" t="str">
        <f>IF( AND( Table4[[#This Row],[Route]]=ClosureLocation!$B$3, ClosureLocation!$B$6 &gt;= Table4[[#This Row],[StartMP]], ClosureLocation!$B$6 &lt;= Table4[[#This Row],[EndMP]]), "Yes", "")</f>
        <v/>
      </c>
      <c r="Q785" s="1" t="str">
        <f>IF( AND( Table4[[#This Row],[Route]]=ClosureLocation!$B$3, ClosureLocation!$B$6 &lt;= Table4[[#This Row],[StartMP]], ClosureLocation!$B$6 &gt;= Table4[[#This Row],[EndMP]]), "Yes", "")</f>
        <v/>
      </c>
      <c r="R785" s="1" t="str">
        <f>IF( OR( Table4[[#This Row],[PrimaryMatch]]="Yes", Table4[[#This Row],[SecondaryMatch]]="Yes"), "Yes", "")</f>
        <v/>
      </c>
    </row>
    <row r="786" spans="1:18" hidden="1" x14ac:dyDescent="0.25">
      <c r="A786" t="s">
        <v>1236</v>
      </c>
      <c r="B786" t="s">
        <v>3209</v>
      </c>
      <c r="C786" t="s">
        <v>3226</v>
      </c>
      <c r="D786" t="s">
        <v>4089</v>
      </c>
      <c r="E786" s="1">
        <v>27.503</v>
      </c>
      <c r="F786" s="1">
        <v>8.9700000000000006</v>
      </c>
      <c r="H786">
        <v>2</v>
      </c>
      <c r="I786" t="s">
        <v>2939</v>
      </c>
      <c r="J786" t="s">
        <v>1708</v>
      </c>
      <c r="K786" s="39">
        <v>7.8007840000000002</v>
      </c>
      <c r="L786" s="1">
        <v>19.000115999999998</v>
      </c>
      <c r="M786" s="1" t="s">
        <v>4091</v>
      </c>
      <c r="N786" s="1">
        <v>972.49699999999996</v>
      </c>
      <c r="O786" s="1">
        <f>ABS(Table4[[#This Row],[EndMP]]-Table4[[#This Row],[StartMP]])</f>
        <v>18.533000000000001</v>
      </c>
      <c r="P786" s="1" t="str">
        <f>IF( AND( Table4[[#This Row],[Route]]=ClosureLocation!$B$3, ClosureLocation!$B$6 &gt;= Table4[[#This Row],[StartMP]], ClosureLocation!$B$6 &lt;= Table4[[#This Row],[EndMP]]), "Yes", "")</f>
        <v/>
      </c>
      <c r="Q786" s="1" t="str">
        <f>IF( AND( Table4[[#This Row],[Route]]=ClosureLocation!$B$3, ClosureLocation!$B$6 &lt;= Table4[[#This Row],[StartMP]], ClosureLocation!$B$6 &gt;= Table4[[#This Row],[EndMP]]), "Yes", "")</f>
        <v/>
      </c>
      <c r="R786" s="1" t="str">
        <f>IF( OR( Table4[[#This Row],[PrimaryMatch]]="Yes", Table4[[#This Row],[SecondaryMatch]]="Yes"), "Yes", "")</f>
        <v/>
      </c>
    </row>
    <row r="787" spans="1:18" hidden="1" x14ac:dyDescent="0.25">
      <c r="A787" t="s">
        <v>310</v>
      </c>
      <c r="B787" t="s">
        <v>3205</v>
      </c>
      <c r="C787" t="s">
        <v>3206</v>
      </c>
      <c r="D787" t="s">
        <v>3427</v>
      </c>
      <c r="E787" s="1">
        <v>200.346</v>
      </c>
      <c r="F787" s="1">
        <v>201.26900000000001</v>
      </c>
      <c r="G787">
        <v>15</v>
      </c>
      <c r="H787">
        <v>4</v>
      </c>
      <c r="I787" t="s">
        <v>2221</v>
      </c>
      <c r="J787" t="s">
        <v>1700</v>
      </c>
      <c r="K787" s="39">
        <v>7.737133</v>
      </c>
      <c r="L787" s="1">
        <v>6.8560319999999999</v>
      </c>
      <c r="M787" s="1" t="s">
        <v>3432</v>
      </c>
      <c r="N787" s="1">
        <v>200.346</v>
      </c>
      <c r="O787" s="1">
        <f>ABS(Table4[[#This Row],[EndMP]]-Table4[[#This Row],[StartMP]])</f>
        <v>0.92300000000000182</v>
      </c>
      <c r="P787" s="1" t="str">
        <f>IF( AND( Table4[[#This Row],[Route]]=ClosureLocation!$B$3, ClosureLocation!$B$6 &gt;= Table4[[#This Row],[StartMP]], ClosureLocation!$B$6 &lt;= Table4[[#This Row],[EndMP]]), "Yes", "")</f>
        <v/>
      </c>
      <c r="Q787" s="1" t="str">
        <f>IF( AND( Table4[[#This Row],[Route]]=ClosureLocation!$B$3, ClosureLocation!$B$6 &lt;= Table4[[#This Row],[StartMP]], ClosureLocation!$B$6 &gt;= Table4[[#This Row],[EndMP]]), "Yes", "")</f>
        <v/>
      </c>
      <c r="R787" s="1" t="str">
        <f>IF( OR( Table4[[#This Row],[PrimaryMatch]]="Yes", Table4[[#This Row],[SecondaryMatch]]="Yes"), "Yes", "")</f>
        <v/>
      </c>
    </row>
    <row r="788" spans="1:18" hidden="1" x14ac:dyDescent="0.25">
      <c r="A788" t="s">
        <v>504</v>
      </c>
      <c r="B788" t="s">
        <v>3205</v>
      </c>
      <c r="C788" t="s">
        <v>3222</v>
      </c>
      <c r="D788" t="s">
        <v>3553</v>
      </c>
      <c r="E788" s="1">
        <v>0</v>
      </c>
      <c r="F788" s="1">
        <v>0.191</v>
      </c>
      <c r="G788">
        <v>1</v>
      </c>
      <c r="H788">
        <v>1</v>
      </c>
      <c r="I788" t="s">
        <v>2352</v>
      </c>
      <c r="J788" t="s">
        <v>1690</v>
      </c>
      <c r="K788" s="39">
        <v>7.7216579999999997</v>
      </c>
      <c r="L788" s="1">
        <v>3.5686239999999998</v>
      </c>
      <c r="M788" s="1" t="s">
        <v>3554</v>
      </c>
      <c r="N788" s="1">
        <v>0</v>
      </c>
      <c r="O788" s="1">
        <f>ABS(Table4[[#This Row],[EndMP]]-Table4[[#This Row],[StartMP]])</f>
        <v>0.191</v>
      </c>
      <c r="P788" s="1" t="str">
        <f>IF( AND( Table4[[#This Row],[Route]]=ClosureLocation!$B$3, ClosureLocation!$B$6 &gt;= Table4[[#This Row],[StartMP]], ClosureLocation!$B$6 &lt;= Table4[[#This Row],[EndMP]]), "Yes", "")</f>
        <v/>
      </c>
      <c r="Q788" s="1" t="str">
        <f>IF( AND( Table4[[#This Row],[Route]]=ClosureLocation!$B$3, ClosureLocation!$B$6 &lt;= Table4[[#This Row],[StartMP]], ClosureLocation!$B$6 &gt;= Table4[[#This Row],[EndMP]]), "Yes", "")</f>
        <v/>
      </c>
      <c r="R788" s="1" t="str">
        <f>IF( OR( Table4[[#This Row],[PrimaryMatch]]="Yes", Table4[[#This Row],[SecondaryMatch]]="Yes"), "Yes", "")</f>
        <v/>
      </c>
    </row>
    <row r="789" spans="1:18" hidden="1" x14ac:dyDescent="0.25">
      <c r="A789" t="s">
        <v>394</v>
      </c>
      <c r="B789" t="s">
        <v>3205</v>
      </c>
      <c r="C789" t="s">
        <v>3222</v>
      </c>
      <c r="D789" t="s">
        <v>3477</v>
      </c>
      <c r="E789" s="1">
        <v>144.47</v>
      </c>
      <c r="F789" s="1">
        <v>148.89099999999999</v>
      </c>
      <c r="G789">
        <v>10</v>
      </c>
      <c r="H789">
        <v>4</v>
      </c>
      <c r="I789" t="s">
        <v>2296</v>
      </c>
      <c r="J789" t="s">
        <v>1704</v>
      </c>
      <c r="K789" s="39">
        <v>7.7119359999999997</v>
      </c>
      <c r="L789" s="1">
        <v>2.5821990000000001</v>
      </c>
      <c r="M789" s="1" t="s">
        <v>3486</v>
      </c>
      <c r="N789" s="1">
        <v>144.47</v>
      </c>
      <c r="O789" s="1">
        <f>ABS(Table4[[#This Row],[EndMP]]-Table4[[#This Row],[StartMP]])</f>
        <v>4.4209999999999923</v>
      </c>
      <c r="P789" s="1" t="str">
        <f>IF( AND( Table4[[#This Row],[Route]]=ClosureLocation!$B$3, ClosureLocation!$B$6 &gt;= Table4[[#This Row],[StartMP]], ClosureLocation!$B$6 &lt;= Table4[[#This Row],[EndMP]]), "Yes", "")</f>
        <v/>
      </c>
      <c r="Q789" s="1" t="str">
        <f>IF( AND( Table4[[#This Row],[Route]]=ClosureLocation!$B$3, ClosureLocation!$B$6 &lt;= Table4[[#This Row],[StartMP]], ClosureLocation!$B$6 &gt;= Table4[[#This Row],[EndMP]]), "Yes", "")</f>
        <v/>
      </c>
      <c r="R789" s="1" t="str">
        <f>IF( OR( Table4[[#This Row],[PrimaryMatch]]="Yes", Table4[[#This Row],[SecondaryMatch]]="Yes"), "Yes", "")</f>
        <v/>
      </c>
    </row>
    <row r="790" spans="1:18" hidden="1" x14ac:dyDescent="0.25">
      <c r="A790" t="s">
        <v>966</v>
      </c>
      <c r="B790" t="s">
        <v>3205</v>
      </c>
      <c r="C790" t="s">
        <v>3206</v>
      </c>
      <c r="D790" t="s">
        <v>3861</v>
      </c>
      <c r="E790" s="1">
        <v>50.756</v>
      </c>
      <c r="F790" s="1">
        <v>61.570999999999998</v>
      </c>
      <c r="G790">
        <v>2</v>
      </c>
      <c r="H790">
        <v>2</v>
      </c>
      <c r="I790" t="s">
        <v>2760</v>
      </c>
      <c r="J790" t="s">
        <v>1700</v>
      </c>
      <c r="K790" s="39">
        <v>7.7033440000000004</v>
      </c>
      <c r="L790" s="1">
        <v>9.2134</v>
      </c>
      <c r="M790" s="1" t="s">
        <v>3863</v>
      </c>
      <c r="N790" s="1">
        <v>50.756</v>
      </c>
      <c r="O790" s="1">
        <f>ABS(Table4[[#This Row],[EndMP]]-Table4[[#This Row],[StartMP]])</f>
        <v>10.814999999999998</v>
      </c>
      <c r="P790" s="1" t="str">
        <f>IF( AND( Table4[[#This Row],[Route]]=ClosureLocation!$B$3, ClosureLocation!$B$6 &gt;= Table4[[#This Row],[StartMP]], ClosureLocation!$B$6 &lt;= Table4[[#This Row],[EndMP]]), "Yes", "")</f>
        <v/>
      </c>
      <c r="Q790" s="1" t="str">
        <f>IF( AND( Table4[[#This Row],[Route]]=ClosureLocation!$B$3, ClosureLocation!$B$6 &lt;= Table4[[#This Row],[StartMP]], ClosureLocation!$B$6 &gt;= Table4[[#This Row],[EndMP]]), "Yes", "")</f>
        <v/>
      </c>
      <c r="R790" s="1" t="str">
        <f>IF( OR( Table4[[#This Row],[PrimaryMatch]]="Yes", Table4[[#This Row],[SecondaryMatch]]="Yes"), "Yes", "")</f>
        <v/>
      </c>
    </row>
    <row r="791" spans="1:18" hidden="1" x14ac:dyDescent="0.25">
      <c r="A791" t="s">
        <v>1431</v>
      </c>
      <c r="B791" t="s">
        <v>3209</v>
      </c>
      <c r="C791" t="s">
        <v>3210</v>
      </c>
      <c r="D791" t="s">
        <v>4211</v>
      </c>
      <c r="E791" s="1">
        <v>8.77</v>
      </c>
      <c r="F791" s="1">
        <v>4.3559999999999999</v>
      </c>
      <c r="G791">
        <v>3</v>
      </c>
      <c r="H791">
        <v>6</v>
      </c>
      <c r="I791" t="s">
        <v>3029</v>
      </c>
      <c r="J791" t="s">
        <v>1692</v>
      </c>
      <c r="K791" s="39">
        <v>7.7018319999999996</v>
      </c>
      <c r="L791" s="1">
        <v>2.098325</v>
      </c>
      <c r="M791" s="1" t="s">
        <v>4214</v>
      </c>
      <c r="N791" s="1">
        <v>991.23</v>
      </c>
      <c r="O791" s="1">
        <f>ABS(Table4[[#This Row],[EndMP]]-Table4[[#This Row],[StartMP]])</f>
        <v>4.4139999999999997</v>
      </c>
      <c r="P791" s="1" t="str">
        <f>IF( AND( Table4[[#This Row],[Route]]=ClosureLocation!$B$3, ClosureLocation!$B$6 &gt;= Table4[[#This Row],[StartMP]], ClosureLocation!$B$6 &lt;= Table4[[#This Row],[EndMP]]), "Yes", "")</f>
        <v/>
      </c>
      <c r="Q791" s="1" t="str">
        <f>IF( AND( Table4[[#This Row],[Route]]=ClosureLocation!$B$3, ClosureLocation!$B$6 &lt;= Table4[[#This Row],[StartMP]], ClosureLocation!$B$6 &gt;= Table4[[#This Row],[EndMP]]), "Yes", "")</f>
        <v/>
      </c>
      <c r="R791" s="1" t="str">
        <f>IF( OR( Table4[[#This Row],[PrimaryMatch]]="Yes", Table4[[#This Row],[SecondaryMatch]]="Yes"), "Yes", "")</f>
        <v/>
      </c>
    </row>
    <row r="792" spans="1:18" hidden="1" x14ac:dyDescent="0.25">
      <c r="A792" t="s">
        <v>836</v>
      </c>
      <c r="B792" t="s">
        <v>3209</v>
      </c>
      <c r="C792" t="s">
        <v>3226</v>
      </c>
      <c r="D792" t="s">
        <v>3756</v>
      </c>
      <c r="E792" s="1">
        <v>11.715999999999999</v>
      </c>
      <c r="F792" s="1">
        <v>0.90800000000000003</v>
      </c>
      <c r="G792">
        <v>2</v>
      </c>
      <c r="H792">
        <v>2</v>
      </c>
      <c r="I792" t="s">
        <v>2661</v>
      </c>
      <c r="J792" t="s">
        <v>1707</v>
      </c>
      <c r="K792" s="39">
        <v>7.6154099999999998</v>
      </c>
      <c r="L792" s="1">
        <v>6.0881740000000004</v>
      </c>
      <c r="M792" s="1" t="s">
        <v>3758</v>
      </c>
      <c r="N792" s="1">
        <v>988.28399999999999</v>
      </c>
      <c r="O792" s="1">
        <f>ABS(Table4[[#This Row],[EndMP]]-Table4[[#This Row],[StartMP]])</f>
        <v>10.808</v>
      </c>
      <c r="P792" s="1" t="str">
        <f>IF( AND( Table4[[#This Row],[Route]]=ClosureLocation!$B$3, ClosureLocation!$B$6 &gt;= Table4[[#This Row],[StartMP]], ClosureLocation!$B$6 &lt;= Table4[[#This Row],[EndMP]]), "Yes", "")</f>
        <v/>
      </c>
      <c r="Q792" s="1" t="str">
        <f>IF( AND( Table4[[#This Row],[Route]]=ClosureLocation!$B$3, ClosureLocation!$B$6 &lt;= Table4[[#This Row],[StartMP]], ClosureLocation!$B$6 &gt;= Table4[[#This Row],[EndMP]]), "Yes", "")</f>
        <v/>
      </c>
      <c r="R792" s="1" t="str">
        <f>IF( OR( Table4[[#This Row],[PrimaryMatch]]="Yes", Table4[[#This Row],[SecondaryMatch]]="Yes"), "Yes", "")</f>
        <v/>
      </c>
    </row>
    <row r="793" spans="1:18" hidden="1" x14ac:dyDescent="0.25">
      <c r="A793" t="s">
        <v>776</v>
      </c>
      <c r="B793" t="s">
        <v>3209</v>
      </c>
      <c r="C793" t="s">
        <v>3226</v>
      </c>
      <c r="D793" t="s">
        <v>3749</v>
      </c>
      <c r="E793" s="1">
        <v>86.697000000000003</v>
      </c>
      <c r="F793" s="1">
        <v>81.617999999999995</v>
      </c>
      <c r="G793">
        <v>46</v>
      </c>
      <c r="H793">
        <v>99</v>
      </c>
      <c r="I793" t="s">
        <v>2645</v>
      </c>
      <c r="J793" t="s">
        <v>1694</v>
      </c>
      <c r="K793" s="39">
        <v>7.572025</v>
      </c>
      <c r="L793" s="1">
        <v>0.29890299999999997</v>
      </c>
      <c r="M793" s="1" t="s">
        <v>4536</v>
      </c>
      <c r="N793" s="1">
        <v>913.303</v>
      </c>
      <c r="O793" s="1">
        <f>ABS(Table4[[#This Row],[EndMP]]-Table4[[#This Row],[StartMP]])</f>
        <v>5.0790000000000077</v>
      </c>
      <c r="P793" s="1" t="str">
        <f>IF( AND( Table4[[#This Row],[Route]]=ClosureLocation!$B$3, ClosureLocation!$B$6 &gt;= Table4[[#This Row],[StartMP]], ClosureLocation!$B$6 &lt;= Table4[[#This Row],[EndMP]]), "Yes", "")</f>
        <v/>
      </c>
      <c r="Q793" s="1" t="str">
        <f>IF( AND( Table4[[#This Row],[Route]]=ClosureLocation!$B$3, ClosureLocation!$B$6 &lt;= Table4[[#This Row],[StartMP]], ClosureLocation!$B$6 &gt;= Table4[[#This Row],[EndMP]]), "Yes", "")</f>
        <v/>
      </c>
      <c r="R793" s="1" t="str">
        <f>IF( OR( Table4[[#This Row],[PrimaryMatch]]="Yes", Table4[[#This Row],[SecondaryMatch]]="Yes"), "Yes", "")</f>
        <v/>
      </c>
    </row>
    <row r="794" spans="1:18" hidden="1" x14ac:dyDescent="0.25">
      <c r="A794" t="s">
        <v>1180</v>
      </c>
      <c r="B794" t="s">
        <v>3209</v>
      </c>
      <c r="C794" t="s">
        <v>3210</v>
      </c>
      <c r="D794" t="s">
        <v>4044</v>
      </c>
      <c r="E794" s="1">
        <v>26.390999999999998</v>
      </c>
      <c r="F794" s="1">
        <v>26.102</v>
      </c>
      <c r="G794">
        <v>1</v>
      </c>
      <c r="H794">
        <v>5</v>
      </c>
      <c r="I794" t="s">
        <v>2900</v>
      </c>
      <c r="J794" t="s">
        <v>1708</v>
      </c>
      <c r="K794" s="39">
        <v>7.554754</v>
      </c>
      <c r="L794" s="1">
        <v>9.1688399999999994</v>
      </c>
      <c r="M794" s="1" t="s">
        <v>4045</v>
      </c>
      <c r="N794" s="1">
        <v>973.60900000000004</v>
      </c>
      <c r="O794" s="1">
        <f>ABS(Table4[[#This Row],[EndMP]]-Table4[[#This Row],[StartMP]])</f>
        <v>0.28899999999999793</v>
      </c>
      <c r="P794" s="1" t="str">
        <f>IF( AND( Table4[[#This Row],[Route]]=ClosureLocation!$B$3, ClosureLocation!$B$6 &gt;= Table4[[#This Row],[StartMP]], ClosureLocation!$B$6 &lt;= Table4[[#This Row],[EndMP]]), "Yes", "")</f>
        <v/>
      </c>
      <c r="Q794" s="1" t="str">
        <f>IF( AND( Table4[[#This Row],[Route]]=ClosureLocation!$B$3, ClosureLocation!$B$6 &lt;= Table4[[#This Row],[StartMP]], ClosureLocation!$B$6 &gt;= Table4[[#This Row],[EndMP]]), "Yes", "")</f>
        <v/>
      </c>
      <c r="R794" s="1" t="str">
        <f>IF( OR( Table4[[#This Row],[PrimaryMatch]]="Yes", Table4[[#This Row],[SecondaryMatch]]="Yes"), "Yes", "")</f>
        <v/>
      </c>
    </row>
    <row r="795" spans="1:18" hidden="1" x14ac:dyDescent="0.25">
      <c r="A795" t="s">
        <v>394</v>
      </c>
      <c r="B795" t="s">
        <v>3209</v>
      </c>
      <c r="C795" t="s">
        <v>3226</v>
      </c>
      <c r="D795" t="s">
        <v>3487</v>
      </c>
      <c r="E795" s="1">
        <v>148.89099999999999</v>
      </c>
      <c r="F795" s="1">
        <v>144.47</v>
      </c>
      <c r="G795">
        <v>1</v>
      </c>
      <c r="H795">
        <v>5</v>
      </c>
      <c r="I795" t="s">
        <v>2297</v>
      </c>
      <c r="J795" t="s">
        <v>1704</v>
      </c>
      <c r="K795" s="39">
        <v>7.5503270000000002</v>
      </c>
      <c r="L795" s="1">
        <v>2.8064339999999999</v>
      </c>
      <c r="M795" s="1" t="s">
        <v>3488</v>
      </c>
      <c r="N795" s="1">
        <v>851.10900000000004</v>
      </c>
      <c r="O795" s="1">
        <f>ABS(Table4[[#This Row],[EndMP]]-Table4[[#This Row],[StartMP]])</f>
        <v>4.4209999999999923</v>
      </c>
      <c r="P795" s="1" t="str">
        <f>IF( AND( Table4[[#This Row],[Route]]=ClosureLocation!$B$3, ClosureLocation!$B$6 &gt;= Table4[[#This Row],[StartMP]], ClosureLocation!$B$6 &lt;= Table4[[#This Row],[EndMP]]), "Yes", "")</f>
        <v/>
      </c>
      <c r="Q795" s="1" t="str">
        <f>IF( AND( Table4[[#This Row],[Route]]=ClosureLocation!$B$3, ClosureLocation!$B$6 &lt;= Table4[[#This Row],[StartMP]], ClosureLocation!$B$6 &gt;= Table4[[#This Row],[EndMP]]), "Yes", "")</f>
        <v/>
      </c>
      <c r="R795" s="1" t="str">
        <f>IF( OR( Table4[[#This Row],[PrimaryMatch]]="Yes", Table4[[#This Row],[SecondaryMatch]]="Yes"), "Yes", "")</f>
        <v/>
      </c>
    </row>
    <row r="796" spans="1:18" hidden="1" x14ac:dyDescent="0.25">
      <c r="A796" t="s">
        <v>917</v>
      </c>
      <c r="B796" t="s">
        <v>3209</v>
      </c>
      <c r="C796" t="s">
        <v>3226</v>
      </c>
      <c r="D796" t="s">
        <v>3840</v>
      </c>
      <c r="E796" s="1">
        <v>89.488</v>
      </c>
      <c r="F796" s="1">
        <v>80.391000000000005</v>
      </c>
      <c r="G796">
        <v>8</v>
      </c>
      <c r="H796">
        <v>30</v>
      </c>
      <c r="I796" t="s">
        <v>2733</v>
      </c>
      <c r="J796" t="s">
        <v>1694</v>
      </c>
      <c r="K796" s="39">
        <v>7.5360579999999997</v>
      </c>
      <c r="L796" s="1">
        <v>1.7691220000000001</v>
      </c>
      <c r="M796" s="1" t="s">
        <v>4979</v>
      </c>
      <c r="N796" s="1">
        <v>910.51199999999994</v>
      </c>
      <c r="O796" s="1">
        <f>ABS(Table4[[#This Row],[EndMP]]-Table4[[#This Row],[StartMP]])</f>
        <v>9.0969999999999942</v>
      </c>
      <c r="P796" s="1" t="str">
        <f>IF( AND( Table4[[#This Row],[Route]]=ClosureLocation!$B$3, ClosureLocation!$B$6 &gt;= Table4[[#This Row],[StartMP]], ClosureLocation!$B$6 &lt;= Table4[[#This Row],[EndMP]]), "Yes", "")</f>
        <v/>
      </c>
      <c r="Q796" s="1" t="str">
        <f>IF( AND( Table4[[#This Row],[Route]]=ClosureLocation!$B$3, ClosureLocation!$B$6 &lt;= Table4[[#This Row],[StartMP]], ClosureLocation!$B$6 &gt;= Table4[[#This Row],[EndMP]]), "Yes", "")</f>
        <v/>
      </c>
      <c r="R796" s="1" t="str">
        <f>IF( OR( Table4[[#This Row],[PrimaryMatch]]="Yes", Table4[[#This Row],[SecondaryMatch]]="Yes"), "Yes", "")</f>
        <v/>
      </c>
    </row>
    <row r="797" spans="1:18" hidden="1" x14ac:dyDescent="0.25">
      <c r="A797" t="s">
        <v>836</v>
      </c>
      <c r="B797" t="s">
        <v>3205</v>
      </c>
      <c r="C797" t="s">
        <v>3222</v>
      </c>
      <c r="D797" t="s">
        <v>3750</v>
      </c>
      <c r="E797" s="1">
        <v>9.3079999999999998</v>
      </c>
      <c r="F797" s="1">
        <v>11.715999999999999</v>
      </c>
      <c r="G797">
        <v>4</v>
      </c>
      <c r="H797">
        <v>4</v>
      </c>
      <c r="I797" t="s">
        <v>2658</v>
      </c>
      <c r="J797" t="s">
        <v>1707</v>
      </c>
      <c r="K797" s="39">
        <v>7.5341529999999999</v>
      </c>
      <c r="L797" s="1">
        <v>6.010408</v>
      </c>
      <c r="M797" s="1" t="s">
        <v>3754</v>
      </c>
      <c r="N797" s="1">
        <v>9.3079999999999998</v>
      </c>
      <c r="O797" s="1">
        <f>ABS(Table4[[#This Row],[EndMP]]-Table4[[#This Row],[StartMP]])</f>
        <v>2.4079999999999995</v>
      </c>
      <c r="P797" s="1" t="str">
        <f>IF( AND( Table4[[#This Row],[Route]]=ClosureLocation!$B$3, ClosureLocation!$B$6 &gt;= Table4[[#This Row],[StartMP]], ClosureLocation!$B$6 &lt;= Table4[[#This Row],[EndMP]]), "Yes", "")</f>
        <v/>
      </c>
      <c r="Q797" s="1" t="str">
        <f>IF( AND( Table4[[#This Row],[Route]]=ClosureLocation!$B$3, ClosureLocation!$B$6 &lt;= Table4[[#This Row],[StartMP]], ClosureLocation!$B$6 &gt;= Table4[[#This Row],[EndMP]]), "Yes", "")</f>
        <v/>
      </c>
      <c r="R797" s="1" t="str">
        <f>IF( OR( Table4[[#This Row],[PrimaryMatch]]="Yes", Table4[[#This Row],[SecondaryMatch]]="Yes"), "Yes", "")</f>
        <v/>
      </c>
    </row>
    <row r="798" spans="1:18" hidden="1" x14ac:dyDescent="0.25">
      <c r="A798" t="s">
        <v>535</v>
      </c>
      <c r="B798" t="s">
        <v>3205</v>
      </c>
      <c r="C798" t="s">
        <v>3222</v>
      </c>
      <c r="D798" t="s">
        <v>3569</v>
      </c>
      <c r="E798" s="1">
        <v>271.48899999999998</v>
      </c>
      <c r="F798" s="1">
        <v>272.55200000000002</v>
      </c>
      <c r="G798">
        <v>2</v>
      </c>
      <c r="H798">
        <v>1</v>
      </c>
      <c r="I798" t="s">
        <v>2372</v>
      </c>
      <c r="J798" t="s">
        <v>1702</v>
      </c>
      <c r="K798" s="39">
        <v>7.5322930000000001</v>
      </c>
      <c r="L798" s="1">
        <v>8.0176820000000006</v>
      </c>
      <c r="M798" s="1" t="s">
        <v>3571</v>
      </c>
      <c r="N798" s="1">
        <v>271.48899999999998</v>
      </c>
      <c r="O798" s="1">
        <f>ABS(Table4[[#This Row],[EndMP]]-Table4[[#This Row],[StartMP]])</f>
        <v>1.063000000000045</v>
      </c>
      <c r="P798" s="1" t="str">
        <f>IF( AND( Table4[[#This Row],[Route]]=ClosureLocation!$B$3, ClosureLocation!$B$6 &gt;= Table4[[#This Row],[StartMP]], ClosureLocation!$B$6 &lt;= Table4[[#This Row],[EndMP]]), "Yes", "")</f>
        <v/>
      </c>
      <c r="Q798" s="1" t="str">
        <f>IF( AND( Table4[[#This Row],[Route]]=ClosureLocation!$B$3, ClosureLocation!$B$6 &lt;= Table4[[#This Row],[StartMP]], ClosureLocation!$B$6 &gt;= Table4[[#This Row],[EndMP]]), "Yes", "")</f>
        <v/>
      </c>
      <c r="R798" s="1" t="str">
        <f>IF( OR( Table4[[#This Row],[PrimaryMatch]]="Yes", Table4[[#This Row],[SecondaryMatch]]="Yes"), "Yes", "")</f>
        <v/>
      </c>
    </row>
    <row r="799" spans="1:18" hidden="1" x14ac:dyDescent="0.25">
      <c r="A799" t="s">
        <v>1180</v>
      </c>
      <c r="B799" t="s">
        <v>3205</v>
      </c>
      <c r="C799" t="s">
        <v>3206</v>
      </c>
      <c r="D799" t="s">
        <v>4038</v>
      </c>
      <c r="E799" s="1">
        <v>26.102</v>
      </c>
      <c r="F799" s="1">
        <v>26.390999999999998</v>
      </c>
      <c r="G799">
        <v>6</v>
      </c>
      <c r="H799">
        <v>4</v>
      </c>
      <c r="I799" t="s">
        <v>2899</v>
      </c>
      <c r="J799" t="s">
        <v>1708</v>
      </c>
      <c r="K799" s="39">
        <v>7.5018130000000003</v>
      </c>
      <c r="L799" s="1">
        <v>9.1829169999999998</v>
      </c>
      <c r="M799" s="1" t="s">
        <v>4043</v>
      </c>
      <c r="N799" s="1">
        <v>26.102</v>
      </c>
      <c r="O799" s="1">
        <f>ABS(Table4[[#This Row],[EndMP]]-Table4[[#This Row],[StartMP]])</f>
        <v>0.28899999999999793</v>
      </c>
      <c r="P799" s="1" t="str">
        <f>IF( AND( Table4[[#This Row],[Route]]=ClosureLocation!$B$3, ClosureLocation!$B$6 &gt;= Table4[[#This Row],[StartMP]], ClosureLocation!$B$6 &lt;= Table4[[#This Row],[EndMP]]), "Yes", "")</f>
        <v/>
      </c>
      <c r="Q799" s="1" t="str">
        <f>IF( AND( Table4[[#This Row],[Route]]=ClosureLocation!$B$3, ClosureLocation!$B$6 &lt;= Table4[[#This Row],[StartMP]], ClosureLocation!$B$6 &gt;= Table4[[#This Row],[EndMP]]), "Yes", "")</f>
        <v/>
      </c>
      <c r="R799" s="1" t="str">
        <f>IF( OR( Table4[[#This Row],[PrimaryMatch]]="Yes", Table4[[#This Row],[SecondaryMatch]]="Yes"), "Yes", "")</f>
        <v/>
      </c>
    </row>
    <row r="800" spans="1:18" hidden="1" x14ac:dyDescent="0.25">
      <c r="A800" t="s">
        <v>1058</v>
      </c>
      <c r="B800" t="s">
        <v>3209</v>
      </c>
      <c r="C800" t="s">
        <v>3210</v>
      </c>
      <c r="D800" t="s">
        <v>3952</v>
      </c>
      <c r="E800" s="1">
        <v>17.422000000000001</v>
      </c>
      <c r="F800" s="1">
        <v>13.632</v>
      </c>
      <c r="G800">
        <v>2</v>
      </c>
      <c r="H800">
        <v>5</v>
      </c>
      <c r="I800" t="s">
        <v>2833</v>
      </c>
      <c r="J800" t="s">
        <v>1693</v>
      </c>
      <c r="K800" s="39">
        <v>7.490361</v>
      </c>
      <c r="L800" s="1">
        <v>6.3831470000000001</v>
      </c>
      <c r="M800" s="1" t="s">
        <v>3954</v>
      </c>
      <c r="N800" s="1">
        <v>982.57799999999997</v>
      </c>
      <c r="O800" s="1">
        <f>ABS(Table4[[#This Row],[EndMP]]-Table4[[#This Row],[StartMP]])</f>
        <v>3.7900000000000009</v>
      </c>
      <c r="P800" s="1" t="str">
        <f>IF( AND( Table4[[#This Row],[Route]]=ClosureLocation!$B$3, ClosureLocation!$B$6 &gt;= Table4[[#This Row],[StartMP]], ClosureLocation!$B$6 &lt;= Table4[[#This Row],[EndMP]]), "Yes", "")</f>
        <v/>
      </c>
      <c r="Q800" s="1" t="str">
        <f>IF( AND( Table4[[#This Row],[Route]]=ClosureLocation!$B$3, ClosureLocation!$B$6 &lt;= Table4[[#This Row],[StartMP]], ClosureLocation!$B$6 &gt;= Table4[[#This Row],[EndMP]]), "Yes", "")</f>
        <v/>
      </c>
      <c r="R800" s="1" t="str">
        <f>IF( OR( Table4[[#This Row],[PrimaryMatch]]="Yes", Table4[[#This Row],[SecondaryMatch]]="Yes"), "Yes", "")</f>
        <v/>
      </c>
    </row>
    <row r="801" spans="1:18" hidden="1" x14ac:dyDescent="0.25">
      <c r="A801" t="s">
        <v>504</v>
      </c>
      <c r="B801" t="s">
        <v>3209</v>
      </c>
      <c r="C801" t="s">
        <v>3226</v>
      </c>
      <c r="D801" t="s">
        <v>3555</v>
      </c>
      <c r="E801" s="1">
        <v>0.191</v>
      </c>
      <c r="F801" s="1">
        <v>0</v>
      </c>
      <c r="G801">
        <v>1</v>
      </c>
      <c r="H801">
        <v>2</v>
      </c>
      <c r="I801" t="s">
        <v>2353</v>
      </c>
      <c r="J801" t="s">
        <v>1690</v>
      </c>
      <c r="K801" s="39">
        <v>7.4900599999999997</v>
      </c>
      <c r="L801" s="1">
        <v>3.424534</v>
      </c>
      <c r="M801" s="1" t="s">
        <v>3556</v>
      </c>
      <c r="N801" s="1">
        <v>999.80899999999997</v>
      </c>
      <c r="O801" s="1">
        <f>ABS(Table4[[#This Row],[EndMP]]-Table4[[#This Row],[StartMP]])</f>
        <v>0.191</v>
      </c>
      <c r="P801" s="1" t="str">
        <f>IF( AND( Table4[[#This Row],[Route]]=ClosureLocation!$B$3, ClosureLocation!$B$6 &gt;= Table4[[#This Row],[StartMP]], ClosureLocation!$B$6 &lt;= Table4[[#This Row],[EndMP]]), "Yes", "")</f>
        <v/>
      </c>
      <c r="Q801" s="1" t="str">
        <f>IF( AND( Table4[[#This Row],[Route]]=ClosureLocation!$B$3, ClosureLocation!$B$6 &lt;= Table4[[#This Row],[StartMP]], ClosureLocation!$B$6 &gt;= Table4[[#This Row],[EndMP]]), "Yes", "")</f>
        <v/>
      </c>
      <c r="R801" s="1" t="str">
        <f>IF( OR( Table4[[#This Row],[PrimaryMatch]]="Yes", Table4[[#This Row],[SecondaryMatch]]="Yes"), "Yes", "")</f>
        <v/>
      </c>
    </row>
    <row r="802" spans="1:18" hidden="1" x14ac:dyDescent="0.25">
      <c r="A802" t="s">
        <v>238</v>
      </c>
      <c r="B802" t="s">
        <v>3209</v>
      </c>
      <c r="C802" t="s">
        <v>3210</v>
      </c>
      <c r="D802" t="s">
        <v>3383</v>
      </c>
      <c r="E802" s="1">
        <v>139.58199999999999</v>
      </c>
      <c r="F802" s="1">
        <v>131.81299999999999</v>
      </c>
      <c r="G802">
        <v>1</v>
      </c>
      <c r="H802">
        <v>2</v>
      </c>
      <c r="I802" t="s">
        <v>2172</v>
      </c>
      <c r="J802" t="s">
        <v>1690</v>
      </c>
      <c r="K802" s="39">
        <v>7.4532759999999998</v>
      </c>
      <c r="L802" s="1">
        <v>7.7478199999999999</v>
      </c>
      <c r="M802" s="1" t="s">
        <v>3384</v>
      </c>
      <c r="N802" s="1">
        <v>860.41800000000001</v>
      </c>
      <c r="O802" s="1">
        <f>ABS(Table4[[#This Row],[EndMP]]-Table4[[#This Row],[StartMP]])</f>
        <v>7.7690000000000055</v>
      </c>
      <c r="P802" s="1" t="str">
        <f>IF( AND( Table4[[#This Row],[Route]]=ClosureLocation!$B$3, ClosureLocation!$B$6 &gt;= Table4[[#This Row],[StartMP]], ClosureLocation!$B$6 &lt;= Table4[[#This Row],[EndMP]]), "Yes", "")</f>
        <v/>
      </c>
      <c r="Q802" s="1" t="str">
        <f>IF( AND( Table4[[#This Row],[Route]]=ClosureLocation!$B$3, ClosureLocation!$B$6 &lt;= Table4[[#This Row],[StartMP]], ClosureLocation!$B$6 &gt;= Table4[[#This Row],[EndMP]]), "Yes", "")</f>
        <v/>
      </c>
      <c r="R802" s="1" t="str">
        <f>IF( OR( Table4[[#This Row],[PrimaryMatch]]="Yes", Table4[[#This Row],[SecondaryMatch]]="Yes"), "Yes", "")</f>
        <v/>
      </c>
    </row>
    <row r="803" spans="1:18" hidden="1" x14ac:dyDescent="0.25">
      <c r="A803" t="s">
        <v>776</v>
      </c>
      <c r="B803" t="s">
        <v>3205</v>
      </c>
      <c r="C803" t="s">
        <v>3222</v>
      </c>
      <c r="D803" t="s">
        <v>3748</v>
      </c>
      <c r="E803" s="1">
        <v>36.798999999999999</v>
      </c>
      <c r="F803" s="1">
        <v>44</v>
      </c>
      <c r="G803">
        <v>6</v>
      </c>
      <c r="H803">
        <v>6</v>
      </c>
      <c r="I803" t="s">
        <v>2551</v>
      </c>
      <c r="J803" t="s">
        <v>1694</v>
      </c>
      <c r="K803" s="39">
        <v>7.4060350000000001</v>
      </c>
      <c r="L803" s="1">
        <v>1.858563</v>
      </c>
      <c r="M803" s="1" t="s">
        <v>4456</v>
      </c>
      <c r="N803" s="1">
        <v>36.798999999999999</v>
      </c>
      <c r="O803" s="1">
        <f>ABS(Table4[[#This Row],[EndMP]]-Table4[[#This Row],[StartMP]])</f>
        <v>7.2010000000000005</v>
      </c>
      <c r="P803" s="1" t="str">
        <f>IF( AND( Table4[[#This Row],[Route]]=ClosureLocation!$B$3, ClosureLocation!$B$6 &gt;= Table4[[#This Row],[StartMP]], ClosureLocation!$B$6 &lt;= Table4[[#This Row],[EndMP]]), "Yes", "")</f>
        <v/>
      </c>
      <c r="Q803" s="1" t="str">
        <f>IF( AND( Table4[[#This Row],[Route]]=ClosureLocation!$B$3, ClosureLocation!$B$6 &lt;= Table4[[#This Row],[StartMP]], ClosureLocation!$B$6 &gt;= Table4[[#This Row],[EndMP]]), "Yes", "")</f>
        <v/>
      </c>
      <c r="R803" s="1" t="str">
        <f>IF( OR( Table4[[#This Row],[PrimaryMatch]]="Yes", Table4[[#This Row],[SecondaryMatch]]="Yes"), "Yes", "")</f>
        <v/>
      </c>
    </row>
    <row r="804" spans="1:18" hidden="1" x14ac:dyDescent="0.25">
      <c r="A804" t="s">
        <v>1493</v>
      </c>
      <c r="B804" t="s">
        <v>3205</v>
      </c>
      <c r="C804" t="s">
        <v>3206</v>
      </c>
      <c r="D804" t="s">
        <v>4252</v>
      </c>
      <c r="E804" s="1">
        <v>255.24700000000001</v>
      </c>
      <c r="F804" s="1">
        <v>257.94299999999998</v>
      </c>
      <c r="G804">
        <v>7</v>
      </c>
      <c r="H804">
        <v>8</v>
      </c>
      <c r="I804" t="s">
        <v>3076</v>
      </c>
      <c r="J804" t="s">
        <v>1693</v>
      </c>
      <c r="K804" s="39">
        <v>7.4013080000000002</v>
      </c>
      <c r="L804" s="1">
        <v>9.9259029999999999</v>
      </c>
      <c r="M804" s="1" t="s">
        <v>4259</v>
      </c>
      <c r="N804" s="1">
        <v>255.24700000000001</v>
      </c>
      <c r="O804" s="1">
        <f>ABS(Table4[[#This Row],[EndMP]]-Table4[[#This Row],[StartMP]])</f>
        <v>2.6959999999999695</v>
      </c>
      <c r="P804" s="1" t="str">
        <f>IF( AND( Table4[[#This Row],[Route]]=ClosureLocation!$B$3, ClosureLocation!$B$6 &gt;= Table4[[#This Row],[StartMP]], ClosureLocation!$B$6 &lt;= Table4[[#This Row],[EndMP]]), "Yes", "")</f>
        <v/>
      </c>
      <c r="Q804" s="1" t="str">
        <f>IF( AND( Table4[[#This Row],[Route]]=ClosureLocation!$B$3, ClosureLocation!$B$6 &lt;= Table4[[#This Row],[StartMP]], ClosureLocation!$B$6 &gt;= Table4[[#This Row],[EndMP]]), "Yes", "")</f>
        <v/>
      </c>
      <c r="R804" s="1" t="str">
        <f>IF( OR( Table4[[#This Row],[PrimaryMatch]]="Yes", Table4[[#This Row],[SecondaryMatch]]="Yes"), "Yes", "")</f>
        <v/>
      </c>
    </row>
    <row r="805" spans="1:18" hidden="1" x14ac:dyDescent="0.25">
      <c r="A805" t="s">
        <v>310</v>
      </c>
      <c r="B805" t="s">
        <v>3209</v>
      </c>
      <c r="C805" t="s">
        <v>3210</v>
      </c>
      <c r="D805" t="s">
        <v>3444</v>
      </c>
      <c r="E805" s="1">
        <v>100</v>
      </c>
      <c r="F805" s="1">
        <v>97.837999999999994</v>
      </c>
      <c r="G805">
        <v>29</v>
      </c>
      <c r="H805">
        <v>42</v>
      </c>
      <c r="I805" t="s">
        <v>2268</v>
      </c>
      <c r="J805" t="s">
        <v>1694</v>
      </c>
      <c r="K805" s="39">
        <v>7.3997299999999999</v>
      </c>
      <c r="L805" s="1">
        <v>4.4255709999999997</v>
      </c>
      <c r="M805" s="1" t="s">
        <v>4905</v>
      </c>
      <c r="N805" s="1">
        <v>900</v>
      </c>
      <c r="O805" s="1">
        <f>ABS(Table4[[#This Row],[EndMP]]-Table4[[#This Row],[StartMP]])</f>
        <v>2.1620000000000061</v>
      </c>
      <c r="P805" s="1" t="str">
        <f>IF( AND( Table4[[#This Row],[Route]]=ClosureLocation!$B$3, ClosureLocation!$B$6 &gt;= Table4[[#This Row],[StartMP]], ClosureLocation!$B$6 &lt;= Table4[[#This Row],[EndMP]]), "Yes", "")</f>
        <v/>
      </c>
      <c r="Q805" s="1" t="str">
        <f>IF( AND( Table4[[#This Row],[Route]]=ClosureLocation!$B$3, ClosureLocation!$B$6 &lt;= Table4[[#This Row],[StartMP]], ClosureLocation!$B$6 &gt;= Table4[[#This Row],[EndMP]]), "Yes", "")</f>
        <v/>
      </c>
      <c r="R805" s="1" t="str">
        <f>IF( OR( Table4[[#This Row],[PrimaryMatch]]="Yes", Table4[[#This Row],[SecondaryMatch]]="Yes"), "Yes", "")</f>
        <v/>
      </c>
    </row>
    <row r="806" spans="1:18" hidden="1" x14ac:dyDescent="0.25">
      <c r="A806" t="s">
        <v>917</v>
      </c>
      <c r="B806" t="s">
        <v>3205</v>
      </c>
      <c r="C806" t="s">
        <v>3222</v>
      </c>
      <c r="D806" t="s">
        <v>3837</v>
      </c>
      <c r="E806" s="1">
        <v>7.5469999999999997</v>
      </c>
      <c r="F806" s="1">
        <v>7.9960000000000004</v>
      </c>
      <c r="G806">
        <v>5</v>
      </c>
      <c r="H806">
        <v>5</v>
      </c>
      <c r="I806" t="s">
        <v>2708</v>
      </c>
      <c r="J806" t="s">
        <v>1694</v>
      </c>
      <c r="K806" s="39">
        <v>7.3980069999999998</v>
      </c>
      <c r="L806" s="1">
        <v>3.0193910000000002</v>
      </c>
      <c r="M806" s="1" t="s">
        <v>4956</v>
      </c>
      <c r="N806" s="1">
        <v>7.5469999999999997</v>
      </c>
      <c r="O806" s="1">
        <f>ABS(Table4[[#This Row],[EndMP]]-Table4[[#This Row],[StartMP]])</f>
        <v>0.44900000000000073</v>
      </c>
      <c r="P806" s="1" t="str">
        <f>IF( AND( Table4[[#This Row],[Route]]=ClosureLocation!$B$3, ClosureLocation!$B$6 &gt;= Table4[[#This Row],[StartMP]], ClosureLocation!$B$6 &lt;= Table4[[#This Row],[EndMP]]), "Yes", "")</f>
        <v/>
      </c>
      <c r="Q806" s="1" t="str">
        <f>IF( AND( Table4[[#This Row],[Route]]=ClosureLocation!$B$3, ClosureLocation!$B$6 &lt;= Table4[[#This Row],[StartMP]], ClosureLocation!$B$6 &gt;= Table4[[#This Row],[EndMP]]), "Yes", "")</f>
        <v/>
      </c>
      <c r="R806" s="1" t="str">
        <f>IF( OR( Table4[[#This Row],[PrimaryMatch]]="Yes", Table4[[#This Row],[SecondaryMatch]]="Yes"), "Yes", "")</f>
        <v/>
      </c>
    </row>
    <row r="807" spans="1:18" hidden="1" x14ac:dyDescent="0.25">
      <c r="A807" t="s">
        <v>65</v>
      </c>
      <c r="B807" t="s">
        <v>3209</v>
      </c>
      <c r="C807" t="s">
        <v>3226</v>
      </c>
      <c r="D807" t="s">
        <v>3247</v>
      </c>
      <c r="E807" s="1">
        <v>271.60199999999998</v>
      </c>
      <c r="F807" s="1">
        <v>260.27</v>
      </c>
      <c r="G807">
        <v>7</v>
      </c>
      <c r="H807">
        <v>2</v>
      </c>
      <c r="I807" t="s">
        <v>2079</v>
      </c>
      <c r="J807" t="s">
        <v>1705</v>
      </c>
      <c r="K807" s="39">
        <v>7.3865270000000001</v>
      </c>
      <c r="L807" s="1">
        <v>10.779178999999999</v>
      </c>
      <c r="M807" s="1" t="s">
        <v>3254</v>
      </c>
      <c r="N807" s="1">
        <v>728.39800000000002</v>
      </c>
      <c r="O807" s="1">
        <f>ABS(Table4[[#This Row],[EndMP]]-Table4[[#This Row],[StartMP]])</f>
        <v>11.331999999999994</v>
      </c>
      <c r="P807" s="1" t="str">
        <f>IF( AND( Table4[[#This Row],[Route]]=ClosureLocation!$B$3, ClosureLocation!$B$6 &gt;= Table4[[#This Row],[StartMP]], ClosureLocation!$B$6 &lt;= Table4[[#This Row],[EndMP]]), "Yes", "")</f>
        <v/>
      </c>
      <c r="Q807" s="1" t="str">
        <f>IF( AND( Table4[[#This Row],[Route]]=ClosureLocation!$B$3, ClosureLocation!$B$6 &lt;= Table4[[#This Row],[StartMP]], ClosureLocation!$B$6 &gt;= Table4[[#This Row],[EndMP]]), "Yes", "")</f>
        <v/>
      </c>
      <c r="R807" s="1" t="str">
        <f>IF( OR( Table4[[#This Row],[PrimaryMatch]]="Yes", Table4[[#This Row],[SecondaryMatch]]="Yes"), "Yes", "")</f>
        <v/>
      </c>
    </row>
    <row r="808" spans="1:18" hidden="1" x14ac:dyDescent="0.25">
      <c r="A808" t="s">
        <v>1424</v>
      </c>
      <c r="B808" t="s">
        <v>3209</v>
      </c>
      <c r="C808" t="s">
        <v>3226</v>
      </c>
      <c r="D808" t="s">
        <v>4204</v>
      </c>
      <c r="E808" s="1">
        <v>0.26800000000000002</v>
      </c>
      <c r="F808" s="1">
        <v>7.9000000000000001E-2</v>
      </c>
      <c r="G808">
        <v>3</v>
      </c>
      <c r="H808">
        <v>2</v>
      </c>
      <c r="I808" t="s">
        <v>3023</v>
      </c>
      <c r="J808" t="s">
        <v>1708</v>
      </c>
      <c r="K808" s="39">
        <v>7.3465360000000004</v>
      </c>
      <c r="L808" s="1">
        <v>4.5533890000000001</v>
      </c>
      <c r="M808" s="1" t="s">
        <v>4206</v>
      </c>
      <c r="N808" s="1">
        <v>999.73199999999997</v>
      </c>
      <c r="O808" s="1">
        <f>ABS(Table4[[#This Row],[EndMP]]-Table4[[#This Row],[StartMP]])</f>
        <v>0.189</v>
      </c>
      <c r="P808" s="1" t="str">
        <f>IF( AND( Table4[[#This Row],[Route]]=ClosureLocation!$B$3, ClosureLocation!$B$6 &gt;= Table4[[#This Row],[StartMP]], ClosureLocation!$B$6 &lt;= Table4[[#This Row],[EndMP]]), "Yes", "")</f>
        <v/>
      </c>
      <c r="Q808" s="1" t="str">
        <f>IF( AND( Table4[[#This Row],[Route]]=ClosureLocation!$B$3, ClosureLocation!$B$6 &lt;= Table4[[#This Row],[StartMP]], ClosureLocation!$B$6 &gt;= Table4[[#This Row],[EndMP]]), "Yes", "")</f>
        <v/>
      </c>
      <c r="R808" s="1" t="str">
        <f>IF( OR( Table4[[#This Row],[PrimaryMatch]]="Yes", Table4[[#This Row],[SecondaryMatch]]="Yes"), "Yes", "")</f>
        <v/>
      </c>
    </row>
    <row r="809" spans="1:18" hidden="1" x14ac:dyDescent="0.25">
      <c r="A809" t="s">
        <v>684</v>
      </c>
      <c r="B809" t="s">
        <v>3205</v>
      </c>
      <c r="C809" t="s">
        <v>3222</v>
      </c>
      <c r="D809" t="s">
        <v>3649</v>
      </c>
      <c r="E809" s="1">
        <v>0</v>
      </c>
      <c r="F809" s="1">
        <v>10.95</v>
      </c>
      <c r="G809">
        <v>1</v>
      </c>
      <c r="H809">
        <v>1</v>
      </c>
      <c r="I809" t="s">
        <v>2479</v>
      </c>
      <c r="J809" t="s">
        <v>1702</v>
      </c>
      <c r="K809" s="39">
        <v>7.3281099999999997</v>
      </c>
      <c r="L809" s="1">
        <v>7.2906409999999999</v>
      </c>
      <c r="M809" s="1" t="s">
        <v>3650</v>
      </c>
      <c r="N809" s="1">
        <v>0</v>
      </c>
      <c r="O809" s="1">
        <f>ABS(Table4[[#This Row],[EndMP]]-Table4[[#This Row],[StartMP]])</f>
        <v>10.95</v>
      </c>
      <c r="P809" s="1" t="str">
        <f>IF( AND( Table4[[#This Row],[Route]]=ClosureLocation!$B$3, ClosureLocation!$B$6 &gt;= Table4[[#This Row],[StartMP]], ClosureLocation!$B$6 &lt;= Table4[[#This Row],[EndMP]]), "Yes", "")</f>
        <v/>
      </c>
      <c r="Q809" s="1" t="str">
        <f>IF( AND( Table4[[#This Row],[Route]]=ClosureLocation!$B$3, ClosureLocation!$B$6 &lt;= Table4[[#This Row],[StartMP]], ClosureLocation!$B$6 &gt;= Table4[[#This Row],[EndMP]]), "Yes", "")</f>
        <v/>
      </c>
      <c r="R809" s="1" t="str">
        <f>IF( OR( Table4[[#This Row],[PrimaryMatch]]="Yes", Table4[[#This Row],[SecondaryMatch]]="Yes"), "Yes", "")</f>
        <v/>
      </c>
    </row>
    <row r="810" spans="1:18" hidden="1" x14ac:dyDescent="0.25">
      <c r="A810" t="s">
        <v>917</v>
      </c>
      <c r="B810" t="s">
        <v>3209</v>
      </c>
      <c r="C810" t="s">
        <v>3226</v>
      </c>
      <c r="D810" t="s">
        <v>3840</v>
      </c>
      <c r="E810" s="1">
        <v>124.44199999999999</v>
      </c>
      <c r="F810" s="1">
        <v>115.474</v>
      </c>
      <c r="G810">
        <v>5</v>
      </c>
      <c r="H810">
        <v>27</v>
      </c>
      <c r="I810" t="s">
        <v>2730</v>
      </c>
      <c r="J810" t="s">
        <v>1694</v>
      </c>
      <c r="K810" s="39">
        <v>7.316147</v>
      </c>
      <c r="L810" s="1">
        <v>2.174874</v>
      </c>
      <c r="M810" s="1" t="s">
        <v>4976</v>
      </c>
      <c r="N810" s="1">
        <v>875.55799999999999</v>
      </c>
      <c r="O810" s="1">
        <f>ABS(Table4[[#This Row],[EndMP]]-Table4[[#This Row],[StartMP]])</f>
        <v>8.9679999999999893</v>
      </c>
      <c r="P810" s="1" t="str">
        <f>IF( AND( Table4[[#This Row],[Route]]=ClosureLocation!$B$3, ClosureLocation!$B$6 &gt;= Table4[[#This Row],[StartMP]], ClosureLocation!$B$6 &lt;= Table4[[#This Row],[EndMP]]), "Yes", "")</f>
        <v/>
      </c>
      <c r="Q810" s="1" t="str">
        <f>IF( AND( Table4[[#This Row],[Route]]=ClosureLocation!$B$3, ClosureLocation!$B$6 &lt;= Table4[[#This Row],[StartMP]], ClosureLocation!$B$6 &gt;= Table4[[#This Row],[EndMP]]), "Yes", "")</f>
        <v/>
      </c>
      <c r="R810" s="1" t="str">
        <f>IF( OR( Table4[[#This Row],[PrimaryMatch]]="Yes", Table4[[#This Row],[SecondaryMatch]]="Yes"), "Yes", "")</f>
        <v/>
      </c>
    </row>
    <row r="811" spans="1:18" hidden="1" x14ac:dyDescent="0.25">
      <c r="A811" t="s">
        <v>776</v>
      </c>
      <c r="B811" t="s">
        <v>3205</v>
      </c>
      <c r="C811" t="s">
        <v>3222</v>
      </c>
      <c r="D811" t="s">
        <v>3748</v>
      </c>
      <c r="E811" s="1">
        <v>81.522999999999996</v>
      </c>
      <c r="F811" s="1">
        <v>86.697000000000003</v>
      </c>
      <c r="G811">
        <v>10</v>
      </c>
      <c r="H811">
        <v>10</v>
      </c>
      <c r="I811" t="s">
        <v>2555</v>
      </c>
      <c r="J811" t="s">
        <v>1694</v>
      </c>
      <c r="K811" s="39">
        <v>7.2530510000000001</v>
      </c>
      <c r="L811" s="1">
        <v>0.10112</v>
      </c>
      <c r="M811" s="1" t="s">
        <v>4460</v>
      </c>
      <c r="N811" s="1">
        <v>81.522999999999996</v>
      </c>
      <c r="O811" s="1">
        <f>ABS(Table4[[#This Row],[EndMP]]-Table4[[#This Row],[StartMP]])</f>
        <v>5.1740000000000066</v>
      </c>
      <c r="P811" s="1" t="str">
        <f>IF( AND( Table4[[#This Row],[Route]]=ClosureLocation!$B$3, ClosureLocation!$B$6 &gt;= Table4[[#This Row],[StartMP]], ClosureLocation!$B$6 &lt;= Table4[[#This Row],[EndMP]]), "Yes", "")</f>
        <v/>
      </c>
      <c r="Q811" s="1" t="str">
        <f>IF( AND( Table4[[#This Row],[Route]]=ClosureLocation!$B$3, ClosureLocation!$B$6 &lt;= Table4[[#This Row],[StartMP]], ClosureLocation!$B$6 &gt;= Table4[[#This Row],[EndMP]]), "Yes", "")</f>
        <v/>
      </c>
      <c r="R811" s="1" t="str">
        <f>IF( OR( Table4[[#This Row],[PrimaryMatch]]="Yes", Table4[[#This Row],[SecondaryMatch]]="Yes"), "Yes", "")</f>
        <v/>
      </c>
    </row>
    <row r="812" spans="1:18" hidden="1" x14ac:dyDescent="0.25">
      <c r="A812" t="s">
        <v>684</v>
      </c>
      <c r="B812" t="s">
        <v>3205</v>
      </c>
      <c r="C812" t="s">
        <v>3222</v>
      </c>
      <c r="D812" t="s">
        <v>3649</v>
      </c>
      <c r="E812" s="1">
        <v>11.446</v>
      </c>
      <c r="F812" s="1">
        <v>29.23</v>
      </c>
      <c r="G812">
        <v>2</v>
      </c>
      <c r="H812">
        <v>2</v>
      </c>
      <c r="I812" t="s">
        <v>2480</v>
      </c>
      <c r="J812" t="s">
        <v>1702</v>
      </c>
      <c r="K812" s="39">
        <v>7.24756</v>
      </c>
      <c r="L812" s="1">
        <v>16.045321000000001</v>
      </c>
      <c r="M812" s="1" t="s">
        <v>3651</v>
      </c>
      <c r="N812" s="1">
        <v>11.446</v>
      </c>
      <c r="O812" s="1">
        <f>ABS(Table4[[#This Row],[EndMP]]-Table4[[#This Row],[StartMP]])</f>
        <v>17.783999999999999</v>
      </c>
      <c r="P812" s="1" t="str">
        <f>IF( AND( Table4[[#This Row],[Route]]=ClosureLocation!$B$3, ClosureLocation!$B$6 &gt;= Table4[[#This Row],[StartMP]], ClosureLocation!$B$6 &lt;= Table4[[#This Row],[EndMP]]), "Yes", "")</f>
        <v/>
      </c>
      <c r="Q812" s="1" t="str">
        <f>IF( AND( Table4[[#This Row],[Route]]=ClosureLocation!$B$3, ClosureLocation!$B$6 &lt;= Table4[[#This Row],[StartMP]], ClosureLocation!$B$6 &gt;= Table4[[#This Row],[EndMP]]), "Yes", "")</f>
        <v/>
      </c>
      <c r="R812" s="1" t="str">
        <f>IF( OR( Table4[[#This Row],[PrimaryMatch]]="Yes", Table4[[#This Row],[SecondaryMatch]]="Yes"), "Yes", "")</f>
        <v/>
      </c>
    </row>
    <row r="813" spans="1:18" hidden="1" x14ac:dyDescent="0.25">
      <c r="A813" t="s">
        <v>1493</v>
      </c>
      <c r="B813" t="s">
        <v>3205</v>
      </c>
      <c r="C813" t="s">
        <v>3206</v>
      </c>
      <c r="D813" t="s">
        <v>4252</v>
      </c>
      <c r="E813" s="1">
        <v>253.78</v>
      </c>
      <c r="F813" s="1">
        <v>254.81200000000001</v>
      </c>
      <c r="G813">
        <v>6</v>
      </c>
      <c r="H813">
        <v>7</v>
      </c>
      <c r="I813" t="s">
        <v>3075</v>
      </c>
      <c r="J813" t="s">
        <v>1693</v>
      </c>
      <c r="K813" s="39">
        <v>7.2171859999999999</v>
      </c>
      <c r="L813" s="1">
        <v>2.9183330000000001</v>
      </c>
      <c r="M813" s="1" t="s">
        <v>4258</v>
      </c>
      <c r="N813" s="1">
        <v>253.78</v>
      </c>
      <c r="O813" s="1">
        <f>ABS(Table4[[#This Row],[EndMP]]-Table4[[#This Row],[StartMP]])</f>
        <v>1.0320000000000107</v>
      </c>
      <c r="P813" s="1" t="str">
        <f>IF( AND( Table4[[#This Row],[Route]]=ClosureLocation!$B$3, ClosureLocation!$B$6 &gt;= Table4[[#This Row],[StartMP]], ClosureLocation!$B$6 &lt;= Table4[[#This Row],[EndMP]]), "Yes", "")</f>
        <v/>
      </c>
      <c r="Q813" s="1" t="str">
        <f>IF( AND( Table4[[#This Row],[Route]]=ClosureLocation!$B$3, ClosureLocation!$B$6 &lt;= Table4[[#This Row],[StartMP]], ClosureLocation!$B$6 &gt;= Table4[[#This Row],[EndMP]]), "Yes", "")</f>
        <v/>
      </c>
      <c r="R813" s="1" t="str">
        <f>IF( OR( Table4[[#This Row],[PrimaryMatch]]="Yes", Table4[[#This Row],[SecondaryMatch]]="Yes"), "Yes", "")</f>
        <v/>
      </c>
    </row>
    <row r="814" spans="1:18" hidden="1" x14ac:dyDescent="0.25">
      <c r="A814" t="s">
        <v>1383</v>
      </c>
      <c r="B814" t="s">
        <v>3205</v>
      </c>
      <c r="C814" t="s">
        <v>3222</v>
      </c>
      <c r="D814" t="s">
        <v>4167</v>
      </c>
      <c r="E814" s="1">
        <v>2.7250000000000001</v>
      </c>
      <c r="F814" s="1">
        <v>6.8170000000000002</v>
      </c>
      <c r="H814">
        <v>1</v>
      </c>
      <c r="I814" t="s">
        <v>3000</v>
      </c>
      <c r="J814" t="s">
        <v>1692</v>
      </c>
      <c r="K814" s="39">
        <v>7.2166519999999998</v>
      </c>
      <c r="L814" s="1">
        <v>5.7524610000000003</v>
      </c>
      <c r="M814" s="1" t="s">
        <v>3278</v>
      </c>
      <c r="N814" s="1">
        <v>2.7250000000000001</v>
      </c>
      <c r="O814" s="1">
        <f>ABS(Table4[[#This Row],[EndMP]]-Table4[[#This Row],[StartMP]])</f>
        <v>4.0920000000000005</v>
      </c>
      <c r="P814" s="1" t="str">
        <f>IF( AND( Table4[[#This Row],[Route]]=ClosureLocation!$B$3, ClosureLocation!$B$6 &gt;= Table4[[#This Row],[StartMP]], ClosureLocation!$B$6 &lt;= Table4[[#This Row],[EndMP]]), "Yes", "")</f>
        <v/>
      </c>
      <c r="Q814" s="1" t="str">
        <f>IF( AND( Table4[[#This Row],[Route]]=ClosureLocation!$B$3, ClosureLocation!$B$6 &lt;= Table4[[#This Row],[StartMP]], ClosureLocation!$B$6 &gt;= Table4[[#This Row],[EndMP]]), "Yes", "")</f>
        <v/>
      </c>
      <c r="R814" s="1" t="str">
        <f>IF( OR( Table4[[#This Row],[PrimaryMatch]]="Yes", Table4[[#This Row],[SecondaryMatch]]="Yes"), "Yes", "")</f>
        <v/>
      </c>
    </row>
    <row r="815" spans="1:18" hidden="1" x14ac:dyDescent="0.25">
      <c r="A815" t="s">
        <v>602</v>
      </c>
      <c r="B815" t="s">
        <v>3205</v>
      </c>
      <c r="C815" t="s">
        <v>3222</v>
      </c>
      <c r="D815" t="s">
        <v>3612</v>
      </c>
      <c r="E815" s="1">
        <v>31.827000000000002</v>
      </c>
      <c r="F815" s="1">
        <v>38.503999999999998</v>
      </c>
      <c r="G815">
        <v>2</v>
      </c>
      <c r="H815">
        <v>2</v>
      </c>
      <c r="I815" t="s">
        <v>2409</v>
      </c>
      <c r="J815" t="s">
        <v>1700</v>
      </c>
      <c r="K815" s="39">
        <v>7.2041089999999999</v>
      </c>
      <c r="L815" s="1">
        <v>4.87181</v>
      </c>
      <c r="M815" s="1" t="s">
        <v>3614</v>
      </c>
      <c r="N815" s="1">
        <v>31.827000000000002</v>
      </c>
      <c r="O815" s="1">
        <f>ABS(Table4[[#This Row],[EndMP]]-Table4[[#This Row],[StartMP]])</f>
        <v>6.676999999999996</v>
      </c>
      <c r="P815" s="1" t="str">
        <f>IF( AND( Table4[[#This Row],[Route]]=ClosureLocation!$B$3, ClosureLocation!$B$6 &gt;= Table4[[#This Row],[StartMP]], ClosureLocation!$B$6 &lt;= Table4[[#This Row],[EndMP]]), "Yes", "")</f>
        <v/>
      </c>
      <c r="Q815" s="1" t="str">
        <f>IF( AND( Table4[[#This Row],[Route]]=ClosureLocation!$B$3, ClosureLocation!$B$6 &lt;= Table4[[#This Row],[StartMP]], ClosureLocation!$B$6 &gt;= Table4[[#This Row],[EndMP]]), "Yes", "")</f>
        <v/>
      </c>
      <c r="R815" s="1" t="str">
        <f>IF( OR( Table4[[#This Row],[PrimaryMatch]]="Yes", Table4[[#This Row],[SecondaryMatch]]="Yes"), "Yes", "")</f>
        <v/>
      </c>
    </row>
    <row r="816" spans="1:18" hidden="1" x14ac:dyDescent="0.25">
      <c r="A816" t="s">
        <v>776</v>
      </c>
      <c r="B816" t="s">
        <v>3209</v>
      </c>
      <c r="C816" t="s">
        <v>3226</v>
      </c>
      <c r="D816" t="s">
        <v>3749</v>
      </c>
      <c r="E816" s="1">
        <v>166.35</v>
      </c>
      <c r="F816" s="1">
        <v>163.01499999999999</v>
      </c>
      <c r="G816">
        <v>37</v>
      </c>
      <c r="H816">
        <v>90</v>
      </c>
      <c r="I816" t="s">
        <v>2636</v>
      </c>
      <c r="J816" t="s">
        <v>1694</v>
      </c>
      <c r="K816" s="39">
        <v>7.1384990000000004</v>
      </c>
      <c r="L816" s="1">
        <v>1.2621960000000001</v>
      </c>
      <c r="M816" s="1" t="s">
        <v>4528</v>
      </c>
      <c r="N816" s="1">
        <v>833.65</v>
      </c>
      <c r="O816" s="1">
        <f>ABS(Table4[[#This Row],[EndMP]]-Table4[[#This Row],[StartMP]])</f>
        <v>3.335000000000008</v>
      </c>
      <c r="P816" s="1" t="str">
        <f>IF( AND( Table4[[#This Row],[Route]]=ClosureLocation!$B$3, ClosureLocation!$B$6 &gt;= Table4[[#This Row],[StartMP]], ClosureLocation!$B$6 &lt;= Table4[[#This Row],[EndMP]]), "Yes", "")</f>
        <v/>
      </c>
      <c r="Q816" s="1" t="str">
        <f>IF( AND( Table4[[#This Row],[Route]]=ClosureLocation!$B$3, ClosureLocation!$B$6 &lt;= Table4[[#This Row],[StartMP]], ClosureLocation!$B$6 &gt;= Table4[[#This Row],[EndMP]]), "Yes", "")</f>
        <v/>
      </c>
      <c r="R816" s="1" t="str">
        <f>IF( OR( Table4[[#This Row],[PrimaryMatch]]="Yes", Table4[[#This Row],[SecondaryMatch]]="Yes"), "Yes", "")</f>
        <v/>
      </c>
    </row>
    <row r="817" spans="1:18" hidden="1" x14ac:dyDescent="0.25">
      <c r="A817" t="s">
        <v>602</v>
      </c>
      <c r="B817" t="s">
        <v>3209</v>
      </c>
      <c r="C817" t="s">
        <v>3226</v>
      </c>
      <c r="D817" t="s">
        <v>3626</v>
      </c>
      <c r="E817" s="1">
        <v>38.503999999999998</v>
      </c>
      <c r="F817" s="1">
        <v>31.827000000000002</v>
      </c>
      <c r="G817">
        <v>17</v>
      </c>
      <c r="H817">
        <v>13</v>
      </c>
      <c r="I817" t="s">
        <v>2442</v>
      </c>
      <c r="J817" t="s">
        <v>1700</v>
      </c>
      <c r="K817" s="39">
        <v>7.122852</v>
      </c>
      <c r="L817" s="1">
        <v>4.7940449999999997</v>
      </c>
      <c r="M817" s="1" t="s">
        <v>3636</v>
      </c>
      <c r="N817" s="1">
        <v>961.49599999999998</v>
      </c>
      <c r="O817" s="1">
        <f>ABS(Table4[[#This Row],[EndMP]]-Table4[[#This Row],[StartMP]])</f>
        <v>6.676999999999996</v>
      </c>
      <c r="P817" s="1" t="str">
        <f>IF( AND( Table4[[#This Row],[Route]]=ClosureLocation!$B$3, ClosureLocation!$B$6 &gt;= Table4[[#This Row],[StartMP]], ClosureLocation!$B$6 &lt;= Table4[[#This Row],[EndMP]]), "Yes", "")</f>
        <v/>
      </c>
      <c r="Q817" s="1" t="str">
        <f>IF( AND( Table4[[#This Row],[Route]]=ClosureLocation!$B$3, ClosureLocation!$B$6 &lt;= Table4[[#This Row],[StartMP]], ClosureLocation!$B$6 &gt;= Table4[[#This Row],[EndMP]]), "Yes", "")</f>
        <v/>
      </c>
      <c r="R817" s="1" t="str">
        <f>IF( OR( Table4[[#This Row],[PrimaryMatch]]="Yes", Table4[[#This Row],[SecondaryMatch]]="Yes"), "Yes", "")</f>
        <v/>
      </c>
    </row>
    <row r="818" spans="1:18" hidden="1" x14ac:dyDescent="0.25">
      <c r="A818" t="s">
        <v>981</v>
      </c>
      <c r="B818" t="s">
        <v>3209</v>
      </c>
      <c r="C818" t="s">
        <v>3210</v>
      </c>
      <c r="D818" t="s">
        <v>3878</v>
      </c>
      <c r="E818" s="1">
        <v>210.541</v>
      </c>
      <c r="F818" s="1">
        <v>206.982</v>
      </c>
      <c r="G818">
        <v>1</v>
      </c>
      <c r="H818">
        <v>4</v>
      </c>
      <c r="I818" t="s">
        <v>2774</v>
      </c>
      <c r="J818" t="s">
        <v>1704</v>
      </c>
      <c r="K818" s="39">
        <v>7.1197249999999999</v>
      </c>
      <c r="L818" s="1">
        <v>2.7724980000000001</v>
      </c>
      <c r="M818" s="1" t="s">
        <v>3879</v>
      </c>
      <c r="N818" s="1">
        <v>789.45899999999995</v>
      </c>
      <c r="O818" s="1">
        <f>ABS(Table4[[#This Row],[EndMP]]-Table4[[#This Row],[StartMP]])</f>
        <v>3.5589999999999975</v>
      </c>
      <c r="P818" s="1" t="str">
        <f>IF( AND( Table4[[#This Row],[Route]]=ClosureLocation!$B$3, ClosureLocation!$B$6 &gt;= Table4[[#This Row],[StartMP]], ClosureLocation!$B$6 &lt;= Table4[[#This Row],[EndMP]]), "Yes", "")</f>
        <v/>
      </c>
      <c r="Q818" s="1" t="str">
        <f>IF( AND( Table4[[#This Row],[Route]]=ClosureLocation!$B$3, ClosureLocation!$B$6 &lt;= Table4[[#This Row],[StartMP]], ClosureLocation!$B$6 &gt;= Table4[[#This Row],[EndMP]]), "Yes", "")</f>
        <v/>
      </c>
      <c r="R818" s="1" t="str">
        <f>IF( OR( Table4[[#This Row],[PrimaryMatch]]="Yes", Table4[[#This Row],[SecondaryMatch]]="Yes"), "Yes", "")</f>
        <v/>
      </c>
    </row>
    <row r="819" spans="1:18" hidden="1" x14ac:dyDescent="0.25">
      <c r="A819" t="s">
        <v>776</v>
      </c>
      <c r="B819" t="s">
        <v>3205</v>
      </c>
      <c r="C819" t="s">
        <v>3222</v>
      </c>
      <c r="D819" t="s">
        <v>3748</v>
      </c>
      <c r="E819" s="1">
        <v>304.476</v>
      </c>
      <c r="F819" s="1">
        <v>305.55099999999999</v>
      </c>
      <c r="G819">
        <v>40</v>
      </c>
      <c r="H819">
        <v>40</v>
      </c>
      <c r="I819" t="s">
        <v>2585</v>
      </c>
      <c r="J819" t="s">
        <v>1694</v>
      </c>
      <c r="K819" s="39">
        <v>7.1112700000000002</v>
      </c>
      <c r="L819" s="1">
        <v>2.5417489999999998</v>
      </c>
      <c r="M819" s="1" t="s">
        <v>4484</v>
      </c>
      <c r="N819" s="1">
        <v>304.476</v>
      </c>
      <c r="O819" s="1">
        <f>ABS(Table4[[#This Row],[EndMP]]-Table4[[#This Row],[StartMP]])</f>
        <v>1.0749999999999886</v>
      </c>
      <c r="P819" s="1" t="str">
        <f>IF( AND( Table4[[#This Row],[Route]]=ClosureLocation!$B$3, ClosureLocation!$B$6 &gt;= Table4[[#This Row],[StartMP]], ClosureLocation!$B$6 &lt;= Table4[[#This Row],[EndMP]]), "Yes", "")</f>
        <v/>
      </c>
      <c r="Q819" s="1" t="str">
        <f>IF( AND( Table4[[#This Row],[Route]]=ClosureLocation!$B$3, ClosureLocation!$B$6 &lt;= Table4[[#This Row],[StartMP]], ClosureLocation!$B$6 &gt;= Table4[[#This Row],[EndMP]]), "Yes", "")</f>
        <v/>
      </c>
      <c r="R819" s="1" t="str">
        <f>IF( OR( Table4[[#This Row],[PrimaryMatch]]="Yes", Table4[[#This Row],[SecondaryMatch]]="Yes"), "Yes", "")</f>
        <v/>
      </c>
    </row>
    <row r="820" spans="1:18" hidden="1" x14ac:dyDescent="0.25">
      <c r="A820" t="s">
        <v>310</v>
      </c>
      <c r="B820" t="s">
        <v>3209</v>
      </c>
      <c r="C820" t="s">
        <v>3210</v>
      </c>
      <c r="D820" t="s">
        <v>3444</v>
      </c>
      <c r="E820" s="1">
        <v>101.173</v>
      </c>
      <c r="F820" s="1">
        <v>100.221</v>
      </c>
      <c r="G820">
        <v>28</v>
      </c>
      <c r="H820">
        <v>41</v>
      </c>
      <c r="I820" t="s">
        <v>2267</v>
      </c>
      <c r="J820" t="s">
        <v>1694</v>
      </c>
      <c r="K820" s="39">
        <v>7.0887900000000004</v>
      </c>
      <c r="L820" s="1">
        <v>6.2472799999999999</v>
      </c>
      <c r="M820" s="1" t="s">
        <v>4904</v>
      </c>
      <c r="N820" s="1">
        <v>898.827</v>
      </c>
      <c r="O820" s="1">
        <f>ABS(Table4[[#This Row],[EndMP]]-Table4[[#This Row],[StartMP]])</f>
        <v>0.95199999999999818</v>
      </c>
      <c r="P820" s="1" t="str">
        <f>IF( AND( Table4[[#This Row],[Route]]=ClosureLocation!$B$3, ClosureLocation!$B$6 &gt;= Table4[[#This Row],[StartMP]], ClosureLocation!$B$6 &lt;= Table4[[#This Row],[EndMP]]), "Yes", "")</f>
        <v/>
      </c>
      <c r="Q820" s="1" t="str">
        <f>IF( AND( Table4[[#This Row],[Route]]=ClosureLocation!$B$3, ClosureLocation!$B$6 &lt;= Table4[[#This Row],[StartMP]], ClosureLocation!$B$6 &gt;= Table4[[#This Row],[EndMP]]), "Yes", "")</f>
        <v/>
      </c>
      <c r="R820" s="1" t="str">
        <f>IF( OR( Table4[[#This Row],[PrimaryMatch]]="Yes", Table4[[#This Row],[SecondaryMatch]]="Yes"), "Yes", "")</f>
        <v/>
      </c>
    </row>
    <row r="821" spans="1:18" hidden="1" x14ac:dyDescent="0.25">
      <c r="A821" t="s">
        <v>394</v>
      </c>
      <c r="B821" t="s">
        <v>3205</v>
      </c>
      <c r="C821" t="s">
        <v>3222</v>
      </c>
      <c r="D821" t="s">
        <v>3477</v>
      </c>
      <c r="E821" s="1">
        <v>103.07</v>
      </c>
      <c r="F821" s="1">
        <v>112.474</v>
      </c>
      <c r="G821">
        <v>8</v>
      </c>
      <c r="H821">
        <v>2</v>
      </c>
      <c r="I821" t="s">
        <v>2294</v>
      </c>
      <c r="J821" t="s">
        <v>1704</v>
      </c>
      <c r="K821" s="39">
        <v>7.0741490000000002</v>
      </c>
      <c r="L821" s="1">
        <v>2.2674430000000001</v>
      </c>
      <c r="M821" s="1" t="s">
        <v>3484</v>
      </c>
      <c r="N821" s="1">
        <v>103.07</v>
      </c>
      <c r="O821" s="1">
        <f>ABS(Table4[[#This Row],[EndMP]]-Table4[[#This Row],[StartMP]])</f>
        <v>9.4040000000000106</v>
      </c>
      <c r="P821" s="1" t="str">
        <f>IF( AND( Table4[[#This Row],[Route]]=ClosureLocation!$B$3, ClosureLocation!$B$6 &gt;= Table4[[#This Row],[StartMP]], ClosureLocation!$B$6 &lt;= Table4[[#This Row],[EndMP]]), "Yes", "")</f>
        <v/>
      </c>
      <c r="Q821" s="1" t="str">
        <f>IF( AND( Table4[[#This Row],[Route]]=ClosureLocation!$B$3, ClosureLocation!$B$6 &lt;= Table4[[#This Row],[StartMP]], ClosureLocation!$B$6 &gt;= Table4[[#This Row],[EndMP]]), "Yes", "")</f>
        <v/>
      </c>
      <c r="R821" s="1" t="str">
        <f>IF( OR( Table4[[#This Row],[PrimaryMatch]]="Yes", Table4[[#This Row],[SecondaryMatch]]="Yes"), "Yes", "")</f>
        <v/>
      </c>
    </row>
    <row r="822" spans="1:18" hidden="1" x14ac:dyDescent="0.25">
      <c r="A822" t="s">
        <v>684</v>
      </c>
      <c r="B822" t="s">
        <v>3209</v>
      </c>
      <c r="C822" t="s">
        <v>3226</v>
      </c>
      <c r="D822" t="s">
        <v>3655</v>
      </c>
      <c r="E822" s="1">
        <v>10.95</v>
      </c>
      <c r="F822" s="1">
        <v>0</v>
      </c>
      <c r="G822">
        <v>5</v>
      </c>
      <c r="H822">
        <v>8</v>
      </c>
      <c r="I822" t="s">
        <v>2488</v>
      </c>
      <c r="J822" t="s">
        <v>1702</v>
      </c>
      <c r="K822" s="39">
        <v>6.998424</v>
      </c>
      <c r="L822" s="1">
        <v>7.2211550000000004</v>
      </c>
      <c r="M822" s="1" t="s">
        <v>3660</v>
      </c>
      <c r="N822" s="1">
        <v>989.05</v>
      </c>
      <c r="O822" s="1">
        <f>ABS(Table4[[#This Row],[EndMP]]-Table4[[#This Row],[StartMP]])</f>
        <v>10.95</v>
      </c>
      <c r="P822" s="1" t="str">
        <f>IF( AND( Table4[[#This Row],[Route]]=ClosureLocation!$B$3, ClosureLocation!$B$6 &gt;= Table4[[#This Row],[StartMP]], ClosureLocation!$B$6 &lt;= Table4[[#This Row],[EndMP]]), "Yes", "")</f>
        <v/>
      </c>
      <c r="Q822" s="1" t="str">
        <f>IF( AND( Table4[[#This Row],[Route]]=ClosureLocation!$B$3, ClosureLocation!$B$6 &lt;= Table4[[#This Row],[StartMP]], ClosureLocation!$B$6 &gt;= Table4[[#This Row],[EndMP]]), "Yes", "")</f>
        <v/>
      </c>
      <c r="R822" s="1" t="str">
        <f>IF( OR( Table4[[#This Row],[PrimaryMatch]]="Yes", Table4[[#This Row],[SecondaryMatch]]="Yes"), "Yes", "")</f>
        <v/>
      </c>
    </row>
    <row r="823" spans="1:18" hidden="1" x14ac:dyDescent="0.25">
      <c r="A823" t="s">
        <v>310</v>
      </c>
      <c r="B823" t="s">
        <v>3205</v>
      </c>
      <c r="C823" t="s">
        <v>3206</v>
      </c>
      <c r="D823" t="s">
        <v>3427</v>
      </c>
      <c r="E823" s="1">
        <v>100.151</v>
      </c>
      <c r="F823" s="1">
        <v>101.146</v>
      </c>
      <c r="G823">
        <v>8</v>
      </c>
      <c r="H823">
        <v>7</v>
      </c>
      <c r="I823" t="s">
        <v>2214</v>
      </c>
      <c r="J823" t="s">
        <v>1694</v>
      </c>
      <c r="K823" s="39">
        <v>6.9688639999999999</v>
      </c>
      <c r="L823" s="1">
        <v>6.0476409999999996</v>
      </c>
      <c r="M823" s="1" t="s">
        <v>4887</v>
      </c>
      <c r="N823" s="1">
        <v>100.151</v>
      </c>
      <c r="O823" s="1">
        <f>ABS(Table4[[#This Row],[EndMP]]-Table4[[#This Row],[StartMP]])</f>
        <v>0.99500000000000455</v>
      </c>
      <c r="P823" s="1" t="str">
        <f>IF( AND( Table4[[#This Row],[Route]]=ClosureLocation!$B$3, ClosureLocation!$B$6 &gt;= Table4[[#This Row],[StartMP]], ClosureLocation!$B$6 &lt;= Table4[[#This Row],[EndMP]]), "Yes", "")</f>
        <v/>
      </c>
      <c r="Q823" s="1" t="str">
        <f>IF( AND( Table4[[#This Row],[Route]]=ClosureLocation!$B$3, ClosureLocation!$B$6 &lt;= Table4[[#This Row],[StartMP]], ClosureLocation!$B$6 &gt;= Table4[[#This Row],[EndMP]]), "Yes", "")</f>
        <v/>
      </c>
      <c r="R823" s="1" t="str">
        <f>IF( OR( Table4[[#This Row],[PrimaryMatch]]="Yes", Table4[[#This Row],[SecondaryMatch]]="Yes"), "Yes", "")</f>
        <v/>
      </c>
    </row>
    <row r="824" spans="1:18" hidden="1" x14ac:dyDescent="0.25">
      <c r="A824" t="s">
        <v>776</v>
      </c>
      <c r="B824" t="s">
        <v>3209</v>
      </c>
      <c r="C824" t="s">
        <v>3226</v>
      </c>
      <c r="D824" t="s">
        <v>3749</v>
      </c>
      <c r="E824" s="1">
        <v>305.55099999999999</v>
      </c>
      <c r="F824" s="1">
        <v>304.476</v>
      </c>
      <c r="G824">
        <v>15</v>
      </c>
      <c r="H824">
        <v>68</v>
      </c>
      <c r="I824" t="s">
        <v>2614</v>
      </c>
      <c r="J824" t="s">
        <v>1694</v>
      </c>
      <c r="K824" s="39">
        <v>6.9356450000000001</v>
      </c>
      <c r="L824" s="1">
        <v>2.372687</v>
      </c>
      <c r="M824" s="1" t="s">
        <v>4509</v>
      </c>
      <c r="N824" s="1">
        <v>694.44899999999996</v>
      </c>
      <c r="O824" s="1">
        <f>ABS(Table4[[#This Row],[EndMP]]-Table4[[#This Row],[StartMP]])</f>
        <v>1.0749999999999886</v>
      </c>
      <c r="P824" s="1" t="str">
        <f>IF( AND( Table4[[#This Row],[Route]]=ClosureLocation!$B$3, ClosureLocation!$B$6 &gt;= Table4[[#This Row],[StartMP]], ClosureLocation!$B$6 &lt;= Table4[[#This Row],[EndMP]]), "Yes", "")</f>
        <v/>
      </c>
      <c r="Q824" s="1" t="str">
        <f>IF( AND( Table4[[#This Row],[Route]]=ClosureLocation!$B$3, ClosureLocation!$B$6 &lt;= Table4[[#This Row],[StartMP]], ClosureLocation!$B$6 &gt;= Table4[[#This Row],[EndMP]]), "Yes", "")</f>
        <v/>
      </c>
      <c r="R824" s="1" t="str">
        <f>IF( OR( Table4[[#This Row],[PrimaryMatch]]="Yes", Table4[[#This Row],[SecondaryMatch]]="Yes"), "Yes", "")</f>
        <v/>
      </c>
    </row>
    <row r="825" spans="1:18" hidden="1" x14ac:dyDescent="0.25">
      <c r="A825" t="s">
        <v>1493</v>
      </c>
      <c r="B825" t="s">
        <v>3209</v>
      </c>
      <c r="C825" t="s">
        <v>3210</v>
      </c>
      <c r="D825" t="s">
        <v>4262</v>
      </c>
      <c r="E825" s="1">
        <v>254.74700000000001</v>
      </c>
      <c r="F825" s="1">
        <v>253.69</v>
      </c>
      <c r="G825">
        <v>5</v>
      </c>
      <c r="H825">
        <v>15</v>
      </c>
      <c r="I825" t="s">
        <v>3083</v>
      </c>
      <c r="J825" t="s">
        <v>1693</v>
      </c>
      <c r="K825" s="39">
        <v>6.8899119999999998</v>
      </c>
      <c r="L825" s="1">
        <v>2.76369</v>
      </c>
      <c r="M825" s="1" t="s">
        <v>4267</v>
      </c>
      <c r="N825" s="1">
        <v>745.25300000000004</v>
      </c>
      <c r="O825" s="1">
        <f>ABS(Table4[[#This Row],[EndMP]]-Table4[[#This Row],[StartMP]])</f>
        <v>1.0570000000000164</v>
      </c>
      <c r="P825" s="1" t="str">
        <f>IF( AND( Table4[[#This Row],[Route]]=ClosureLocation!$B$3, ClosureLocation!$B$6 &gt;= Table4[[#This Row],[StartMP]], ClosureLocation!$B$6 &lt;= Table4[[#This Row],[EndMP]]), "Yes", "")</f>
        <v/>
      </c>
      <c r="Q825" s="1" t="str">
        <f>IF( AND( Table4[[#This Row],[Route]]=ClosureLocation!$B$3, ClosureLocation!$B$6 &lt;= Table4[[#This Row],[StartMP]], ClosureLocation!$B$6 &gt;= Table4[[#This Row],[EndMP]]), "Yes", "")</f>
        <v/>
      </c>
      <c r="R825" s="1" t="str">
        <f>IF( OR( Table4[[#This Row],[PrimaryMatch]]="Yes", Table4[[#This Row],[SecondaryMatch]]="Yes"), "Yes", "")</f>
        <v/>
      </c>
    </row>
    <row r="826" spans="1:18" hidden="1" x14ac:dyDescent="0.25">
      <c r="A826" t="s">
        <v>966</v>
      </c>
      <c r="B826" t="s">
        <v>3209</v>
      </c>
      <c r="C826" t="s">
        <v>3210</v>
      </c>
      <c r="D826" t="s">
        <v>3866</v>
      </c>
      <c r="E826" s="1">
        <v>70.248000000000005</v>
      </c>
      <c r="F826" s="1">
        <v>62.305999999999997</v>
      </c>
      <c r="G826">
        <v>2</v>
      </c>
      <c r="H826">
        <v>4</v>
      </c>
      <c r="I826" t="s">
        <v>2764</v>
      </c>
      <c r="J826" t="s">
        <v>1700</v>
      </c>
      <c r="K826" s="39">
        <v>6.8500740000000002</v>
      </c>
      <c r="L826" s="1">
        <v>5.9821939999999998</v>
      </c>
      <c r="M826" s="1" t="s">
        <v>3868</v>
      </c>
      <c r="N826" s="1">
        <v>929.75199999999995</v>
      </c>
      <c r="O826" s="1">
        <f>ABS(Table4[[#This Row],[EndMP]]-Table4[[#This Row],[StartMP]])</f>
        <v>7.9420000000000073</v>
      </c>
      <c r="P826" s="1" t="str">
        <f>IF( AND( Table4[[#This Row],[Route]]=ClosureLocation!$B$3, ClosureLocation!$B$6 &gt;= Table4[[#This Row],[StartMP]], ClosureLocation!$B$6 &lt;= Table4[[#This Row],[EndMP]]), "Yes", "")</f>
        <v/>
      </c>
      <c r="Q826" s="1" t="str">
        <f>IF( AND( Table4[[#This Row],[Route]]=ClosureLocation!$B$3, ClosureLocation!$B$6 &lt;= Table4[[#This Row],[StartMP]], ClosureLocation!$B$6 &gt;= Table4[[#This Row],[EndMP]]), "Yes", "")</f>
        <v/>
      </c>
      <c r="R826" s="1" t="str">
        <f>IF( OR( Table4[[#This Row],[PrimaryMatch]]="Yes", Table4[[#This Row],[SecondaryMatch]]="Yes"), "Yes", "")</f>
        <v/>
      </c>
    </row>
    <row r="827" spans="1:18" hidden="1" x14ac:dyDescent="0.25">
      <c r="A827" t="s">
        <v>981</v>
      </c>
      <c r="B827" t="s">
        <v>3205</v>
      </c>
      <c r="C827" t="s">
        <v>3206</v>
      </c>
      <c r="D827" t="s">
        <v>3873</v>
      </c>
      <c r="E827" s="1">
        <v>207.1</v>
      </c>
      <c r="F827" s="1">
        <v>210.38300000000001</v>
      </c>
      <c r="G827">
        <v>5</v>
      </c>
      <c r="H827">
        <v>3</v>
      </c>
      <c r="I827" t="s">
        <v>2773</v>
      </c>
      <c r="J827" t="s">
        <v>1704</v>
      </c>
      <c r="K827" s="39">
        <v>6.8383690000000001</v>
      </c>
      <c r="L827" s="1">
        <v>2.8587639999999999</v>
      </c>
      <c r="M827" s="1" t="s">
        <v>3877</v>
      </c>
      <c r="N827" s="1">
        <v>207.1</v>
      </c>
      <c r="O827" s="1">
        <f>ABS(Table4[[#This Row],[EndMP]]-Table4[[#This Row],[StartMP]])</f>
        <v>3.2830000000000155</v>
      </c>
      <c r="P827" s="1" t="str">
        <f>IF( AND( Table4[[#This Row],[Route]]=ClosureLocation!$B$3, ClosureLocation!$B$6 &gt;= Table4[[#This Row],[StartMP]], ClosureLocation!$B$6 &lt;= Table4[[#This Row],[EndMP]]), "Yes", "")</f>
        <v/>
      </c>
      <c r="Q827" s="1" t="str">
        <f>IF( AND( Table4[[#This Row],[Route]]=ClosureLocation!$B$3, ClosureLocation!$B$6 &lt;= Table4[[#This Row],[StartMP]], ClosureLocation!$B$6 &gt;= Table4[[#This Row],[EndMP]]), "Yes", "")</f>
        <v/>
      </c>
      <c r="R827" s="1" t="str">
        <f>IF( OR( Table4[[#This Row],[PrimaryMatch]]="Yes", Table4[[#This Row],[SecondaryMatch]]="Yes"), "Yes", "")</f>
        <v/>
      </c>
    </row>
    <row r="828" spans="1:18" hidden="1" x14ac:dyDescent="0.25">
      <c r="A828" t="s">
        <v>1493</v>
      </c>
      <c r="B828" t="s">
        <v>3209</v>
      </c>
      <c r="C828" t="s">
        <v>3210</v>
      </c>
      <c r="D828" t="s">
        <v>4262</v>
      </c>
      <c r="E828" s="1">
        <v>259.13200000000001</v>
      </c>
      <c r="F828" s="1">
        <v>258.16899999999998</v>
      </c>
      <c r="G828">
        <v>3</v>
      </c>
      <c r="H828">
        <v>13</v>
      </c>
      <c r="I828" t="s">
        <v>3081</v>
      </c>
      <c r="J828" t="s">
        <v>1693</v>
      </c>
      <c r="K828" s="39">
        <v>6.8300720000000004</v>
      </c>
      <c r="L828" s="1">
        <v>3.733257</v>
      </c>
      <c r="M828" s="1" t="s">
        <v>4265</v>
      </c>
      <c r="N828" s="1">
        <v>740.86800000000005</v>
      </c>
      <c r="O828" s="1">
        <f>ABS(Table4[[#This Row],[EndMP]]-Table4[[#This Row],[StartMP]])</f>
        <v>0.96300000000002228</v>
      </c>
      <c r="P828" s="1" t="str">
        <f>IF( AND( Table4[[#This Row],[Route]]=ClosureLocation!$B$3, ClosureLocation!$B$6 &gt;= Table4[[#This Row],[StartMP]], ClosureLocation!$B$6 &lt;= Table4[[#This Row],[EndMP]]), "Yes", "")</f>
        <v/>
      </c>
      <c r="Q828" s="1" t="str">
        <f>IF( AND( Table4[[#This Row],[Route]]=ClosureLocation!$B$3, ClosureLocation!$B$6 &lt;= Table4[[#This Row],[StartMP]], ClosureLocation!$B$6 &gt;= Table4[[#This Row],[EndMP]]), "Yes", "")</f>
        <v/>
      </c>
      <c r="R828" s="1" t="str">
        <f>IF( OR( Table4[[#This Row],[PrimaryMatch]]="Yes", Table4[[#This Row],[SecondaryMatch]]="Yes"), "Yes", "")</f>
        <v/>
      </c>
    </row>
    <row r="829" spans="1:18" hidden="1" x14ac:dyDescent="0.25">
      <c r="A829" t="s">
        <v>917</v>
      </c>
      <c r="B829" t="s">
        <v>3205</v>
      </c>
      <c r="C829" t="s">
        <v>3222</v>
      </c>
      <c r="D829" t="s">
        <v>3837</v>
      </c>
      <c r="E829" s="1">
        <v>12.355</v>
      </c>
      <c r="F829" s="1">
        <v>18.808</v>
      </c>
      <c r="G829">
        <v>8</v>
      </c>
      <c r="H829">
        <v>8</v>
      </c>
      <c r="I829" t="s">
        <v>2711</v>
      </c>
      <c r="J829" t="s">
        <v>1694</v>
      </c>
      <c r="K829" s="39">
        <v>6.8189380000000002</v>
      </c>
      <c r="L829" s="1">
        <v>4.2940810000000003</v>
      </c>
      <c r="M829" s="1" t="s">
        <v>4959</v>
      </c>
      <c r="N829" s="1">
        <v>12.355</v>
      </c>
      <c r="O829" s="1">
        <f>ABS(Table4[[#This Row],[EndMP]]-Table4[[#This Row],[StartMP]])</f>
        <v>6.4529999999999994</v>
      </c>
      <c r="P829" s="1" t="str">
        <f>IF( AND( Table4[[#This Row],[Route]]=ClosureLocation!$B$3, ClosureLocation!$B$6 &gt;= Table4[[#This Row],[StartMP]], ClosureLocation!$B$6 &lt;= Table4[[#This Row],[EndMP]]), "Yes", "")</f>
        <v/>
      </c>
      <c r="Q829" s="1" t="str">
        <f>IF( AND( Table4[[#This Row],[Route]]=ClosureLocation!$B$3, ClosureLocation!$B$6 &lt;= Table4[[#This Row],[StartMP]], ClosureLocation!$B$6 &gt;= Table4[[#This Row],[EndMP]]), "Yes", "")</f>
        <v/>
      </c>
      <c r="R829" s="1" t="str">
        <f>IF( OR( Table4[[#This Row],[PrimaryMatch]]="Yes", Table4[[#This Row],[SecondaryMatch]]="Yes"), "Yes", "")</f>
        <v/>
      </c>
    </row>
    <row r="830" spans="1:18" hidden="1" x14ac:dyDescent="0.25">
      <c r="A830" t="s">
        <v>394</v>
      </c>
      <c r="B830" t="s">
        <v>3209</v>
      </c>
      <c r="C830" t="s">
        <v>3226</v>
      </c>
      <c r="D830" t="s">
        <v>3487</v>
      </c>
      <c r="E830" s="1">
        <v>91.924000000000007</v>
      </c>
      <c r="F830" s="1">
        <v>62.506999999999998</v>
      </c>
      <c r="G830">
        <v>8</v>
      </c>
      <c r="H830">
        <v>7</v>
      </c>
      <c r="I830" t="s">
        <v>2304</v>
      </c>
      <c r="J830" t="s">
        <v>1702</v>
      </c>
      <c r="K830" s="39">
        <v>6.8128149999999996</v>
      </c>
      <c r="L830" s="1">
        <v>16.924783999999999</v>
      </c>
      <c r="M830" s="1" t="s">
        <v>3494</v>
      </c>
      <c r="N830" s="1">
        <v>908.07600000000002</v>
      </c>
      <c r="O830" s="1">
        <f>ABS(Table4[[#This Row],[EndMP]]-Table4[[#This Row],[StartMP]])</f>
        <v>29.417000000000009</v>
      </c>
      <c r="P830" s="1" t="str">
        <f>IF( AND( Table4[[#This Row],[Route]]=ClosureLocation!$B$3, ClosureLocation!$B$6 &gt;= Table4[[#This Row],[StartMP]], ClosureLocation!$B$6 &lt;= Table4[[#This Row],[EndMP]]), "Yes", "")</f>
        <v/>
      </c>
      <c r="Q830" s="1" t="str">
        <f>IF( AND( Table4[[#This Row],[Route]]=ClosureLocation!$B$3, ClosureLocation!$B$6 &lt;= Table4[[#This Row],[StartMP]], ClosureLocation!$B$6 &gt;= Table4[[#This Row],[EndMP]]), "Yes", "")</f>
        <v/>
      </c>
      <c r="R830" s="1" t="str">
        <f>IF( OR( Table4[[#This Row],[PrimaryMatch]]="Yes", Table4[[#This Row],[SecondaryMatch]]="Yes"), "Yes", "")</f>
        <v/>
      </c>
    </row>
    <row r="831" spans="1:18" hidden="1" x14ac:dyDescent="0.25">
      <c r="A831" t="s">
        <v>310</v>
      </c>
      <c r="B831" t="s">
        <v>3209</v>
      </c>
      <c r="C831" t="s">
        <v>3210</v>
      </c>
      <c r="D831" t="s">
        <v>3444</v>
      </c>
      <c r="E831" s="1">
        <v>207.36099999999999</v>
      </c>
      <c r="F831" s="1">
        <v>204.357</v>
      </c>
      <c r="G831">
        <v>19</v>
      </c>
      <c r="H831">
        <v>13</v>
      </c>
      <c r="I831" t="s">
        <v>2258</v>
      </c>
      <c r="J831" t="s">
        <v>1700</v>
      </c>
      <c r="K831" s="39">
        <v>6.8110989999999996</v>
      </c>
      <c r="L831" s="1">
        <v>-4.3289000000000001E-2</v>
      </c>
      <c r="M831" s="1" t="s">
        <v>3257</v>
      </c>
      <c r="N831" s="1">
        <v>792.63900000000001</v>
      </c>
      <c r="O831" s="1">
        <f>ABS(Table4[[#This Row],[EndMP]]-Table4[[#This Row],[StartMP]])</f>
        <v>3.0039999999999907</v>
      </c>
      <c r="P831" s="1" t="str">
        <f>IF( AND( Table4[[#This Row],[Route]]=ClosureLocation!$B$3, ClosureLocation!$B$6 &gt;= Table4[[#This Row],[StartMP]], ClosureLocation!$B$6 &lt;= Table4[[#This Row],[EndMP]]), "Yes", "")</f>
        <v/>
      </c>
      <c r="Q831" s="1" t="str">
        <f>IF( AND( Table4[[#This Row],[Route]]=ClosureLocation!$B$3, ClosureLocation!$B$6 &lt;= Table4[[#This Row],[StartMP]], ClosureLocation!$B$6 &gt;= Table4[[#This Row],[EndMP]]), "Yes", "")</f>
        <v/>
      </c>
      <c r="R831" s="1" t="str">
        <f>IF( OR( Table4[[#This Row],[PrimaryMatch]]="Yes", Table4[[#This Row],[SecondaryMatch]]="Yes"), "Yes", "")</f>
        <v/>
      </c>
    </row>
    <row r="832" spans="1:18" hidden="1" x14ac:dyDescent="0.25">
      <c r="A832" t="s">
        <v>776</v>
      </c>
      <c r="B832" t="s">
        <v>3205</v>
      </c>
      <c r="C832" t="s">
        <v>3222</v>
      </c>
      <c r="D832" t="s">
        <v>3748</v>
      </c>
      <c r="E832" s="1">
        <v>295.37799999999999</v>
      </c>
      <c r="F832" s="1">
        <v>304.24200000000002</v>
      </c>
      <c r="G832">
        <v>39</v>
      </c>
      <c r="H832">
        <v>39</v>
      </c>
      <c r="I832" t="s">
        <v>2584</v>
      </c>
      <c r="J832" t="s">
        <v>1694</v>
      </c>
      <c r="K832" s="39">
        <v>6.8103059999999997</v>
      </c>
      <c r="L832" s="1">
        <v>1.684666</v>
      </c>
      <c r="M832" s="1" t="s">
        <v>4483</v>
      </c>
      <c r="N832" s="1">
        <v>295.37799999999999</v>
      </c>
      <c r="O832" s="1">
        <f>ABS(Table4[[#This Row],[EndMP]]-Table4[[#This Row],[StartMP]])</f>
        <v>8.8640000000000327</v>
      </c>
      <c r="P832" s="1" t="str">
        <f>IF( AND( Table4[[#This Row],[Route]]=ClosureLocation!$B$3, ClosureLocation!$B$6 &gt;= Table4[[#This Row],[StartMP]], ClosureLocation!$B$6 &lt;= Table4[[#This Row],[EndMP]]), "Yes", "")</f>
        <v/>
      </c>
      <c r="Q832" s="1" t="str">
        <f>IF( AND( Table4[[#This Row],[Route]]=ClosureLocation!$B$3, ClosureLocation!$B$6 &lt;= Table4[[#This Row],[StartMP]], ClosureLocation!$B$6 &gt;= Table4[[#This Row],[EndMP]]), "Yes", "")</f>
        <v/>
      </c>
      <c r="R832" s="1" t="str">
        <f>IF( OR( Table4[[#This Row],[PrimaryMatch]]="Yes", Table4[[#This Row],[SecondaryMatch]]="Yes"), "Yes", "")</f>
        <v/>
      </c>
    </row>
    <row r="833" spans="1:18" hidden="1" x14ac:dyDescent="0.25">
      <c r="A833" t="s">
        <v>640</v>
      </c>
      <c r="B833" t="s">
        <v>3205</v>
      </c>
      <c r="C833" t="s">
        <v>3222</v>
      </c>
      <c r="D833" t="s">
        <v>3638</v>
      </c>
      <c r="E833" s="1">
        <v>319</v>
      </c>
      <c r="F833" s="1">
        <v>324.22899999999998</v>
      </c>
      <c r="G833">
        <v>2</v>
      </c>
      <c r="H833">
        <v>16</v>
      </c>
      <c r="I833" t="s">
        <v>2446</v>
      </c>
      <c r="J833" t="s">
        <v>1694</v>
      </c>
      <c r="K833" s="39">
        <v>6.7942939999999998</v>
      </c>
      <c r="L833" s="1">
        <v>1.6226389999999999</v>
      </c>
      <c r="M833" s="1" t="s">
        <v>4925</v>
      </c>
      <c r="N833" s="1">
        <v>319</v>
      </c>
      <c r="O833" s="1">
        <f>ABS(Table4[[#This Row],[EndMP]]-Table4[[#This Row],[StartMP]])</f>
        <v>5.228999999999985</v>
      </c>
      <c r="P833" s="1" t="str">
        <f>IF( AND( Table4[[#This Row],[Route]]=ClosureLocation!$B$3, ClosureLocation!$B$6 &gt;= Table4[[#This Row],[StartMP]], ClosureLocation!$B$6 &lt;= Table4[[#This Row],[EndMP]]), "Yes", "")</f>
        <v/>
      </c>
      <c r="Q833" s="1" t="str">
        <f>IF( AND( Table4[[#This Row],[Route]]=ClosureLocation!$B$3, ClosureLocation!$B$6 &lt;= Table4[[#This Row],[StartMP]], ClosureLocation!$B$6 &gt;= Table4[[#This Row],[EndMP]]), "Yes", "")</f>
        <v/>
      </c>
      <c r="R833" s="1" t="str">
        <f>IF( OR( Table4[[#This Row],[PrimaryMatch]]="Yes", Table4[[#This Row],[SecondaryMatch]]="Yes"), "Yes", "")</f>
        <v/>
      </c>
    </row>
    <row r="834" spans="1:18" hidden="1" x14ac:dyDescent="0.25">
      <c r="A834" t="s">
        <v>776</v>
      </c>
      <c r="B834" t="s">
        <v>3209</v>
      </c>
      <c r="C834" t="s">
        <v>3226</v>
      </c>
      <c r="D834" t="s">
        <v>3749</v>
      </c>
      <c r="E834" s="1">
        <v>253.066</v>
      </c>
      <c r="F834" s="1">
        <v>251.691</v>
      </c>
      <c r="G834">
        <v>28</v>
      </c>
      <c r="H834">
        <v>81</v>
      </c>
      <c r="I834" t="s">
        <v>2627</v>
      </c>
      <c r="J834" t="s">
        <v>1694</v>
      </c>
      <c r="K834" s="39">
        <v>6.7698689999999999</v>
      </c>
      <c r="L834" s="1">
        <v>-1.2372160000000001</v>
      </c>
      <c r="M834" s="1" t="s">
        <v>4520</v>
      </c>
      <c r="N834" s="1">
        <v>746.93399999999997</v>
      </c>
      <c r="O834" s="1">
        <f>ABS(Table4[[#This Row],[EndMP]]-Table4[[#This Row],[StartMP]])</f>
        <v>1.375</v>
      </c>
      <c r="P834" s="1" t="str">
        <f>IF( AND( Table4[[#This Row],[Route]]=ClosureLocation!$B$3, ClosureLocation!$B$6 &gt;= Table4[[#This Row],[StartMP]], ClosureLocation!$B$6 &lt;= Table4[[#This Row],[EndMP]]), "Yes", "")</f>
        <v/>
      </c>
      <c r="Q834" s="1" t="str">
        <f>IF( AND( Table4[[#This Row],[Route]]=ClosureLocation!$B$3, ClosureLocation!$B$6 &lt;= Table4[[#This Row],[StartMP]], ClosureLocation!$B$6 &gt;= Table4[[#This Row],[EndMP]]), "Yes", "")</f>
        <v/>
      </c>
      <c r="R834" s="1" t="str">
        <f>IF( OR( Table4[[#This Row],[PrimaryMatch]]="Yes", Table4[[#This Row],[SecondaryMatch]]="Yes"), "Yes", "")</f>
        <v/>
      </c>
    </row>
    <row r="835" spans="1:18" hidden="1" x14ac:dyDescent="0.25">
      <c r="A835" t="s">
        <v>917</v>
      </c>
      <c r="B835" t="s">
        <v>3209</v>
      </c>
      <c r="C835" t="s">
        <v>3226</v>
      </c>
      <c r="D835" t="s">
        <v>3840</v>
      </c>
      <c r="E835" s="1">
        <v>7.8659999999999997</v>
      </c>
      <c r="F835" s="1">
        <v>7.077</v>
      </c>
      <c r="G835">
        <v>18</v>
      </c>
      <c r="H835">
        <v>40</v>
      </c>
      <c r="I835" t="s">
        <v>2743</v>
      </c>
      <c r="J835" t="s">
        <v>1694</v>
      </c>
      <c r="K835" s="39">
        <v>6.7362770000000003</v>
      </c>
      <c r="L835" s="1">
        <v>2.8637800000000002</v>
      </c>
      <c r="M835" s="1" t="s">
        <v>4987</v>
      </c>
      <c r="N835" s="1">
        <v>992.13400000000001</v>
      </c>
      <c r="O835" s="1">
        <f>ABS(Table4[[#This Row],[EndMP]]-Table4[[#This Row],[StartMP]])</f>
        <v>0.7889999999999997</v>
      </c>
      <c r="P835" s="1" t="str">
        <f>IF( AND( Table4[[#This Row],[Route]]=ClosureLocation!$B$3, ClosureLocation!$B$6 &gt;= Table4[[#This Row],[StartMP]], ClosureLocation!$B$6 &lt;= Table4[[#This Row],[EndMP]]), "Yes", "")</f>
        <v/>
      </c>
      <c r="Q835" s="1" t="str">
        <f>IF( AND( Table4[[#This Row],[Route]]=ClosureLocation!$B$3, ClosureLocation!$B$6 &lt;= Table4[[#This Row],[StartMP]], ClosureLocation!$B$6 &gt;= Table4[[#This Row],[EndMP]]), "Yes", "")</f>
        <v/>
      </c>
      <c r="R835" s="1" t="str">
        <f>IF( OR( Table4[[#This Row],[PrimaryMatch]]="Yes", Table4[[#This Row],[SecondaryMatch]]="Yes"), "Yes", "")</f>
        <v/>
      </c>
    </row>
    <row r="836" spans="1:18" hidden="1" x14ac:dyDescent="0.25">
      <c r="A836" t="s">
        <v>776</v>
      </c>
      <c r="B836" t="s">
        <v>3205</v>
      </c>
      <c r="C836" t="s">
        <v>3222</v>
      </c>
      <c r="D836" t="s">
        <v>3748</v>
      </c>
      <c r="E836" s="1">
        <v>163.04900000000001</v>
      </c>
      <c r="F836" s="1">
        <v>166.39699999999999</v>
      </c>
      <c r="G836">
        <v>18</v>
      </c>
      <c r="H836">
        <v>18</v>
      </c>
      <c r="I836" t="s">
        <v>2563</v>
      </c>
      <c r="J836" t="s">
        <v>1694</v>
      </c>
      <c r="K836" s="39">
        <v>6.7148339999999997</v>
      </c>
      <c r="L836" s="1">
        <v>1.0754269999999999</v>
      </c>
      <c r="M836" s="1" t="s">
        <v>4467</v>
      </c>
      <c r="N836" s="1">
        <v>163.04900000000001</v>
      </c>
      <c r="O836" s="1">
        <f>ABS(Table4[[#This Row],[EndMP]]-Table4[[#This Row],[StartMP]])</f>
        <v>3.3479999999999848</v>
      </c>
      <c r="P836" s="1" t="str">
        <f>IF( AND( Table4[[#This Row],[Route]]=ClosureLocation!$B$3, ClosureLocation!$B$6 &gt;= Table4[[#This Row],[StartMP]], ClosureLocation!$B$6 &lt;= Table4[[#This Row],[EndMP]]), "Yes", "")</f>
        <v/>
      </c>
      <c r="Q836" s="1" t="str">
        <f>IF( AND( Table4[[#This Row],[Route]]=ClosureLocation!$B$3, ClosureLocation!$B$6 &lt;= Table4[[#This Row],[StartMP]], ClosureLocation!$B$6 &gt;= Table4[[#This Row],[EndMP]]), "Yes", "")</f>
        <v/>
      </c>
      <c r="R836" s="1" t="str">
        <f>IF( OR( Table4[[#This Row],[PrimaryMatch]]="Yes", Table4[[#This Row],[SecondaryMatch]]="Yes"), "Yes", "")</f>
        <v/>
      </c>
    </row>
    <row r="837" spans="1:18" hidden="1" x14ac:dyDescent="0.25">
      <c r="A837" t="s">
        <v>394</v>
      </c>
      <c r="B837" t="s">
        <v>3205</v>
      </c>
      <c r="C837" t="s">
        <v>3222</v>
      </c>
      <c r="D837" t="s">
        <v>3477</v>
      </c>
      <c r="E837" s="1">
        <v>62.506999999999998</v>
      </c>
      <c r="F837" s="1">
        <v>91.924000000000007</v>
      </c>
      <c r="G837">
        <v>4</v>
      </c>
      <c r="H837">
        <v>2</v>
      </c>
      <c r="I837" t="s">
        <v>2290</v>
      </c>
      <c r="J837" t="s">
        <v>1702</v>
      </c>
      <c r="K837" s="39">
        <v>6.6781269999999999</v>
      </c>
      <c r="L837" s="1">
        <v>16.795604999999998</v>
      </c>
      <c r="M837" s="1" t="s">
        <v>3480</v>
      </c>
      <c r="N837" s="1">
        <v>62.506999999999998</v>
      </c>
      <c r="O837" s="1">
        <f>ABS(Table4[[#This Row],[EndMP]]-Table4[[#This Row],[StartMP]])</f>
        <v>29.417000000000009</v>
      </c>
      <c r="P837" s="1" t="str">
        <f>IF( AND( Table4[[#This Row],[Route]]=ClosureLocation!$B$3, ClosureLocation!$B$6 &gt;= Table4[[#This Row],[StartMP]], ClosureLocation!$B$6 &lt;= Table4[[#This Row],[EndMP]]), "Yes", "")</f>
        <v/>
      </c>
      <c r="Q837" s="1" t="str">
        <f>IF( AND( Table4[[#This Row],[Route]]=ClosureLocation!$B$3, ClosureLocation!$B$6 &lt;= Table4[[#This Row],[StartMP]], ClosureLocation!$B$6 &gt;= Table4[[#This Row],[EndMP]]), "Yes", "")</f>
        <v/>
      </c>
      <c r="R837" s="1" t="str">
        <f>IF( OR( Table4[[#This Row],[PrimaryMatch]]="Yes", Table4[[#This Row],[SecondaryMatch]]="Yes"), "Yes", "")</f>
        <v/>
      </c>
    </row>
    <row r="838" spans="1:18" hidden="1" x14ac:dyDescent="0.25">
      <c r="A838" t="s">
        <v>776</v>
      </c>
      <c r="B838" t="s">
        <v>3205</v>
      </c>
      <c r="C838" t="s">
        <v>3222</v>
      </c>
      <c r="D838" t="s">
        <v>3748</v>
      </c>
      <c r="E838" s="1">
        <v>251.31800000000001</v>
      </c>
      <c r="F838" s="1">
        <v>253</v>
      </c>
      <c r="G838">
        <v>27</v>
      </c>
      <c r="H838">
        <v>27</v>
      </c>
      <c r="I838" t="s">
        <v>2572</v>
      </c>
      <c r="J838" t="s">
        <v>1694</v>
      </c>
      <c r="K838" s="39">
        <v>6.6388319999999998</v>
      </c>
      <c r="L838" s="1">
        <v>-1.239476</v>
      </c>
      <c r="M838" s="1" t="s">
        <v>4474</v>
      </c>
      <c r="N838" s="1">
        <v>251.31800000000001</v>
      </c>
      <c r="O838" s="1">
        <f>ABS(Table4[[#This Row],[EndMP]]-Table4[[#This Row],[StartMP]])</f>
        <v>1.6819999999999879</v>
      </c>
      <c r="P838" s="1" t="str">
        <f>IF( AND( Table4[[#This Row],[Route]]=ClosureLocation!$B$3, ClosureLocation!$B$6 &gt;= Table4[[#This Row],[StartMP]], ClosureLocation!$B$6 &lt;= Table4[[#This Row],[EndMP]]), "Yes", "")</f>
        <v/>
      </c>
      <c r="Q838" s="1" t="str">
        <f>IF( AND( Table4[[#This Row],[Route]]=ClosureLocation!$B$3, ClosureLocation!$B$6 &lt;= Table4[[#This Row],[StartMP]], ClosureLocation!$B$6 &gt;= Table4[[#This Row],[EndMP]]), "Yes", "")</f>
        <v/>
      </c>
      <c r="R838" s="1" t="str">
        <f>IF( OR( Table4[[#This Row],[PrimaryMatch]]="Yes", Table4[[#This Row],[SecondaryMatch]]="Yes"), "Yes", "")</f>
        <v/>
      </c>
    </row>
    <row r="839" spans="1:18" hidden="1" x14ac:dyDescent="0.25">
      <c r="A839" t="s">
        <v>1493</v>
      </c>
      <c r="B839" t="s">
        <v>3205</v>
      </c>
      <c r="C839" t="s">
        <v>3206</v>
      </c>
      <c r="D839" t="s">
        <v>4252</v>
      </c>
      <c r="E839" s="1">
        <v>250.43899999999999</v>
      </c>
      <c r="F839" s="1">
        <v>253.29499999999999</v>
      </c>
      <c r="G839">
        <v>5</v>
      </c>
      <c r="H839">
        <v>6</v>
      </c>
      <c r="I839" t="s">
        <v>3074</v>
      </c>
      <c r="J839" t="s">
        <v>1693</v>
      </c>
      <c r="K839" s="39">
        <v>6.6388290000000003</v>
      </c>
      <c r="L839" s="1">
        <v>3.5524200000000001</v>
      </c>
      <c r="M839" s="1" t="s">
        <v>4257</v>
      </c>
      <c r="N839" s="1">
        <v>250.43899999999999</v>
      </c>
      <c r="O839" s="1">
        <f>ABS(Table4[[#This Row],[EndMP]]-Table4[[#This Row],[StartMP]])</f>
        <v>2.8559999999999945</v>
      </c>
      <c r="P839" s="1" t="str">
        <f>IF( AND( Table4[[#This Row],[Route]]=ClosureLocation!$B$3, ClosureLocation!$B$6 &gt;= Table4[[#This Row],[StartMP]], ClosureLocation!$B$6 &lt;= Table4[[#This Row],[EndMP]]), "Yes", "")</f>
        <v/>
      </c>
      <c r="Q839" s="1" t="str">
        <f>IF( AND( Table4[[#This Row],[Route]]=ClosureLocation!$B$3, ClosureLocation!$B$6 &lt;= Table4[[#This Row],[StartMP]], ClosureLocation!$B$6 &gt;= Table4[[#This Row],[EndMP]]), "Yes", "")</f>
        <v/>
      </c>
      <c r="R839" s="1" t="str">
        <f>IF( OR( Table4[[#This Row],[PrimaryMatch]]="Yes", Table4[[#This Row],[SecondaryMatch]]="Yes"), "Yes", "")</f>
        <v/>
      </c>
    </row>
    <row r="840" spans="1:18" hidden="1" x14ac:dyDescent="0.25">
      <c r="A840" t="s">
        <v>394</v>
      </c>
      <c r="B840" t="s">
        <v>3209</v>
      </c>
      <c r="C840" t="s">
        <v>3226</v>
      </c>
      <c r="D840" t="s">
        <v>3487</v>
      </c>
      <c r="E840" s="1">
        <v>112.474</v>
      </c>
      <c r="F840" s="1">
        <v>103.07</v>
      </c>
      <c r="G840">
        <v>4</v>
      </c>
      <c r="H840">
        <v>8</v>
      </c>
      <c r="I840" t="s">
        <v>2300</v>
      </c>
      <c r="J840" t="s">
        <v>1704</v>
      </c>
      <c r="K840" s="39">
        <v>6.6115539999999999</v>
      </c>
      <c r="L840" s="1">
        <v>1.930653</v>
      </c>
      <c r="M840" s="1" t="s">
        <v>3490</v>
      </c>
      <c r="N840" s="1">
        <v>887.52599999999995</v>
      </c>
      <c r="O840" s="1">
        <f>ABS(Table4[[#This Row],[EndMP]]-Table4[[#This Row],[StartMP]])</f>
        <v>9.4040000000000106</v>
      </c>
      <c r="P840" s="1" t="str">
        <f>IF( AND( Table4[[#This Row],[Route]]=ClosureLocation!$B$3, ClosureLocation!$B$6 &gt;= Table4[[#This Row],[StartMP]], ClosureLocation!$B$6 &lt;= Table4[[#This Row],[EndMP]]), "Yes", "")</f>
        <v/>
      </c>
      <c r="Q840" s="1" t="str">
        <f>IF( AND( Table4[[#This Row],[Route]]=ClosureLocation!$B$3, ClosureLocation!$B$6 &lt;= Table4[[#This Row],[StartMP]], ClosureLocation!$B$6 &gt;= Table4[[#This Row],[EndMP]]), "Yes", "")</f>
        <v/>
      </c>
      <c r="R840" s="1" t="str">
        <f>IF( OR( Table4[[#This Row],[PrimaryMatch]]="Yes", Table4[[#This Row],[SecondaryMatch]]="Yes"), "Yes", "")</f>
        <v/>
      </c>
    </row>
    <row r="841" spans="1:18" hidden="1" x14ac:dyDescent="0.25">
      <c r="A841" t="s">
        <v>1424</v>
      </c>
      <c r="B841" t="s">
        <v>3205</v>
      </c>
      <c r="C841" t="s">
        <v>3222</v>
      </c>
      <c r="D841" t="s">
        <v>4200</v>
      </c>
      <c r="E841" s="1">
        <v>2.8759999999999999</v>
      </c>
      <c r="F841" s="1">
        <v>3.6339999999999999</v>
      </c>
      <c r="G841">
        <v>3</v>
      </c>
      <c r="H841">
        <v>2</v>
      </c>
      <c r="I841" t="s">
        <v>3020</v>
      </c>
      <c r="J841" t="s">
        <v>1708</v>
      </c>
      <c r="K841" s="39">
        <v>6.5762600000000004</v>
      </c>
      <c r="L841" s="1">
        <v>6.3203969999999998</v>
      </c>
      <c r="M841" s="1" t="s">
        <v>4203</v>
      </c>
      <c r="N841" s="1">
        <v>2.8759999999999999</v>
      </c>
      <c r="O841" s="1">
        <f>ABS(Table4[[#This Row],[EndMP]]-Table4[[#This Row],[StartMP]])</f>
        <v>0.75800000000000001</v>
      </c>
      <c r="P841" s="1" t="str">
        <f>IF( AND( Table4[[#This Row],[Route]]=ClosureLocation!$B$3, ClosureLocation!$B$6 &gt;= Table4[[#This Row],[StartMP]], ClosureLocation!$B$6 &lt;= Table4[[#This Row],[EndMP]]), "Yes", "")</f>
        <v/>
      </c>
      <c r="Q841" s="1" t="str">
        <f>IF( AND( Table4[[#This Row],[Route]]=ClosureLocation!$B$3, ClosureLocation!$B$6 &lt;= Table4[[#This Row],[StartMP]], ClosureLocation!$B$6 &gt;= Table4[[#This Row],[EndMP]]), "Yes", "")</f>
        <v/>
      </c>
      <c r="R841" s="1" t="str">
        <f>IF( OR( Table4[[#This Row],[PrimaryMatch]]="Yes", Table4[[#This Row],[SecondaryMatch]]="Yes"), "Yes", "")</f>
        <v/>
      </c>
    </row>
    <row r="842" spans="1:18" hidden="1" x14ac:dyDescent="0.25">
      <c r="A842" t="s">
        <v>776</v>
      </c>
      <c r="B842" t="s">
        <v>3209</v>
      </c>
      <c r="C842" t="s">
        <v>3226</v>
      </c>
      <c r="D842" t="s">
        <v>3749</v>
      </c>
      <c r="E842" s="1">
        <v>304.24200000000002</v>
      </c>
      <c r="F842" s="1">
        <v>295.37799999999999</v>
      </c>
      <c r="G842">
        <v>16</v>
      </c>
      <c r="H842">
        <v>69</v>
      </c>
      <c r="I842" t="s">
        <v>2615</v>
      </c>
      <c r="J842" t="s">
        <v>1694</v>
      </c>
      <c r="K842" s="39">
        <v>6.5519150000000002</v>
      </c>
      <c r="L842" s="1">
        <v>1.5125280000000001</v>
      </c>
      <c r="M842" s="1" t="s">
        <v>4510</v>
      </c>
      <c r="N842" s="1">
        <v>695.75800000000004</v>
      </c>
      <c r="O842" s="1">
        <f>ABS(Table4[[#This Row],[EndMP]]-Table4[[#This Row],[StartMP]])</f>
        <v>8.8640000000000327</v>
      </c>
      <c r="P842" s="1" t="str">
        <f>IF( AND( Table4[[#This Row],[Route]]=ClosureLocation!$B$3, ClosureLocation!$B$6 &gt;= Table4[[#This Row],[StartMP]], ClosureLocation!$B$6 &lt;= Table4[[#This Row],[EndMP]]), "Yes", "")</f>
        <v/>
      </c>
      <c r="Q842" s="1" t="str">
        <f>IF( AND( Table4[[#This Row],[Route]]=ClosureLocation!$B$3, ClosureLocation!$B$6 &lt;= Table4[[#This Row],[StartMP]], ClosureLocation!$B$6 &gt;= Table4[[#This Row],[EndMP]]), "Yes", "")</f>
        <v/>
      </c>
      <c r="R842" s="1" t="str">
        <f>IF( OR( Table4[[#This Row],[PrimaryMatch]]="Yes", Table4[[#This Row],[SecondaryMatch]]="Yes"), "Yes", "")</f>
        <v/>
      </c>
    </row>
    <row r="843" spans="1:18" hidden="1" x14ac:dyDescent="0.25">
      <c r="A843" t="s">
        <v>477</v>
      </c>
      <c r="B843" t="s">
        <v>3209</v>
      </c>
      <c r="C843" t="s">
        <v>3226</v>
      </c>
      <c r="D843" t="s">
        <v>3541</v>
      </c>
      <c r="E843" s="1">
        <v>89.21</v>
      </c>
      <c r="F843" s="1">
        <v>88.835999999999999</v>
      </c>
      <c r="H843">
        <v>2</v>
      </c>
      <c r="I843" t="s">
        <v>2341</v>
      </c>
      <c r="J843" t="s">
        <v>1724</v>
      </c>
      <c r="K843" s="39">
        <v>6.4528590000000001</v>
      </c>
      <c r="L843" s="1">
        <v>5.250089</v>
      </c>
      <c r="M843" s="1" t="s">
        <v>3542</v>
      </c>
      <c r="N843" s="1">
        <v>910.79</v>
      </c>
      <c r="O843" s="1">
        <f>ABS(Table4[[#This Row],[EndMP]]-Table4[[#This Row],[StartMP]])</f>
        <v>0.37399999999999523</v>
      </c>
      <c r="P843" s="1" t="str">
        <f>IF( AND( Table4[[#This Row],[Route]]=ClosureLocation!$B$3, ClosureLocation!$B$6 &gt;= Table4[[#This Row],[StartMP]], ClosureLocation!$B$6 &lt;= Table4[[#This Row],[EndMP]]), "Yes", "")</f>
        <v/>
      </c>
      <c r="Q843" s="1" t="str">
        <f>IF( AND( Table4[[#This Row],[Route]]=ClosureLocation!$B$3, ClosureLocation!$B$6 &lt;= Table4[[#This Row],[StartMP]], ClosureLocation!$B$6 &gt;= Table4[[#This Row],[EndMP]]), "Yes", "")</f>
        <v/>
      </c>
      <c r="R843" s="1" t="str">
        <f>IF( OR( Table4[[#This Row],[PrimaryMatch]]="Yes", Table4[[#This Row],[SecondaryMatch]]="Yes"), "Yes", "")</f>
        <v/>
      </c>
    </row>
    <row r="844" spans="1:18" hidden="1" x14ac:dyDescent="0.25">
      <c r="A844" t="s">
        <v>858</v>
      </c>
      <c r="B844" t="s">
        <v>3205</v>
      </c>
      <c r="C844" t="s">
        <v>3206</v>
      </c>
      <c r="D844" t="s">
        <v>3773</v>
      </c>
      <c r="E844" s="1">
        <v>0.14499999999999999</v>
      </c>
      <c r="F844" s="1">
        <v>0.4</v>
      </c>
      <c r="G844">
        <v>1</v>
      </c>
      <c r="H844">
        <v>1</v>
      </c>
      <c r="I844" t="s">
        <v>2670</v>
      </c>
      <c r="J844" t="s">
        <v>1699</v>
      </c>
      <c r="K844" s="39">
        <v>6.4248690000000002</v>
      </c>
      <c r="L844" s="1">
        <v>6.1034660000000001</v>
      </c>
      <c r="M844" s="1" t="s">
        <v>3774</v>
      </c>
      <c r="N844" s="1">
        <v>0.14499999999999999</v>
      </c>
      <c r="O844" s="1">
        <f>ABS(Table4[[#This Row],[EndMP]]-Table4[[#This Row],[StartMP]])</f>
        <v>0.255</v>
      </c>
      <c r="P844" s="1" t="str">
        <f>IF( AND( Table4[[#This Row],[Route]]=ClosureLocation!$B$3, ClosureLocation!$B$6 &gt;= Table4[[#This Row],[StartMP]], ClosureLocation!$B$6 &lt;= Table4[[#This Row],[EndMP]]), "Yes", "")</f>
        <v/>
      </c>
      <c r="Q844" s="1" t="str">
        <f>IF( AND( Table4[[#This Row],[Route]]=ClosureLocation!$B$3, ClosureLocation!$B$6 &lt;= Table4[[#This Row],[StartMP]], ClosureLocation!$B$6 &gt;= Table4[[#This Row],[EndMP]]), "Yes", "")</f>
        <v/>
      </c>
      <c r="R844" s="1" t="str">
        <f>IF( OR( Table4[[#This Row],[PrimaryMatch]]="Yes", Table4[[#This Row],[SecondaryMatch]]="Yes"), "Yes", "")</f>
        <v/>
      </c>
    </row>
    <row r="845" spans="1:18" hidden="1" x14ac:dyDescent="0.25">
      <c r="A845" t="s">
        <v>776</v>
      </c>
      <c r="B845" t="s">
        <v>3205</v>
      </c>
      <c r="C845" t="s">
        <v>3222</v>
      </c>
      <c r="D845" t="s">
        <v>3748</v>
      </c>
      <c r="E845" s="1">
        <v>244.17699999999999</v>
      </c>
      <c r="F845" s="1">
        <v>246.39599999999999</v>
      </c>
      <c r="G845">
        <v>25</v>
      </c>
      <c r="H845">
        <v>25</v>
      </c>
      <c r="I845" t="s">
        <v>2570</v>
      </c>
      <c r="J845" t="s">
        <v>1694</v>
      </c>
      <c r="K845" s="39">
        <v>6.4202719999999998</v>
      </c>
      <c r="L845" s="1">
        <v>0.97746200000000005</v>
      </c>
      <c r="M845" s="1" t="s">
        <v>4472</v>
      </c>
      <c r="N845" s="1">
        <v>244.17699999999999</v>
      </c>
      <c r="O845" s="1">
        <f>ABS(Table4[[#This Row],[EndMP]]-Table4[[#This Row],[StartMP]])</f>
        <v>2.2189999999999941</v>
      </c>
      <c r="P845" s="1" t="str">
        <f>IF( AND( Table4[[#This Row],[Route]]=ClosureLocation!$B$3, ClosureLocation!$B$6 &gt;= Table4[[#This Row],[StartMP]], ClosureLocation!$B$6 &lt;= Table4[[#This Row],[EndMP]]), "Yes", "")</f>
        <v/>
      </c>
      <c r="Q845" s="1" t="str">
        <f>IF( AND( Table4[[#This Row],[Route]]=ClosureLocation!$B$3, ClosureLocation!$B$6 &lt;= Table4[[#This Row],[StartMP]], ClosureLocation!$B$6 &gt;= Table4[[#This Row],[EndMP]]), "Yes", "")</f>
        <v/>
      </c>
      <c r="R845" s="1" t="str">
        <f>IF( OR( Table4[[#This Row],[PrimaryMatch]]="Yes", Table4[[#This Row],[SecondaryMatch]]="Yes"), "Yes", "")</f>
        <v/>
      </c>
    </row>
    <row r="846" spans="1:18" hidden="1" x14ac:dyDescent="0.25">
      <c r="A846" t="s">
        <v>858</v>
      </c>
      <c r="B846" t="s">
        <v>3209</v>
      </c>
      <c r="C846" t="s">
        <v>3210</v>
      </c>
      <c r="D846" t="s">
        <v>3775</v>
      </c>
      <c r="E846" s="1">
        <v>0.4</v>
      </c>
      <c r="F846" s="1">
        <v>0.14499999999999999</v>
      </c>
      <c r="G846">
        <v>1</v>
      </c>
      <c r="H846">
        <v>2</v>
      </c>
      <c r="I846" t="s">
        <v>2671</v>
      </c>
      <c r="J846" t="s">
        <v>1699</v>
      </c>
      <c r="K846" s="39">
        <v>6.3964549999999996</v>
      </c>
      <c r="L846" s="1">
        <v>6.1071010000000001</v>
      </c>
      <c r="M846" s="1" t="s">
        <v>3776</v>
      </c>
      <c r="N846" s="1">
        <v>999.6</v>
      </c>
      <c r="O846" s="1">
        <f>ABS(Table4[[#This Row],[EndMP]]-Table4[[#This Row],[StartMP]])</f>
        <v>0.255</v>
      </c>
      <c r="P846" s="1" t="str">
        <f>IF( AND( Table4[[#This Row],[Route]]=ClosureLocation!$B$3, ClosureLocation!$B$6 &gt;= Table4[[#This Row],[StartMP]], ClosureLocation!$B$6 &lt;= Table4[[#This Row],[EndMP]]), "Yes", "")</f>
        <v/>
      </c>
      <c r="Q846" s="1" t="str">
        <f>IF( AND( Table4[[#This Row],[Route]]=ClosureLocation!$B$3, ClosureLocation!$B$6 &lt;= Table4[[#This Row],[StartMP]], ClosureLocation!$B$6 &gt;= Table4[[#This Row],[EndMP]]), "Yes", "")</f>
        <v/>
      </c>
      <c r="R846" s="1" t="str">
        <f>IF( OR( Table4[[#This Row],[PrimaryMatch]]="Yes", Table4[[#This Row],[SecondaryMatch]]="Yes"), "Yes", "")</f>
        <v/>
      </c>
    </row>
    <row r="847" spans="1:18" hidden="1" x14ac:dyDescent="0.25">
      <c r="A847" t="s">
        <v>310</v>
      </c>
      <c r="B847" t="s">
        <v>3209</v>
      </c>
      <c r="C847" t="s">
        <v>3210</v>
      </c>
      <c r="D847" t="s">
        <v>3444</v>
      </c>
      <c r="E847" s="1">
        <v>212.81899999999999</v>
      </c>
      <c r="F847" s="1">
        <v>210.53200000000001</v>
      </c>
      <c r="G847">
        <v>16</v>
      </c>
      <c r="H847">
        <v>10</v>
      </c>
      <c r="I847" t="s">
        <v>2255</v>
      </c>
      <c r="J847" t="s">
        <v>1700</v>
      </c>
      <c r="K847" s="39">
        <v>6.3915040000000003</v>
      </c>
      <c r="L847" s="1">
        <v>2.1360329999999998</v>
      </c>
      <c r="M847" s="1" t="s">
        <v>3454</v>
      </c>
      <c r="N847" s="1">
        <v>787.18100000000004</v>
      </c>
      <c r="O847" s="1">
        <f>ABS(Table4[[#This Row],[EndMP]]-Table4[[#This Row],[StartMP]])</f>
        <v>2.2869999999999777</v>
      </c>
      <c r="P847" s="1" t="str">
        <f>IF( AND( Table4[[#This Row],[Route]]=ClosureLocation!$B$3, ClosureLocation!$B$6 &gt;= Table4[[#This Row],[StartMP]], ClosureLocation!$B$6 &lt;= Table4[[#This Row],[EndMP]]), "Yes", "")</f>
        <v/>
      </c>
      <c r="Q847" s="1" t="str">
        <f>IF( AND( Table4[[#This Row],[Route]]=ClosureLocation!$B$3, ClosureLocation!$B$6 &lt;= Table4[[#This Row],[StartMP]], ClosureLocation!$B$6 &gt;= Table4[[#This Row],[EndMP]]), "Yes", "")</f>
        <v/>
      </c>
      <c r="R847" s="1" t="str">
        <f>IF( OR( Table4[[#This Row],[PrimaryMatch]]="Yes", Table4[[#This Row],[SecondaryMatch]]="Yes"), "Yes", "")</f>
        <v/>
      </c>
    </row>
    <row r="848" spans="1:18" hidden="1" x14ac:dyDescent="0.25">
      <c r="A848" t="s">
        <v>1034</v>
      </c>
      <c r="B848" t="s">
        <v>3205</v>
      </c>
      <c r="C848" t="s">
        <v>3222</v>
      </c>
      <c r="D848" t="s">
        <v>3928</v>
      </c>
      <c r="E848" s="1">
        <v>17.013999999999999</v>
      </c>
      <c r="F848" s="1">
        <v>21.564</v>
      </c>
      <c r="G848">
        <v>1</v>
      </c>
      <c r="H848">
        <v>1</v>
      </c>
      <c r="I848" t="s">
        <v>2815</v>
      </c>
      <c r="J848" t="s">
        <v>1689</v>
      </c>
      <c r="K848" s="39">
        <v>6.3531089999999999</v>
      </c>
      <c r="L848" s="1">
        <v>7.7221970000000004</v>
      </c>
      <c r="M848" s="1" t="s">
        <v>3929</v>
      </c>
      <c r="N848" s="1">
        <v>17.013999999999999</v>
      </c>
      <c r="O848" s="1">
        <f>ABS(Table4[[#This Row],[EndMP]]-Table4[[#This Row],[StartMP]])</f>
        <v>4.5500000000000007</v>
      </c>
      <c r="P848" s="1" t="str">
        <f>IF( AND( Table4[[#This Row],[Route]]=ClosureLocation!$B$3, ClosureLocation!$B$6 &gt;= Table4[[#This Row],[StartMP]], ClosureLocation!$B$6 &lt;= Table4[[#This Row],[EndMP]]), "Yes", "")</f>
        <v/>
      </c>
      <c r="Q848" s="1" t="str">
        <f>IF( AND( Table4[[#This Row],[Route]]=ClosureLocation!$B$3, ClosureLocation!$B$6 &lt;= Table4[[#This Row],[StartMP]], ClosureLocation!$B$6 &gt;= Table4[[#This Row],[EndMP]]), "Yes", "")</f>
        <v/>
      </c>
      <c r="R848" s="1" t="str">
        <f>IF( OR( Table4[[#This Row],[PrimaryMatch]]="Yes", Table4[[#This Row],[SecondaryMatch]]="Yes"), "Yes", "")</f>
        <v/>
      </c>
    </row>
    <row r="849" spans="1:18" hidden="1" x14ac:dyDescent="0.25">
      <c r="A849" t="s">
        <v>1493</v>
      </c>
      <c r="B849" t="s">
        <v>3209</v>
      </c>
      <c r="C849" t="s">
        <v>3210</v>
      </c>
      <c r="D849" t="s">
        <v>4262</v>
      </c>
      <c r="E849" s="1">
        <v>253.29499999999999</v>
      </c>
      <c r="F849" s="1">
        <v>250.328</v>
      </c>
      <c r="G849">
        <v>6</v>
      </c>
      <c r="H849">
        <v>16</v>
      </c>
      <c r="I849" t="s">
        <v>3084</v>
      </c>
      <c r="J849" t="s">
        <v>1693</v>
      </c>
      <c r="K849" s="39">
        <v>6.3359079999999999</v>
      </c>
      <c r="L849" s="1">
        <v>2.9641600000000001</v>
      </c>
      <c r="M849" s="1" t="s">
        <v>4268</v>
      </c>
      <c r="N849" s="1">
        <v>746.70500000000004</v>
      </c>
      <c r="O849" s="1">
        <f>ABS(Table4[[#This Row],[EndMP]]-Table4[[#This Row],[StartMP]])</f>
        <v>2.9669999999999845</v>
      </c>
      <c r="P849" s="1" t="str">
        <f>IF( AND( Table4[[#This Row],[Route]]=ClosureLocation!$B$3, ClosureLocation!$B$6 &gt;= Table4[[#This Row],[StartMP]], ClosureLocation!$B$6 &lt;= Table4[[#This Row],[EndMP]]), "Yes", "")</f>
        <v/>
      </c>
      <c r="Q849" s="1" t="str">
        <f>IF( AND( Table4[[#This Row],[Route]]=ClosureLocation!$B$3, ClosureLocation!$B$6 &lt;= Table4[[#This Row],[StartMP]], ClosureLocation!$B$6 &gt;= Table4[[#This Row],[EndMP]]), "Yes", "")</f>
        <v/>
      </c>
      <c r="R849" s="1" t="str">
        <f>IF( OR( Table4[[#This Row],[PrimaryMatch]]="Yes", Table4[[#This Row],[SecondaryMatch]]="Yes"), "Yes", "")</f>
        <v/>
      </c>
    </row>
    <row r="850" spans="1:18" hidden="1" x14ac:dyDescent="0.25">
      <c r="A850" t="s">
        <v>511</v>
      </c>
      <c r="B850" t="s">
        <v>3205</v>
      </c>
      <c r="C850" t="s">
        <v>3206</v>
      </c>
      <c r="D850" t="s">
        <v>3557</v>
      </c>
      <c r="E850" s="1">
        <v>0.379</v>
      </c>
      <c r="F850" s="1">
        <v>7.5709999999999997</v>
      </c>
      <c r="G850">
        <v>1</v>
      </c>
      <c r="H850">
        <v>1</v>
      </c>
      <c r="I850" t="s">
        <v>2354</v>
      </c>
      <c r="J850" t="s">
        <v>1690</v>
      </c>
      <c r="K850" s="39">
        <v>6.2459829999999998</v>
      </c>
      <c r="L850" s="1">
        <v>5.0537989999999997</v>
      </c>
      <c r="M850" s="1" t="s">
        <v>3558</v>
      </c>
      <c r="N850" s="1">
        <v>0.379</v>
      </c>
      <c r="O850" s="1">
        <f>ABS(Table4[[#This Row],[EndMP]]-Table4[[#This Row],[StartMP]])</f>
        <v>7.1920000000000002</v>
      </c>
      <c r="P850" s="1" t="str">
        <f>IF( AND( Table4[[#This Row],[Route]]=ClosureLocation!$B$3, ClosureLocation!$B$6 &gt;= Table4[[#This Row],[StartMP]], ClosureLocation!$B$6 &lt;= Table4[[#This Row],[EndMP]]), "Yes", "")</f>
        <v/>
      </c>
      <c r="Q850" s="1" t="str">
        <f>IF( AND( Table4[[#This Row],[Route]]=ClosureLocation!$B$3, ClosureLocation!$B$6 &lt;= Table4[[#This Row],[StartMP]], ClosureLocation!$B$6 &gt;= Table4[[#This Row],[EndMP]]), "Yes", "")</f>
        <v/>
      </c>
      <c r="R850" s="1" t="str">
        <f>IF( OR( Table4[[#This Row],[PrimaryMatch]]="Yes", Table4[[#This Row],[SecondaryMatch]]="Yes"), "Yes", "")</f>
        <v/>
      </c>
    </row>
    <row r="851" spans="1:18" hidden="1" x14ac:dyDescent="0.25">
      <c r="A851" t="s">
        <v>93</v>
      </c>
      <c r="B851" t="s">
        <v>3205</v>
      </c>
      <c r="C851" t="s">
        <v>3222</v>
      </c>
      <c r="D851" t="s">
        <v>3264</v>
      </c>
      <c r="E851" s="1">
        <v>397.95499999999998</v>
      </c>
      <c r="F851" s="1">
        <v>404.64400000000001</v>
      </c>
      <c r="G851">
        <v>1</v>
      </c>
      <c r="H851">
        <v>3</v>
      </c>
      <c r="I851" t="s">
        <v>2089</v>
      </c>
      <c r="J851" t="s">
        <v>1705</v>
      </c>
      <c r="K851" s="39">
        <v>6.2454679999999998</v>
      </c>
      <c r="L851" s="1">
        <v>8.2349150000000009</v>
      </c>
      <c r="M851" s="1" t="s">
        <v>3265</v>
      </c>
      <c r="N851" s="1">
        <v>397.95499999999998</v>
      </c>
      <c r="O851" s="1">
        <f>ABS(Table4[[#This Row],[EndMP]]-Table4[[#This Row],[StartMP]])</f>
        <v>6.6890000000000214</v>
      </c>
      <c r="P851" s="1" t="str">
        <f>IF( AND( Table4[[#This Row],[Route]]=ClosureLocation!$B$3, ClosureLocation!$B$6 &gt;= Table4[[#This Row],[StartMP]], ClosureLocation!$B$6 &lt;= Table4[[#This Row],[EndMP]]), "Yes", "")</f>
        <v/>
      </c>
      <c r="Q851" s="1" t="str">
        <f>IF( AND( Table4[[#This Row],[Route]]=ClosureLocation!$B$3, ClosureLocation!$B$6 &lt;= Table4[[#This Row],[StartMP]], ClosureLocation!$B$6 &gt;= Table4[[#This Row],[EndMP]]), "Yes", "")</f>
        <v/>
      </c>
      <c r="R851" s="1" t="str">
        <f>IF( OR( Table4[[#This Row],[PrimaryMatch]]="Yes", Table4[[#This Row],[SecondaryMatch]]="Yes"), "Yes", "")</f>
        <v/>
      </c>
    </row>
    <row r="852" spans="1:18" hidden="1" x14ac:dyDescent="0.25">
      <c r="A852" t="s">
        <v>1516</v>
      </c>
      <c r="B852" t="s">
        <v>3205</v>
      </c>
      <c r="C852" t="s">
        <v>3206</v>
      </c>
      <c r="D852" t="s">
        <v>4285</v>
      </c>
      <c r="E852" s="1">
        <v>304.27300000000002</v>
      </c>
      <c r="F852" s="1">
        <v>305.36099999999999</v>
      </c>
      <c r="G852">
        <v>6</v>
      </c>
      <c r="H852">
        <v>4</v>
      </c>
      <c r="I852" t="s">
        <v>3102</v>
      </c>
      <c r="J852" t="s">
        <v>1700</v>
      </c>
      <c r="K852" s="39">
        <v>6.23787</v>
      </c>
      <c r="L852" s="1">
        <v>3.1835330000000002</v>
      </c>
      <c r="M852" s="1" t="s">
        <v>4291</v>
      </c>
      <c r="N852" s="1">
        <v>304.27300000000002</v>
      </c>
      <c r="O852" s="1">
        <f>ABS(Table4[[#This Row],[EndMP]]-Table4[[#This Row],[StartMP]])</f>
        <v>1.0879999999999654</v>
      </c>
      <c r="P852" s="1" t="str">
        <f>IF( AND( Table4[[#This Row],[Route]]=ClosureLocation!$B$3, ClosureLocation!$B$6 &gt;= Table4[[#This Row],[StartMP]], ClosureLocation!$B$6 &lt;= Table4[[#This Row],[EndMP]]), "Yes", "")</f>
        <v/>
      </c>
      <c r="Q852" s="1" t="str">
        <f>IF( AND( Table4[[#This Row],[Route]]=ClosureLocation!$B$3, ClosureLocation!$B$6 &lt;= Table4[[#This Row],[StartMP]], ClosureLocation!$B$6 &gt;= Table4[[#This Row],[EndMP]]), "Yes", "")</f>
        <v/>
      </c>
      <c r="R852" s="1" t="str">
        <f>IF( OR( Table4[[#This Row],[PrimaryMatch]]="Yes", Table4[[#This Row],[SecondaryMatch]]="Yes"), "Yes", "")</f>
        <v/>
      </c>
    </row>
    <row r="853" spans="1:18" hidden="1" x14ac:dyDescent="0.25">
      <c r="A853" t="s">
        <v>1493</v>
      </c>
      <c r="B853" t="s">
        <v>3205</v>
      </c>
      <c r="C853" t="s">
        <v>3206</v>
      </c>
      <c r="D853" t="s">
        <v>4252</v>
      </c>
      <c r="E853" s="1">
        <v>258.25200000000001</v>
      </c>
      <c r="F853" s="1">
        <v>259.20699999999999</v>
      </c>
      <c r="G853">
        <v>8</v>
      </c>
      <c r="H853">
        <v>9</v>
      </c>
      <c r="I853" t="s">
        <v>3077</v>
      </c>
      <c r="J853" t="s">
        <v>1693</v>
      </c>
      <c r="K853" s="39">
        <v>6.2318420000000003</v>
      </c>
      <c r="L853" s="1">
        <v>3.4100950000000001</v>
      </c>
      <c r="M853" s="1" t="s">
        <v>4260</v>
      </c>
      <c r="N853" s="1">
        <v>258.25200000000001</v>
      </c>
      <c r="O853" s="1">
        <f>ABS(Table4[[#This Row],[EndMP]]-Table4[[#This Row],[StartMP]])</f>
        <v>0.95499999999998408</v>
      </c>
      <c r="P853" s="1" t="str">
        <f>IF( AND( Table4[[#This Row],[Route]]=ClosureLocation!$B$3, ClosureLocation!$B$6 &gt;= Table4[[#This Row],[StartMP]], ClosureLocation!$B$6 &lt;= Table4[[#This Row],[EndMP]]), "Yes", "")</f>
        <v/>
      </c>
      <c r="Q853" s="1" t="str">
        <f>IF( AND( Table4[[#This Row],[Route]]=ClosureLocation!$B$3, ClosureLocation!$B$6 &lt;= Table4[[#This Row],[StartMP]], ClosureLocation!$B$6 &gt;= Table4[[#This Row],[EndMP]]), "Yes", "")</f>
        <v/>
      </c>
      <c r="R853" s="1" t="str">
        <f>IF( OR( Table4[[#This Row],[PrimaryMatch]]="Yes", Table4[[#This Row],[SecondaryMatch]]="Yes"), "Yes", "")</f>
        <v/>
      </c>
    </row>
    <row r="854" spans="1:18" hidden="1" x14ac:dyDescent="0.25">
      <c r="A854" t="s">
        <v>1516</v>
      </c>
      <c r="B854" t="s">
        <v>3205</v>
      </c>
      <c r="C854" t="s">
        <v>3206</v>
      </c>
      <c r="D854" t="s">
        <v>4285</v>
      </c>
      <c r="E854" s="1">
        <v>318.32600000000002</v>
      </c>
      <c r="F854" s="1">
        <v>339.12799999999999</v>
      </c>
      <c r="G854">
        <v>10</v>
      </c>
      <c r="H854">
        <v>2</v>
      </c>
      <c r="I854" t="s">
        <v>3106</v>
      </c>
      <c r="J854" t="s">
        <v>1700</v>
      </c>
      <c r="K854" s="39">
        <v>6.21929</v>
      </c>
      <c r="L854" s="1">
        <v>9.9773250000000004</v>
      </c>
      <c r="M854" s="1" t="s">
        <v>4295</v>
      </c>
      <c r="N854" s="1">
        <v>318.32600000000002</v>
      </c>
      <c r="O854" s="1">
        <f>ABS(Table4[[#This Row],[EndMP]]-Table4[[#This Row],[StartMP]])</f>
        <v>20.801999999999964</v>
      </c>
      <c r="P854" s="1" t="str">
        <f>IF( AND( Table4[[#This Row],[Route]]=ClosureLocation!$B$3, ClosureLocation!$B$6 &gt;= Table4[[#This Row],[StartMP]], ClosureLocation!$B$6 &lt;= Table4[[#This Row],[EndMP]]), "Yes", "")</f>
        <v/>
      </c>
      <c r="Q854" s="1" t="str">
        <f>IF( AND( Table4[[#This Row],[Route]]=ClosureLocation!$B$3, ClosureLocation!$B$6 &lt;= Table4[[#This Row],[StartMP]], ClosureLocation!$B$6 &gt;= Table4[[#This Row],[EndMP]]), "Yes", "")</f>
        <v/>
      </c>
      <c r="R854" s="1" t="str">
        <f>IF( OR( Table4[[#This Row],[PrimaryMatch]]="Yes", Table4[[#This Row],[SecondaryMatch]]="Yes"), "Yes", "")</f>
        <v/>
      </c>
    </row>
    <row r="855" spans="1:18" hidden="1" x14ac:dyDescent="0.25">
      <c r="A855" t="s">
        <v>1516</v>
      </c>
      <c r="B855" t="s">
        <v>3209</v>
      </c>
      <c r="C855" t="s">
        <v>3210</v>
      </c>
      <c r="D855" t="s">
        <v>4296</v>
      </c>
      <c r="E855" s="1">
        <v>305.36099999999999</v>
      </c>
      <c r="F855" s="1">
        <v>304.27300000000002</v>
      </c>
      <c r="G855">
        <v>6</v>
      </c>
      <c r="H855">
        <v>5</v>
      </c>
      <c r="I855" t="s">
        <v>3114</v>
      </c>
      <c r="J855" t="s">
        <v>1700</v>
      </c>
      <c r="K855" s="39">
        <v>6.1797339999999998</v>
      </c>
      <c r="L855" s="1">
        <v>3.1835330000000002</v>
      </c>
      <c r="M855" s="1" t="s">
        <v>4301</v>
      </c>
      <c r="N855" s="1">
        <v>694.63900000000001</v>
      </c>
      <c r="O855" s="1">
        <f>ABS(Table4[[#This Row],[EndMP]]-Table4[[#This Row],[StartMP]])</f>
        <v>1.0879999999999654</v>
      </c>
      <c r="P855" s="1" t="str">
        <f>IF( AND( Table4[[#This Row],[Route]]=ClosureLocation!$B$3, ClosureLocation!$B$6 &gt;= Table4[[#This Row],[StartMP]], ClosureLocation!$B$6 &lt;= Table4[[#This Row],[EndMP]]), "Yes", "")</f>
        <v/>
      </c>
      <c r="Q855" s="1" t="str">
        <f>IF( AND( Table4[[#This Row],[Route]]=ClosureLocation!$B$3, ClosureLocation!$B$6 &lt;= Table4[[#This Row],[StartMP]], ClosureLocation!$B$6 &gt;= Table4[[#This Row],[EndMP]]), "Yes", "")</f>
        <v/>
      </c>
      <c r="R855" s="1" t="str">
        <f>IF( OR( Table4[[#This Row],[PrimaryMatch]]="Yes", Table4[[#This Row],[SecondaryMatch]]="Yes"), "Yes", "")</f>
        <v/>
      </c>
    </row>
    <row r="856" spans="1:18" hidden="1" x14ac:dyDescent="0.25">
      <c r="A856" t="s">
        <v>93</v>
      </c>
      <c r="B856" t="s">
        <v>3209</v>
      </c>
      <c r="C856" t="s">
        <v>3226</v>
      </c>
      <c r="D856" t="s">
        <v>3267</v>
      </c>
      <c r="E856" s="1">
        <v>400</v>
      </c>
      <c r="F856" s="1">
        <v>8.8999999999999996E-2</v>
      </c>
      <c r="G856">
        <v>4</v>
      </c>
      <c r="H856">
        <v>2</v>
      </c>
      <c r="I856" t="s">
        <v>2096</v>
      </c>
      <c r="J856" t="s">
        <v>1705</v>
      </c>
      <c r="K856" s="39">
        <v>6.1598879999999996</v>
      </c>
      <c r="L856" s="1">
        <v>7.4326990000000004</v>
      </c>
      <c r="M856" s="1" t="s">
        <v>3269</v>
      </c>
      <c r="N856" s="1">
        <v>600</v>
      </c>
      <c r="O856" s="1">
        <f>ABS(Table4[[#This Row],[EndMP]]-Table4[[#This Row],[StartMP]])</f>
        <v>399.911</v>
      </c>
      <c r="P856" s="1" t="str">
        <f>IF( AND( Table4[[#This Row],[Route]]=ClosureLocation!$B$3, ClosureLocation!$B$6 &gt;= Table4[[#This Row],[StartMP]], ClosureLocation!$B$6 &lt;= Table4[[#This Row],[EndMP]]), "Yes", "")</f>
        <v/>
      </c>
      <c r="Q856" s="1" t="str">
        <f>IF( AND( Table4[[#This Row],[Route]]=ClosureLocation!$B$3, ClosureLocation!$B$6 &lt;= Table4[[#This Row],[StartMP]], ClosureLocation!$B$6 &gt;= Table4[[#This Row],[EndMP]]), "Yes", "")</f>
        <v/>
      </c>
      <c r="R856" s="1" t="str">
        <f>IF( OR( Table4[[#This Row],[PrimaryMatch]]="Yes", Table4[[#This Row],[SecondaryMatch]]="Yes"), "Yes", "")</f>
        <v/>
      </c>
    </row>
    <row r="857" spans="1:18" hidden="1" x14ac:dyDescent="0.25">
      <c r="A857" t="s">
        <v>176</v>
      </c>
      <c r="B857" t="s">
        <v>3205</v>
      </c>
      <c r="C857" t="s">
        <v>3206</v>
      </c>
      <c r="D857" t="s">
        <v>3323</v>
      </c>
      <c r="E857" s="1">
        <v>0</v>
      </c>
      <c r="F857" s="1">
        <v>1.35</v>
      </c>
      <c r="G857">
        <v>1</v>
      </c>
      <c r="H857">
        <v>1</v>
      </c>
      <c r="I857" t="s">
        <v>2133</v>
      </c>
      <c r="J857" t="s">
        <v>1695</v>
      </c>
      <c r="K857" s="39">
        <v>6.1513710000000001</v>
      </c>
      <c r="L857" s="1">
        <v>7.2937820000000002</v>
      </c>
      <c r="M857" s="58" t="s">
        <v>3324</v>
      </c>
      <c r="N857" s="1">
        <v>0</v>
      </c>
      <c r="O857" s="1">
        <f>ABS(Table4[[#This Row],[EndMP]]-Table4[[#This Row],[StartMP]])</f>
        <v>1.35</v>
      </c>
      <c r="P857" s="1" t="str">
        <f>IF( AND( Table4[[#This Row],[Route]]=ClosureLocation!$B$3, ClosureLocation!$B$6 &gt;= Table4[[#This Row],[StartMP]], ClosureLocation!$B$6 &lt;= Table4[[#This Row],[EndMP]]), "Yes", "")</f>
        <v/>
      </c>
      <c r="Q857" s="1" t="str">
        <f>IF( AND( Table4[[#This Row],[Route]]=ClosureLocation!$B$3, ClosureLocation!$B$6 &lt;= Table4[[#This Row],[StartMP]], ClosureLocation!$B$6 &gt;= Table4[[#This Row],[EndMP]]), "Yes", "")</f>
        <v/>
      </c>
      <c r="R857" s="1" t="str">
        <f>IF( OR( Table4[[#This Row],[PrimaryMatch]]="Yes", Table4[[#This Row],[SecondaryMatch]]="Yes"), "Yes", "")</f>
        <v/>
      </c>
    </row>
    <row r="858" spans="1:18" hidden="1" x14ac:dyDescent="0.25">
      <c r="A858" t="s">
        <v>176</v>
      </c>
      <c r="B858" t="s">
        <v>3209</v>
      </c>
      <c r="C858" t="s">
        <v>3210</v>
      </c>
      <c r="D858" t="s">
        <v>3325</v>
      </c>
      <c r="E858" s="1">
        <v>1.35</v>
      </c>
      <c r="F858" s="1">
        <v>0</v>
      </c>
      <c r="G858">
        <v>1</v>
      </c>
      <c r="H858">
        <v>2</v>
      </c>
      <c r="I858" t="s">
        <v>2134</v>
      </c>
      <c r="J858" t="s">
        <v>1695</v>
      </c>
      <c r="K858" s="39">
        <v>6.1513710000000001</v>
      </c>
      <c r="L858" s="1">
        <v>7.2937820000000002</v>
      </c>
      <c r="M858" s="58" t="s">
        <v>3326</v>
      </c>
      <c r="N858" s="1">
        <v>998.65</v>
      </c>
      <c r="O858" s="1">
        <f>ABS(Table4[[#This Row],[EndMP]]-Table4[[#This Row],[StartMP]])</f>
        <v>1.35</v>
      </c>
      <c r="P858" s="1" t="str">
        <f>IF( AND( Table4[[#This Row],[Route]]=ClosureLocation!$B$3, ClosureLocation!$B$6 &gt;= Table4[[#This Row],[StartMP]], ClosureLocation!$B$6 &lt;= Table4[[#This Row],[EndMP]]), "Yes", "")</f>
        <v/>
      </c>
      <c r="Q858" s="1" t="str">
        <f>IF( AND( Table4[[#This Row],[Route]]=ClosureLocation!$B$3, ClosureLocation!$B$6 &lt;= Table4[[#This Row],[StartMP]], ClosureLocation!$B$6 &gt;= Table4[[#This Row],[EndMP]]), "Yes", "")</f>
        <v/>
      </c>
      <c r="R858" s="1" t="str">
        <f>IF( OR( Table4[[#This Row],[PrimaryMatch]]="Yes", Table4[[#This Row],[SecondaryMatch]]="Yes"), "Yes", "")</f>
        <v/>
      </c>
    </row>
    <row r="859" spans="1:18" hidden="1" x14ac:dyDescent="0.25">
      <c r="A859" t="s">
        <v>65</v>
      </c>
      <c r="B859" t="s">
        <v>3209</v>
      </c>
      <c r="C859" t="s">
        <v>3226</v>
      </c>
      <c r="D859" t="s">
        <v>3247</v>
      </c>
      <c r="E859" s="1">
        <v>274.36599999999999</v>
      </c>
      <c r="F859" s="1">
        <v>271.60199999999998</v>
      </c>
      <c r="G859">
        <v>6</v>
      </c>
      <c r="H859">
        <v>12</v>
      </c>
      <c r="I859" t="s">
        <v>2078</v>
      </c>
      <c r="J859" t="s">
        <v>1705</v>
      </c>
      <c r="K859" s="39">
        <v>6.1502689999999998</v>
      </c>
      <c r="L859" s="1">
        <v>3.8980700000000001</v>
      </c>
      <c r="M859" s="1" t="s">
        <v>3253</v>
      </c>
      <c r="N859" s="1">
        <v>725.63400000000001</v>
      </c>
      <c r="O859" s="1">
        <f>ABS(Table4[[#This Row],[EndMP]]-Table4[[#This Row],[StartMP]])</f>
        <v>2.76400000000001</v>
      </c>
      <c r="P859" s="1" t="str">
        <f>IF( AND( Table4[[#This Row],[Route]]=ClosureLocation!$B$3, ClosureLocation!$B$6 &gt;= Table4[[#This Row],[StartMP]], ClosureLocation!$B$6 &lt;= Table4[[#This Row],[EndMP]]), "Yes", "")</f>
        <v/>
      </c>
      <c r="Q859" s="1" t="str">
        <f>IF( AND( Table4[[#This Row],[Route]]=ClosureLocation!$B$3, ClosureLocation!$B$6 &lt;= Table4[[#This Row],[StartMP]], ClosureLocation!$B$6 &gt;= Table4[[#This Row],[EndMP]]), "Yes", "")</f>
        <v/>
      </c>
      <c r="R859" s="1" t="str">
        <f>IF( OR( Table4[[#This Row],[PrimaryMatch]]="Yes", Table4[[#This Row],[SecondaryMatch]]="Yes"), "Yes", "")</f>
        <v/>
      </c>
    </row>
    <row r="860" spans="1:18" hidden="1" x14ac:dyDescent="0.25">
      <c r="A860" t="s">
        <v>310</v>
      </c>
      <c r="B860" t="s">
        <v>3205</v>
      </c>
      <c r="C860" t="s">
        <v>3206</v>
      </c>
      <c r="D860" t="s">
        <v>3427</v>
      </c>
      <c r="E860" s="1">
        <v>204.44499999999999</v>
      </c>
      <c r="F860" s="1">
        <v>212.535</v>
      </c>
      <c r="G860">
        <v>17</v>
      </c>
      <c r="H860">
        <v>6</v>
      </c>
      <c r="I860" t="s">
        <v>2223</v>
      </c>
      <c r="J860" t="s">
        <v>1700</v>
      </c>
      <c r="K860" s="39">
        <v>6.1487040000000004</v>
      </c>
      <c r="L860" s="1">
        <v>-0.32272099999999998</v>
      </c>
      <c r="M860" s="1" t="s">
        <v>3263</v>
      </c>
      <c r="N860" s="1">
        <v>204.44499999999999</v>
      </c>
      <c r="O860" s="1">
        <f>ABS(Table4[[#This Row],[EndMP]]-Table4[[#This Row],[StartMP]])</f>
        <v>8.0900000000000034</v>
      </c>
      <c r="P860" s="1" t="str">
        <f>IF( AND( Table4[[#This Row],[Route]]=ClosureLocation!$B$3, ClosureLocation!$B$6 &gt;= Table4[[#This Row],[StartMP]], ClosureLocation!$B$6 &lt;= Table4[[#This Row],[EndMP]]), "Yes", "")</f>
        <v/>
      </c>
      <c r="Q860" s="1" t="str">
        <f>IF( AND( Table4[[#This Row],[Route]]=ClosureLocation!$B$3, ClosureLocation!$B$6 &lt;= Table4[[#This Row],[StartMP]], ClosureLocation!$B$6 &gt;= Table4[[#This Row],[EndMP]]), "Yes", "")</f>
        <v/>
      </c>
      <c r="R860" s="1" t="str">
        <f>IF( OR( Table4[[#This Row],[PrimaryMatch]]="Yes", Table4[[#This Row],[SecondaryMatch]]="Yes"), "Yes", "")</f>
        <v/>
      </c>
    </row>
    <row r="861" spans="1:18" hidden="1" x14ac:dyDescent="0.25">
      <c r="A861" t="s">
        <v>454</v>
      </c>
      <c r="B861" t="s">
        <v>3205</v>
      </c>
      <c r="C861" t="s">
        <v>3222</v>
      </c>
      <c r="D861" t="s">
        <v>3525</v>
      </c>
      <c r="E861" s="1">
        <v>21.763999999999999</v>
      </c>
      <c r="F861" s="1">
        <v>47.616</v>
      </c>
      <c r="G861">
        <v>2</v>
      </c>
      <c r="H861">
        <v>8</v>
      </c>
      <c r="I861" t="s">
        <v>2332</v>
      </c>
      <c r="J861" t="s">
        <v>1701</v>
      </c>
      <c r="K861" s="39">
        <v>6.1430309999999997</v>
      </c>
      <c r="L861" s="1">
        <v>1.83639</v>
      </c>
      <c r="M861" s="1" t="s">
        <v>3527</v>
      </c>
      <c r="N861" s="1">
        <v>21.763999999999999</v>
      </c>
      <c r="O861" s="1">
        <f>ABS(Table4[[#This Row],[EndMP]]-Table4[[#This Row],[StartMP]])</f>
        <v>25.852</v>
      </c>
      <c r="P861" s="1" t="str">
        <f>IF( AND( Table4[[#This Row],[Route]]=ClosureLocation!$B$3, ClosureLocation!$B$6 &gt;= Table4[[#This Row],[StartMP]], ClosureLocation!$B$6 &lt;= Table4[[#This Row],[EndMP]]), "Yes", "")</f>
        <v/>
      </c>
      <c r="Q861" s="1" t="str">
        <f>IF( AND( Table4[[#This Row],[Route]]=ClosureLocation!$B$3, ClosureLocation!$B$6 &lt;= Table4[[#This Row],[StartMP]], ClosureLocation!$B$6 &gt;= Table4[[#This Row],[EndMP]]), "Yes", "")</f>
        <v/>
      </c>
      <c r="R861" s="1" t="str">
        <f>IF( OR( Table4[[#This Row],[PrimaryMatch]]="Yes", Table4[[#This Row],[SecondaryMatch]]="Yes"), "Yes", "")</f>
        <v/>
      </c>
    </row>
    <row r="862" spans="1:18" hidden="1" x14ac:dyDescent="0.25">
      <c r="A862" t="s">
        <v>1253</v>
      </c>
      <c r="B862" t="s">
        <v>3205</v>
      </c>
      <c r="C862" t="s">
        <v>3206</v>
      </c>
      <c r="D862" t="s">
        <v>4093</v>
      </c>
      <c r="E862" s="1">
        <v>0.107</v>
      </c>
      <c r="F862" s="1">
        <v>1.2529999999999999</v>
      </c>
      <c r="G862">
        <v>1</v>
      </c>
      <c r="H862">
        <v>1</v>
      </c>
      <c r="I862" t="s">
        <v>2941</v>
      </c>
      <c r="J862" t="s">
        <v>1692</v>
      </c>
      <c r="K862" s="39">
        <v>6.139227</v>
      </c>
      <c r="L862" s="1">
        <v>6.6076779999999999</v>
      </c>
      <c r="M862" s="1" t="s">
        <v>4094</v>
      </c>
      <c r="N862" s="1">
        <v>0.107</v>
      </c>
      <c r="O862" s="1">
        <f>ABS(Table4[[#This Row],[EndMP]]-Table4[[#This Row],[StartMP]])</f>
        <v>1.1459999999999999</v>
      </c>
      <c r="P862" s="1" t="str">
        <f>IF( AND( Table4[[#This Row],[Route]]=ClosureLocation!$B$3, ClosureLocation!$B$6 &gt;= Table4[[#This Row],[StartMP]], ClosureLocation!$B$6 &lt;= Table4[[#This Row],[EndMP]]), "Yes", "")</f>
        <v/>
      </c>
      <c r="Q862" s="1" t="str">
        <f>IF( AND( Table4[[#This Row],[Route]]=ClosureLocation!$B$3, ClosureLocation!$B$6 &lt;= Table4[[#This Row],[StartMP]], ClosureLocation!$B$6 &gt;= Table4[[#This Row],[EndMP]]), "Yes", "")</f>
        <v/>
      </c>
      <c r="R862" s="1" t="str">
        <f>IF( OR( Table4[[#This Row],[PrimaryMatch]]="Yes", Table4[[#This Row],[SecondaryMatch]]="Yes"), "Yes", "")</f>
        <v/>
      </c>
    </row>
    <row r="863" spans="1:18" hidden="1" x14ac:dyDescent="0.25">
      <c r="A863" t="s">
        <v>966</v>
      </c>
      <c r="B863" t="s">
        <v>3205</v>
      </c>
      <c r="C863" t="s">
        <v>3206</v>
      </c>
      <c r="D863" t="s">
        <v>3861</v>
      </c>
      <c r="E863" s="1">
        <v>62.305999999999997</v>
      </c>
      <c r="F863" s="1">
        <v>70.248000000000005</v>
      </c>
      <c r="G863">
        <v>3</v>
      </c>
      <c r="H863">
        <v>3</v>
      </c>
      <c r="I863" t="s">
        <v>2761</v>
      </c>
      <c r="J863" t="s">
        <v>1700</v>
      </c>
      <c r="K863" s="39">
        <v>6.1377689999999996</v>
      </c>
      <c r="L863" s="1">
        <v>6.6927450000000004</v>
      </c>
      <c r="M863" s="1" t="s">
        <v>3864</v>
      </c>
      <c r="N863" s="1">
        <v>62.305999999999997</v>
      </c>
      <c r="O863" s="1">
        <f>ABS(Table4[[#This Row],[EndMP]]-Table4[[#This Row],[StartMP]])</f>
        <v>7.9420000000000073</v>
      </c>
      <c r="P863" s="1" t="str">
        <f>IF( AND( Table4[[#This Row],[Route]]=ClosureLocation!$B$3, ClosureLocation!$B$6 &gt;= Table4[[#This Row],[StartMP]], ClosureLocation!$B$6 &lt;= Table4[[#This Row],[EndMP]]), "Yes", "")</f>
        <v/>
      </c>
      <c r="Q863" s="1" t="str">
        <f>IF( AND( Table4[[#This Row],[Route]]=ClosureLocation!$B$3, ClosureLocation!$B$6 &lt;= Table4[[#This Row],[StartMP]], ClosureLocation!$B$6 &gt;= Table4[[#This Row],[EndMP]]), "Yes", "")</f>
        <v/>
      </c>
      <c r="R863" s="1" t="str">
        <f>IF( OR( Table4[[#This Row],[PrimaryMatch]]="Yes", Table4[[#This Row],[SecondaryMatch]]="Yes"), "Yes", "")</f>
        <v/>
      </c>
    </row>
    <row r="864" spans="1:18" hidden="1" x14ac:dyDescent="0.25">
      <c r="A864" t="s">
        <v>238</v>
      </c>
      <c r="B864" t="s">
        <v>3205</v>
      </c>
      <c r="C864" t="s">
        <v>3206</v>
      </c>
      <c r="D864" t="s">
        <v>3381</v>
      </c>
      <c r="E864" s="1">
        <v>131.81299999999999</v>
      </c>
      <c r="F864" s="1">
        <v>139.58199999999999</v>
      </c>
      <c r="G864">
        <v>1</v>
      </c>
      <c r="H864">
        <v>1</v>
      </c>
      <c r="I864" t="s">
        <v>2171</v>
      </c>
      <c r="J864" t="s">
        <v>1690</v>
      </c>
      <c r="K864" s="39">
        <v>6.13706</v>
      </c>
      <c r="L864" s="1">
        <v>6.4099310000000003</v>
      </c>
      <c r="M864" s="1" t="s">
        <v>3382</v>
      </c>
      <c r="N864" s="1">
        <v>131.81299999999999</v>
      </c>
      <c r="O864" s="1">
        <f>ABS(Table4[[#This Row],[EndMP]]-Table4[[#This Row],[StartMP]])</f>
        <v>7.7690000000000055</v>
      </c>
      <c r="P864" s="1" t="str">
        <f>IF( AND( Table4[[#This Row],[Route]]=ClosureLocation!$B$3, ClosureLocation!$B$6 &gt;= Table4[[#This Row],[StartMP]], ClosureLocation!$B$6 &lt;= Table4[[#This Row],[EndMP]]), "Yes", "")</f>
        <v/>
      </c>
      <c r="Q864" s="1" t="str">
        <f>IF( AND( Table4[[#This Row],[Route]]=ClosureLocation!$B$3, ClosureLocation!$B$6 &lt;= Table4[[#This Row],[StartMP]], ClosureLocation!$B$6 &gt;= Table4[[#This Row],[EndMP]]), "Yes", "")</f>
        <v/>
      </c>
      <c r="R864" s="1" t="str">
        <f>IF( OR( Table4[[#This Row],[PrimaryMatch]]="Yes", Table4[[#This Row],[SecondaryMatch]]="Yes"), "Yes", "")</f>
        <v/>
      </c>
    </row>
    <row r="865" spans="1:18" hidden="1" x14ac:dyDescent="0.25">
      <c r="A865" t="s">
        <v>511</v>
      </c>
      <c r="B865" t="s">
        <v>3209</v>
      </c>
      <c r="C865" t="s">
        <v>3210</v>
      </c>
      <c r="D865" t="s">
        <v>3559</v>
      </c>
      <c r="E865" s="1">
        <v>7.5709999999999997</v>
      </c>
      <c r="F865" s="1">
        <v>0.379</v>
      </c>
      <c r="G865">
        <v>1</v>
      </c>
      <c r="H865">
        <v>2</v>
      </c>
      <c r="I865" t="s">
        <v>2355</v>
      </c>
      <c r="J865" t="s">
        <v>1690</v>
      </c>
      <c r="K865" s="39">
        <v>6.1245289999999999</v>
      </c>
      <c r="L865" s="1">
        <v>4.9855850000000004</v>
      </c>
      <c r="M865" s="1" t="s">
        <v>3560</v>
      </c>
      <c r="N865" s="1">
        <v>992.42899999999997</v>
      </c>
      <c r="O865" s="1">
        <f>ABS(Table4[[#This Row],[EndMP]]-Table4[[#This Row],[StartMP]])</f>
        <v>7.1920000000000002</v>
      </c>
      <c r="P865" s="1" t="str">
        <f>IF( AND( Table4[[#This Row],[Route]]=ClosureLocation!$B$3, ClosureLocation!$B$6 &gt;= Table4[[#This Row],[StartMP]], ClosureLocation!$B$6 &lt;= Table4[[#This Row],[EndMP]]), "Yes", "")</f>
        <v/>
      </c>
      <c r="Q865" s="1" t="str">
        <f>IF( AND( Table4[[#This Row],[Route]]=ClosureLocation!$B$3, ClosureLocation!$B$6 &lt;= Table4[[#This Row],[StartMP]], ClosureLocation!$B$6 &gt;= Table4[[#This Row],[EndMP]]), "Yes", "")</f>
        <v/>
      </c>
      <c r="R865" s="1" t="str">
        <f>IF( OR( Table4[[#This Row],[PrimaryMatch]]="Yes", Table4[[#This Row],[SecondaryMatch]]="Yes"), "Yes", "")</f>
        <v/>
      </c>
    </row>
    <row r="866" spans="1:18" hidden="1" x14ac:dyDescent="0.25">
      <c r="A866" t="s">
        <v>310</v>
      </c>
      <c r="B866" t="s">
        <v>3205</v>
      </c>
      <c r="C866" t="s">
        <v>3206</v>
      </c>
      <c r="D866" t="s">
        <v>3427</v>
      </c>
      <c r="E866" s="1">
        <v>208.30500000000001</v>
      </c>
      <c r="F866" s="1">
        <v>209.09299999999999</v>
      </c>
      <c r="G866">
        <v>18</v>
      </c>
      <c r="H866">
        <v>7</v>
      </c>
      <c r="I866" t="s">
        <v>2224</v>
      </c>
      <c r="J866" t="s">
        <v>1700</v>
      </c>
      <c r="K866" s="39">
        <v>6.0979900000000002</v>
      </c>
      <c r="L866" s="1">
        <v>1.89873</v>
      </c>
      <c r="M866" s="1" t="s">
        <v>3434</v>
      </c>
      <c r="N866" s="1">
        <v>208.30500000000001</v>
      </c>
      <c r="O866" s="1">
        <f>ABS(Table4[[#This Row],[EndMP]]-Table4[[#This Row],[StartMP]])</f>
        <v>0.78799999999998249</v>
      </c>
      <c r="P866" s="1" t="str">
        <f>IF( AND( Table4[[#This Row],[Route]]=ClosureLocation!$B$3, ClosureLocation!$B$6 &gt;= Table4[[#This Row],[StartMP]], ClosureLocation!$B$6 &lt;= Table4[[#This Row],[EndMP]]), "Yes", "")</f>
        <v/>
      </c>
      <c r="Q866" s="1" t="str">
        <f>IF( AND( Table4[[#This Row],[Route]]=ClosureLocation!$B$3, ClosureLocation!$B$6 &lt;= Table4[[#This Row],[StartMP]], ClosureLocation!$B$6 &gt;= Table4[[#This Row],[EndMP]]), "Yes", "")</f>
        <v/>
      </c>
      <c r="R866" s="1" t="str">
        <f>IF( OR( Table4[[#This Row],[PrimaryMatch]]="Yes", Table4[[#This Row],[SecondaryMatch]]="Yes"), "Yes", "")</f>
        <v/>
      </c>
    </row>
    <row r="867" spans="1:18" hidden="1" x14ac:dyDescent="0.25">
      <c r="A867" t="s">
        <v>1253</v>
      </c>
      <c r="B867" t="s">
        <v>3209</v>
      </c>
      <c r="C867" t="s">
        <v>3210</v>
      </c>
      <c r="D867" t="s">
        <v>4096</v>
      </c>
      <c r="E867" s="1">
        <v>1.2529999999999999</v>
      </c>
      <c r="F867" s="1">
        <v>0.107</v>
      </c>
      <c r="G867">
        <v>2</v>
      </c>
      <c r="H867">
        <v>4</v>
      </c>
      <c r="I867" t="s">
        <v>2944</v>
      </c>
      <c r="J867" t="s">
        <v>1692</v>
      </c>
      <c r="K867" s="39">
        <v>6.0782780000000001</v>
      </c>
      <c r="L867" s="1">
        <v>6.6084990000000001</v>
      </c>
      <c r="M867" s="1" t="s">
        <v>4098</v>
      </c>
      <c r="N867" s="1">
        <v>998.74699999999996</v>
      </c>
      <c r="O867" s="1">
        <f>ABS(Table4[[#This Row],[EndMP]]-Table4[[#This Row],[StartMP]])</f>
        <v>1.1459999999999999</v>
      </c>
      <c r="P867" s="1" t="str">
        <f>IF( AND( Table4[[#This Row],[Route]]=ClosureLocation!$B$3, ClosureLocation!$B$6 &gt;= Table4[[#This Row],[StartMP]], ClosureLocation!$B$6 &lt;= Table4[[#This Row],[EndMP]]), "Yes", "")</f>
        <v/>
      </c>
      <c r="Q867" s="1" t="str">
        <f>IF( AND( Table4[[#This Row],[Route]]=ClosureLocation!$B$3, ClosureLocation!$B$6 &lt;= Table4[[#This Row],[StartMP]], ClosureLocation!$B$6 &gt;= Table4[[#This Row],[EndMP]]), "Yes", "")</f>
        <v/>
      </c>
      <c r="R867" s="1" t="str">
        <f>IF( OR( Table4[[#This Row],[PrimaryMatch]]="Yes", Table4[[#This Row],[SecondaryMatch]]="Yes"), "Yes", "")</f>
        <v/>
      </c>
    </row>
    <row r="868" spans="1:18" hidden="1" x14ac:dyDescent="0.25">
      <c r="A868" t="s">
        <v>377</v>
      </c>
      <c r="B868" t="s">
        <v>3209</v>
      </c>
      <c r="C868" t="s">
        <v>3210</v>
      </c>
      <c r="D868" t="s">
        <v>3465</v>
      </c>
      <c r="E868" s="1">
        <v>3.8580000000000001</v>
      </c>
      <c r="F868" s="1">
        <v>3.6429999999999998</v>
      </c>
      <c r="G868">
        <v>1</v>
      </c>
      <c r="H868">
        <v>2</v>
      </c>
      <c r="I868" t="s">
        <v>2278</v>
      </c>
      <c r="J868" t="s">
        <v>1705</v>
      </c>
      <c r="K868" s="39">
        <v>6.0570950000000003</v>
      </c>
      <c r="L868" s="1">
        <v>5.2729759999999999</v>
      </c>
      <c r="M868" s="1" t="s">
        <v>3466</v>
      </c>
      <c r="N868" s="1">
        <v>996.14200000000005</v>
      </c>
      <c r="O868" s="1">
        <f>ABS(Table4[[#This Row],[EndMP]]-Table4[[#This Row],[StartMP]])</f>
        <v>0.2150000000000003</v>
      </c>
      <c r="P868" s="1" t="str">
        <f>IF( AND( Table4[[#This Row],[Route]]=ClosureLocation!$B$3, ClosureLocation!$B$6 &gt;= Table4[[#This Row],[StartMP]], ClosureLocation!$B$6 &lt;= Table4[[#This Row],[EndMP]]), "Yes", "")</f>
        <v/>
      </c>
      <c r="Q868" s="1" t="str">
        <f>IF( AND( Table4[[#This Row],[Route]]=ClosureLocation!$B$3, ClosureLocation!$B$6 &lt;= Table4[[#This Row],[StartMP]], ClosureLocation!$B$6 &gt;= Table4[[#This Row],[EndMP]]), "Yes", "")</f>
        <v/>
      </c>
      <c r="R868" s="1" t="str">
        <f>IF( OR( Table4[[#This Row],[PrimaryMatch]]="Yes", Table4[[#This Row],[SecondaryMatch]]="Yes"), "Yes", "")</f>
        <v/>
      </c>
    </row>
    <row r="869" spans="1:18" hidden="1" x14ac:dyDescent="0.25">
      <c r="A869" t="s">
        <v>377</v>
      </c>
      <c r="B869" t="s">
        <v>3205</v>
      </c>
      <c r="C869" t="s">
        <v>3206</v>
      </c>
      <c r="D869" t="s">
        <v>3462</v>
      </c>
      <c r="E869" s="1">
        <v>3.6429999999999998</v>
      </c>
      <c r="F869" s="1">
        <v>3.8580000000000001</v>
      </c>
      <c r="G869">
        <v>3</v>
      </c>
      <c r="H869">
        <v>1</v>
      </c>
      <c r="I869" t="s">
        <v>2277</v>
      </c>
      <c r="J869" t="s">
        <v>1705</v>
      </c>
      <c r="K869" s="39">
        <v>6.0512040000000002</v>
      </c>
      <c r="L869" s="1">
        <v>5.3593479999999998</v>
      </c>
      <c r="M869" s="1" t="s">
        <v>3464</v>
      </c>
      <c r="N869" s="1">
        <v>3.6429999999999998</v>
      </c>
      <c r="O869" s="1">
        <f>ABS(Table4[[#This Row],[EndMP]]-Table4[[#This Row],[StartMP]])</f>
        <v>0.2150000000000003</v>
      </c>
      <c r="P869" s="1" t="str">
        <f>IF( AND( Table4[[#This Row],[Route]]=ClosureLocation!$B$3, ClosureLocation!$B$6 &gt;= Table4[[#This Row],[StartMP]], ClosureLocation!$B$6 &lt;= Table4[[#This Row],[EndMP]]), "Yes", "")</f>
        <v/>
      </c>
      <c r="Q869" s="1" t="str">
        <f>IF( AND( Table4[[#This Row],[Route]]=ClosureLocation!$B$3, ClosureLocation!$B$6 &lt;= Table4[[#This Row],[StartMP]], ClosureLocation!$B$6 &gt;= Table4[[#This Row],[EndMP]]), "Yes", "")</f>
        <v/>
      </c>
      <c r="R869" s="1" t="str">
        <f>IF( OR( Table4[[#This Row],[PrimaryMatch]]="Yes", Table4[[#This Row],[SecondaryMatch]]="Yes"), "Yes", "")</f>
        <v/>
      </c>
    </row>
    <row r="870" spans="1:18" hidden="1" x14ac:dyDescent="0.25">
      <c r="A870" t="s">
        <v>1643</v>
      </c>
      <c r="B870" t="s">
        <v>3209</v>
      </c>
      <c r="C870" t="s">
        <v>3226</v>
      </c>
      <c r="D870" t="s">
        <v>4395</v>
      </c>
      <c r="E870" s="1">
        <v>4.1790000000000003</v>
      </c>
      <c r="F870" s="1">
        <v>0</v>
      </c>
      <c r="G870">
        <v>1</v>
      </c>
      <c r="H870">
        <v>2</v>
      </c>
      <c r="I870" t="s">
        <v>3178</v>
      </c>
      <c r="J870" t="s">
        <v>1691</v>
      </c>
      <c r="K870" s="39">
        <v>6.0143129999999996</v>
      </c>
      <c r="L870" s="1">
        <v>4.1695229999999999</v>
      </c>
      <c r="M870" s="1" t="s">
        <v>4396</v>
      </c>
      <c r="N870" s="1">
        <v>995.82100000000003</v>
      </c>
      <c r="O870" s="1">
        <f>ABS(Table4[[#This Row],[EndMP]]-Table4[[#This Row],[StartMP]])</f>
        <v>4.1790000000000003</v>
      </c>
      <c r="P870" s="1" t="str">
        <f>IF( AND( Table4[[#This Row],[Route]]=ClosureLocation!$B$3, ClosureLocation!$B$6 &gt;= Table4[[#This Row],[StartMP]], ClosureLocation!$B$6 &lt;= Table4[[#This Row],[EndMP]]), "Yes", "")</f>
        <v/>
      </c>
      <c r="Q870" s="1" t="str">
        <f>IF( AND( Table4[[#This Row],[Route]]=ClosureLocation!$B$3, ClosureLocation!$B$6 &lt;= Table4[[#This Row],[StartMP]], ClosureLocation!$B$6 &gt;= Table4[[#This Row],[EndMP]]), "Yes", "")</f>
        <v/>
      </c>
      <c r="R870" s="1" t="str">
        <f>IF( OR( Table4[[#This Row],[PrimaryMatch]]="Yes", Table4[[#This Row],[SecondaryMatch]]="Yes"), "Yes", "")</f>
        <v/>
      </c>
    </row>
    <row r="871" spans="1:18" hidden="1" x14ac:dyDescent="0.25">
      <c r="A871" t="s">
        <v>1462</v>
      </c>
      <c r="B871" t="s">
        <v>3209</v>
      </c>
      <c r="C871" t="s">
        <v>3226</v>
      </c>
      <c r="D871" t="s">
        <v>4227</v>
      </c>
      <c r="E871" s="1">
        <v>11.516</v>
      </c>
      <c r="F871" s="1">
        <v>0.06</v>
      </c>
      <c r="G871">
        <v>1</v>
      </c>
      <c r="H871">
        <v>3</v>
      </c>
      <c r="I871" t="s">
        <v>3035</v>
      </c>
      <c r="J871" t="s">
        <v>1691</v>
      </c>
      <c r="K871" s="39">
        <v>6.01431</v>
      </c>
      <c r="L871" s="1">
        <v>6.8799390000000002</v>
      </c>
      <c r="M871" s="1" t="s">
        <v>4228</v>
      </c>
      <c r="N871" s="1">
        <v>988.48400000000004</v>
      </c>
      <c r="O871" s="1">
        <f>ABS(Table4[[#This Row],[EndMP]]-Table4[[#This Row],[StartMP]])</f>
        <v>11.456</v>
      </c>
      <c r="P871" s="1" t="str">
        <f>IF( AND( Table4[[#This Row],[Route]]=ClosureLocation!$B$3, ClosureLocation!$B$6 &gt;= Table4[[#This Row],[StartMP]], ClosureLocation!$B$6 &lt;= Table4[[#This Row],[EndMP]]), "Yes", "")</f>
        <v/>
      </c>
      <c r="Q871" s="1" t="str">
        <f>IF( AND( Table4[[#This Row],[Route]]=ClosureLocation!$B$3, ClosureLocation!$B$6 &lt;= Table4[[#This Row],[StartMP]], ClosureLocation!$B$6 &gt;= Table4[[#This Row],[EndMP]]), "Yes", "")</f>
        <v/>
      </c>
      <c r="R871" s="1" t="str">
        <f>IF( OR( Table4[[#This Row],[PrimaryMatch]]="Yes", Table4[[#This Row],[SecondaryMatch]]="Yes"), "Yes", "")</f>
        <v/>
      </c>
    </row>
    <row r="872" spans="1:18" hidden="1" x14ac:dyDescent="0.25">
      <c r="A872" t="s">
        <v>454</v>
      </c>
      <c r="B872" t="s">
        <v>3209</v>
      </c>
      <c r="C872" t="s">
        <v>3226</v>
      </c>
      <c r="D872" t="s">
        <v>3532</v>
      </c>
      <c r="E872" s="1">
        <v>47.896999999999998</v>
      </c>
      <c r="F872" s="1">
        <v>21.763999999999999</v>
      </c>
      <c r="G872">
        <v>6</v>
      </c>
      <c r="H872">
        <v>2</v>
      </c>
      <c r="I872" t="s">
        <v>2336</v>
      </c>
      <c r="J872" t="s">
        <v>1701</v>
      </c>
      <c r="K872" s="39">
        <v>6.0020049999999996</v>
      </c>
      <c r="L872" s="1">
        <v>1.5881130000000001</v>
      </c>
      <c r="M872" s="1" t="s">
        <v>3535</v>
      </c>
      <c r="N872" s="1">
        <v>952.10299999999995</v>
      </c>
      <c r="O872" s="1">
        <f>ABS(Table4[[#This Row],[EndMP]]-Table4[[#This Row],[StartMP]])</f>
        <v>26.132999999999999</v>
      </c>
      <c r="P872" s="1" t="str">
        <f>IF( AND( Table4[[#This Row],[Route]]=ClosureLocation!$B$3, ClosureLocation!$B$6 &gt;= Table4[[#This Row],[StartMP]], ClosureLocation!$B$6 &lt;= Table4[[#This Row],[EndMP]]), "Yes", "")</f>
        <v/>
      </c>
      <c r="Q872" s="1" t="str">
        <f>IF( AND( Table4[[#This Row],[Route]]=ClosureLocation!$B$3, ClosureLocation!$B$6 &lt;= Table4[[#This Row],[StartMP]], ClosureLocation!$B$6 &gt;= Table4[[#This Row],[EndMP]]), "Yes", "")</f>
        <v/>
      </c>
      <c r="R872" s="1" t="str">
        <f>IF( OR( Table4[[#This Row],[PrimaryMatch]]="Yes", Table4[[#This Row],[SecondaryMatch]]="Yes"), "Yes", "")</f>
        <v/>
      </c>
    </row>
    <row r="873" spans="1:18" hidden="1" x14ac:dyDescent="0.25">
      <c r="A873" t="s">
        <v>776</v>
      </c>
      <c r="B873" t="s">
        <v>3205</v>
      </c>
      <c r="C873" t="s">
        <v>3222</v>
      </c>
      <c r="D873" t="s">
        <v>3748</v>
      </c>
      <c r="E873" s="1">
        <v>169.17699999999999</v>
      </c>
      <c r="F873" s="1">
        <v>170.96</v>
      </c>
      <c r="G873">
        <v>20</v>
      </c>
      <c r="H873">
        <v>20</v>
      </c>
      <c r="I873" t="s">
        <v>2565</v>
      </c>
      <c r="J873" t="s">
        <v>1694</v>
      </c>
      <c r="K873" s="39">
        <v>5.9810829999999999</v>
      </c>
      <c r="L873" s="1">
        <v>0.59852300000000003</v>
      </c>
      <c r="M873" s="1" t="s">
        <v>4468</v>
      </c>
      <c r="N873" s="1">
        <v>169.17699999999999</v>
      </c>
      <c r="O873" s="1">
        <f>ABS(Table4[[#This Row],[EndMP]]-Table4[[#This Row],[StartMP]])</f>
        <v>1.7830000000000155</v>
      </c>
      <c r="P873" s="1" t="str">
        <f>IF( AND( Table4[[#This Row],[Route]]=ClosureLocation!$B$3, ClosureLocation!$B$6 &gt;= Table4[[#This Row],[StartMP]], ClosureLocation!$B$6 &lt;= Table4[[#This Row],[EndMP]]), "Yes", "")</f>
        <v/>
      </c>
      <c r="Q873" s="1" t="str">
        <f>IF( AND( Table4[[#This Row],[Route]]=ClosureLocation!$B$3, ClosureLocation!$B$6 &lt;= Table4[[#This Row],[StartMP]], ClosureLocation!$B$6 &gt;= Table4[[#This Row],[EndMP]]), "Yes", "")</f>
        <v/>
      </c>
      <c r="R873" s="1" t="str">
        <f>IF( OR( Table4[[#This Row],[PrimaryMatch]]="Yes", Table4[[#This Row],[SecondaryMatch]]="Yes"), "Yes", "")</f>
        <v/>
      </c>
    </row>
    <row r="874" spans="1:18" hidden="1" x14ac:dyDescent="0.25">
      <c r="A874" t="s">
        <v>65</v>
      </c>
      <c r="B874" t="s">
        <v>3209</v>
      </c>
      <c r="C874" t="s">
        <v>3226</v>
      </c>
      <c r="D874" t="s">
        <v>3247</v>
      </c>
      <c r="E874" s="1">
        <v>283.76100000000002</v>
      </c>
      <c r="F874" s="1">
        <v>282.58199999999999</v>
      </c>
      <c r="G874">
        <v>1</v>
      </c>
      <c r="H874">
        <v>7</v>
      </c>
      <c r="I874" t="s">
        <v>2073</v>
      </c>
      <c r="J874" t="s">
        <v>1705</v>
      </c>
      <c r="K874" s="39">
        <v>5.9729109999999999</v>
      </c>
      <c r="L874" s="1">
        <v>1.973603</v>
      </c>
      <c r="M874" s="1" t="s">
        <v>3248</v>
      </c>
      <c r="N874" s="1">
        <v>716.23900000000003</v>
      </c>
      <c r="O874" s="1">
        <f>ABS(Table4[[#This Row],[EndMP]]-Table4[[#This Row],[StartMP]])</f>
        <v>1.1790000000000305</v>
      </c>
      <c r="P874" s="1" t="str">
        <f>IF( AND( Table4[[#This Row],[Route]]=ClosureLocation!$B$3, ClosureLocation!$B$6 &gt;= Table4[[#This Row],[StartMP]], ClosureLocation!$B$6 &lt;= Table4[[#This Row],[EndMP]]), "Yes", "")</f>
        <v/>
      </c>
      <c r="Q874" s="1" t="str">
        <f>IF( AND( Table4[[#This Row],[Route]]=ClosureLocation!$B$3, ClosureLocation!$B$6 &lt;= Table4[[#This Row],[StartMP]], ClosureLocation!$B$6 &gt;= Table4[[#This Row],[EndMP]]), "Yes", "")</f>
        <v/>
      </c>
      <c r="R874" s="1" t="str">
        <f>IF( OR( Table4[[#This Row],[PrimaryMatch]]="Yes", Table4[[#This Row],[SecondaryMatch]]="Yes"), "Yes", "")</f>
        <v/>
      </c>
    </row>
    <row r="875" spans="1:18" hidden="1" x14ac:dyDescent="0.25">
      <c r="A875" t="s">
        <v>1167</v>
      </c>
      <c r="B875" t="s">
        <v>3209</v>
      </c>
      <c r="C875" t="s">
        <v>3226</v>
      </c>
      <c r="D875" t="s">
        <v>4029</v>
      </c>
      <c r="E875" s="1">
        <v>44.859000000000002</v>
      </c>
      <c r="F875" s="1">
        <v>44.237000000000002</v>
      </c>
      <c r="G875">
        <v>4</v>
      </c>
      <c r="H875">
        <v>8</v>
      </c>
      <c r="I875" t="s">
        <v>2891</v>
      </c>
      <c r="J875" t="s">
        <v>1689</v>
      </c>
      <c r="K875" s="39">
        <v>5.972461</v>
      </c>
      <c r="L875" s="1">
        <v>3.4304540000000001</v>
      </c>
      <c r="M875" s="1" t="s">
        <v>4033</v>
      </c>
      <c r="N875" s="1">
        <v>955.14099999999996</v>
      </c>
      <c r="O875" s="1">
        <f>ABS(Table4[[#This Row],[EndMP]]-Table4[[#This Row],[StartMP]])</f>
        <v>0.62199999999999989</v>
      </c>
      <c r="P875" s="1" t="str">
        <f>IF( AND( Table4[[#This Row],[Route]]=ClosureLocation!$B$3, ClosureLocation!$B$6 &gt;= Table4[[#This Row],[StartMP]], ClosureLocation!$B$6 &lt;= Table4[[#This Row],[EndMP]]), "Yes", "")</f>
        <v/>
      </c>
      <c r="Q875" s="1" t="str">
        <f>IF( AND( Table4[[#This Row],[Route]]=ClosureLocation!$B$3, ClosureLocation!$B$6 &lt;= Table4[[#This Row],[StartMP]], ClosureLocation!$B$6 &gt;= Table4[[#This Row],[EndMP]]), "Yes", "")</f>
        <v/>
      </c>
      <c r="R875" s="1" t="str">
        <f>IF( OR( Table4[[#This Row],[PrimaryMatch]]="Yes", Table4[[#This Row],[SecondaryMatch]]="Yes"), "Yes", "")</f>
        <v/>
      </c>
    </row>
    <row r="876" spans="1:18" hidden="1" x14ac:dyDescent="0.25">
      <c r="A876" t="s">
        <v>289</v>
      </c>
      <c r="B876" t="s">
        <v>3205</v>
      </c>
      <c r="C876" t="s">
        <v>3222</v>
      </c>
      <c r="D876" t="s">
        <v>3407</v>
      </c>
      <c r="E876" s="1">
        <v>0</v>
      </c>
      <c r="F876" s="1">
        <v>0.42799999999999999</v>
      </c>
      <c r="G876">
        <v>1</v>
      </c>
      <c r="H876">
        <v>1</v>
      </c>
      <c r="I876" t="s">
        <v>2191</v>
      </c>
      <c r="J876" t="s">
        <v>1690</v>
      </c>
      <c r="K876" s="39">
        <v>5.8707159999999998</v>
      </c>
      <c r="L876" s="1">
        <v>4.2811409999999999</v>
      </c>
      <c r="M876" s="1" t="s">
        <v>3408</v>
      </c>
      <c r="N876" s="1">
        <v>0</v>
      </c>
      <c r="O876" s="1">
        <f>ABS(Table4[[#This Row],[EndMP]]-Table4[[#This Row],[StartMP]])</f>
        <v>0.42799999999999999</v>
      </c>
      <c r="P876" s="1" t="str">
        <f>IF( AND( Table4[[#This Row],[Route]]=ClosureLocation!$B$3, ClosureLocation!$B$6 &gt;= Table4[[#This Row],[StartMP]], ClosureLocation!$B$6 &lt;= Table4[[#This Row],[EndMP]]), "Yes", "")</f>
        <v/>
      </c>
      <c r="Q876" s="1" t="str">
        <f>IF( AND( Table4[[#This Row],[Route]]=ClosureLocation!$B$3, ClosureLocation!$B$6 &lt;= Table4[[#This Row],[StartMP]], ClosureLocation!$B$6 &gt;= Table4[[#This Row],[EndMP]]), "Yes", "")</f>
        <v/>
      </c>
      <c r="R876" s="1" t="str">
        <f>IF( OR( Table4[[#This Row],[PrimaryMatch]]="Yes", Table4[[#This Row],[SecondaryMatch]]="Yes"), "Yes", "")</f>
        <v/>
      </c>
    </row>
    <row r="877" spans="1:18" hidden="1" x14ac:dyDescent="0.25">
      <c r="A877" t="s">
        <v>65</v>
      </c>
      <c r="B877" t="s">
        <v>3205</v>
      </c>
      <c r="C877" t="s">
        <v>3222</v>
      </c>
      <c r="D877" t="s">
        <v>3238</v>
      </c>
      <c r="E877" s="1">
        <v>271.60199999999998</v>
      </c>
      <c r="F877" s="1">
        <v>274.36599999999999</v>
      </c>
      <c r="G877">
        <v>4</v>
      </c>
      <c r="H877">
        <v>1</v>
      </c>
      <c r="I877" t="s">
        <v>2067</v>
      </c>
      <c r="J877" t="s">
        <v>1705</v>
      </c>
      <c r="K877" s="39">
        <v>5.7993079999999999</v>
      </c>
      <c r="L877" s="1">
        <v>5.6445660000000002</v>
      </c>
      <c r="M877" s="1" t="s">
        <v>3241</v>
      </c>
      <c r="N877" s="1">
        <v>271.60199999999998</v>
      </c>
      <c r="O877" s="1">
        <f>ABS(Table4[[#This Row],[EndMP]]-Table4[[#This Row],[StartMP]])</f>
        <v>2.76400000000001</v>
      </c>
      <c r="P877" s="1" t="str">
        <f>IF( AND( Table4[[#This Row],[Route]]=ClosureLocation!$B$3, ClosureLocation!$B$6 &gt;= Table4[[#This Row],[StartMP]], ClosureLocation!$B$6 &lt;= Table4[[#This Row],[EndMP]]), "Yes", "")</f>
        <v/>
      </c>
      <c r="Q877" s="1" t="str">
        <f>IF( AND( Table4[[#This Row],[Route]]=ClosureLocation!$B$3, ClosureLocation!$B$6 &lt;= Table4[[#This Row],[StartMP]], ClosureLocation!$B$6 &gt;= Table4[[#This Row],[EndMP]]), "Yes", "")</f>
        <v/>
      </c>
      <c r="R877" s="1" t="str">
        <f>IF( OR( Table4[[#This Row],[PrimaryMatch]]="Yes", Table4[[#This Row],[SecondaryMatch]]="Yes"), "Yes", "")</f>
        <v/>
      </c>
    </row>
    <row r="878" spans="1:18" hidden="1" x14ac:dyDescent="0.25">
      <c r="A878" t="s">
        <v>65</v>
      </c>
      <c r="B878" t="s">
        <v>3205</v>
      </c>
      <c r="C878" t="s">
        <v>3222</v>
      </c>
      <c r="D878" t="s">
        <v>3238</v>
      </c>
      <c r="E878" s="1">
        <v>279.577</v>
      </c>
      <c r="F878" s="1">
        <v>280.72800000000001</v>
      </c>
      <c r="G878">
        <v>7</v>
      </c>
      <c r="H878">
        <v>4</v>
      </c>
      <c r="I878" t="s">
        <v>2070</v>
      </c>
      <c r="J878" t="s">
        <v>1705</v>
      </c>
      <c r="K878" s="39">
        <v>5.7901300000000004</v>
      </c>
      <c r="L878" s="1">
        <v>2.482812</v>
      </c>
      <c r="M878" s="1" t="s">
        <v>3244</v>
      </c>
      <c r="N878" s="1">
        <v>279.577</v>
      </c>
      <c r="O878" s="1">
        <f>ABS(Table4[[#This Row],[EndMP]]-Table4[[#This Row],[StartMP]])</f>
        <v>1.1510000000000105</v>
      </c>
      <c r="P878" s="1" t="str">
        <f>IF( AND( Table4[[#This Row],[Route]]=ClosureLocation!$B$3, ClosureLocation!$B$6 &gt;= Table4[[#This Row],[StartMP]], ClosureLocation!$B$6 &lt;= Table4[[#This Row],[EndMP]]), "Yes", "")</f>
        <v/>
      </c>
      <c r="Q878" s="1" t="str">
        <f>IF( AND( Table4[[#This Row],[Route]]=ClosureLocation!$B$3, ClosureLocation!$B$6 &lt;= Table4[[#This Row],[StartMP]], ClosureLocation!$B$6 &gt;= Table4[[#This Row],[EndMP]]), "Yes", "")</f>
        <v/>
      </c>
      <c r="R878" s="1" t="str">
        <f>IF( OR( Table4[[#This Row],[PrimaryMatch]]="Yes", Table4[[#This Row],[SecondaryMatch]]="Yes"), "Yes", "")</f>
        <v/>
      </c>
    </row>
    <row r="879" spans="1:18" hidden="1" x14ac:dyDescent="0.25">
      <c r="A879" t="s">
        <v>1167</v>
      </c>
      <c r="B879" t="s">
        <v>3205</v>
      </c>
      <c r="C879" t="s">
        <v>3222</v>
      </c>
      <c r="D879" t="s">
        <v>4024</v>
      </c>
      <c r="E879" s="1">
        <v>44.237000000000002</v>
      </c>
      <c r="F879" s="1">
        <v>44.859000000000002</v>
      </c>
      <c r="G879">
        <v>1</v>
      </c>
      <c r="H879">
        <v>1</v>
      </c>
      <c r="I879" t="s">
        <v>2884</v>
      </c>
      <c r="J879" t="s">
        <v>1689</v>
      </c>
      <c r="K879" s="39">
        <v>5.7866929999999996</v>
      </c>
      <c r="L879" s="1">
        <v>3.4051260000000001</v>
      </c>
      <c r="M879" s="1" t="s">
        <v>4025</v>
      </c>
      <c r="N879" s="1">
        <v>44.237000000000002</v>
      </c>
      <c r="O879" s="1">
        <f>ABS(Table4[[#This Row],[EndMP]]-Table4[[#This Row],[StartMP]])</f>
        <v>0.62199999999999989</v>
      </c>
      <c r="P879" s="1" t="str">
        <f>IF( AND( Table4[[#This Row],[Route]]=ClosureLocation!$B$3, ClosureLocation!$B$6 &gt;= Table4[[#This Row],[StartMP]], ClosureLocation!$B$6 &lt;= Table4[[#This Row],[EndMP]]), "Yes", "")</f>
        <v/>
      </c>
      <c r="Q879" s="1" t="str">
        <f>IF( AND( Table4[[#This Row],[Route]]=ClosureLocation!$B$3, ClosureLocation!$B$6 &lt;= Table4[[#This Row],[StartMP]], ClosureLocation!$B$6 &gt;= Table4[[#This Row],[EndMP]]), "Yes", "")</f>
        <v/>
      </c>
      <c r="R879" s="1" t="str">
        <f>IF( OR( Table4[[#This Row],[PrimaryMatch]]="Yes", Table4[[#This Row],[SecondaryMatch]]="Yes"), "Yes", "")</f>
        <v/>
      </c>
    </row>
    <row r="880" spans="1:18" hidden="1" x14ac:dyDescent="0.25">
      <c r="A880" t="s">
        <v>1516</v>
      </c>
      <c r="B880" t="s">
        <v>3209</v>
      </c>
      <c r="C880" t="s">
        <v>3210</v>
      </c>
      <c r="D880" t="s">
        <v>4296</v>
      </c>
      <c r="E880" s="1">
        <v>339.12799999999999</v>
      </c>
      <c r="F880" s="1">
        <v>318.32600000000002</v>
      </c>
      <c r="G880">
        <v>2</v>
      </c>
      <c r="H880">
        <v>1</v>
      </c>
      <c r="I880" t="s">
        <v>3110</v>
      </c>
      <c r="J880" t="s">
        <v>1700</v>
      </c>
      <c r="K880" s="39">
        <v>5.7796659999999997</v>
      </c>
      <c r="L880" s="1">
        <v>9.6641840000000006</v>
      </c>
      <c r="M880" s="1" t="s">
        <v>4297</v>
      </c>
      <c r="N880" s="1">
        <v>660.87199999999996</v>
      </c>
      <c r="O880" s="1">
        <f>ABS(Table4[[#This Row],[EndMP]]-Table4[[#This Row],[StartMP]])</f>
        <v>20.801999999999964</v>
      </c>
      <c r="P880" s="1" t="str">
        <f>IF( AND( Table4[[#This Row],[Route]]=ClosureLocation!$B$3, ClosureLocation!$B$6 &gt;= Table4[[#This Row],[StartMP]], ClosureLocation!$B$6 &lt;= Table4[[#This Row],[EndMP]]), "Yes", "")</f>
        <v/>
      </c>
      <c r="Q880" s="1" t="str">
        <f>IF( AND( Table4[[#This Row],[Route]]=ClosureLocation!$B$3, ClosureLocation!$B$6 &lt;= Table4[[#This Row],[StartMP]], ClosureLocation!$B$6 &gt;= Table4[[#This Row],[EndMP]]), "Yes", "")</f>
        <v/>
      </c>
      <c r="R880" s="1" t="str">
        <f>IF( OR( Table4[[#This Row],[PrimaryMatch]]="Yes", Table4[[#This Row],[SecondaryMatch]]="Yes"), "Yes", "")</f>
        <v/>
      </c>
    </row>
    <row r="881" spans="1:18" hidden="1" x14ac:dyDescent="0.25">
      <c r="A881" t="s">
        <v>65</v>
      </c>
      <c r="B881" t="s">
        <v>3205</v>
      </c>
      <c r="C881" t="s">
        <v>3222</v>
      </c>
      <c r="D881" t="s">
        <v>3238</v>
      </c>
      <c r="E881" s="1">
        <v>275.83</v>
      </c>
      <c r="F881" s="1">
        <v>279.04700000000003</v>
      </c>
      <c r="G881">
        <v>6</v>
      </c>
      <c r="H881">
        <v>3</v>
      </c>
      <c r="I881" t="s">
        <v>2069</v>
      </c>
      <c r="J881" t="s">
        <v>1705</v>
      </c>
      <c r="K881" s="39">
        <v>5.7732840000000003</v>
      </c>
      <c r="L881" s="1">
        <v>1.54538</v>
      </c>
      <c r="M881" s="1" t="s">
        <v>3243</v>
      </c>
      <c r="N881" s="1">
        <v>275.83</v>
      </c>
      <c r="O881" s="1">
        <f>ABS(Table4[[#This Row],[EndMP]]-Table4[[#This Row],[StartMP]])</f>
        <v>3.2170000000000414</v>
      </c>
      <c r="P881" s="1" t="str">
        <f>IF( AND( Table4[[#This Row],[Route]]=ClosureLocation!$B$3, ClosureLocation!$B$6 &gt;= Table4[[#This Row],[StartMP]], ClosureLocation!$B$6 &lt;= Table4[[#This Row],[EndMP]]), "Yes", "")</f>
        <v/>
      </c>
      <c r="Q881" s="1" t="str">
        <f>IF( AND( Table4[[#This Row],[Route]]=ClosureLocation!$B$3, ClosureLocation!$B$6 &lt;= Table4[[#This Row],[StartMP]], ClosureLocation!$B$6 &gt;= Table4[[#This Row],[EndMP]]), "Yes", "")</f>
        <v/>
      </c>
      <c r="R881" s="1" t="str">
        <f>IF( OR( Table4[[#This Row],[PrimaryMatch]]="Yes", Table4[[#This Row],[SecondaryMatch]]="Yes"), "Yes", "")</f>
        <v/>
      </c>
    </row>
    <row r="882" spans="1:18" hidden="1" x14ac:dyDescent="0.25">
      <c r="A882" t="s">
        <v>310</v>
      </c>
      <c r="B882" t="s">
        <v>3209</v>
      </c>
      <c r="C882" t="s">
        <v>3210</v>
      </c>
      <c r="D882" t="s">
        <v>3444</v>
      </c>
      <c r="E882" s="1">
        <v>214.94399999999999</v>
      </c>
      <c r="F882" s="1">
        <v>214.22200000000001</v>
      </c>
      <c r="G882">
        <v>15</v>
      </c>
      <c r="H882">
        <v>17</v>
      </c>
      <c r="I882" t="s">
        <v>2254</v>
      </c>
      <c r="J882" t="s">
        <v>1701</v>
      </c>
      <c r="K882" s="39">
        <v>5.7649600000000003</v>
      </c>
      <c r="L882" s="1">
        <v>2.8960689999999998</v>
      </c>
      <c r="M882" s="1" t="s">
        <v>3453</v>
      </c>
      <c r="N882" s="1">
        <v>785.05600000000004</v>
      </c>
      <c r="O882" s="1">
        <f>ABS(Table4[[#This Row],[EndMP]]-Table4[[#This Row],[StartMP]])</f>
        <v>0.72199999999997999</v>
      </c>
      <c r="P882" s="1" t="str">
        <f>IF( AND( Table4[[#This Row],[Route]]=ClosureLocation!$B$3, ClosureLocation!$B$6 &gt;= Table4[[#This Row],[StartMP]], ClosureLocation!$B$6 &lt;= Table4[[#This Row],[EndMP]]), "Yes", "")</f>
        <v/>
      </c>
      <c r="Q882" s="1" t="str">
        <f>IF( AND( Table4[[#This Row],[Route]]=ClosureLocation!$B$3, ClosureLocation!$B$6 &lt;= Table4[[#This Row],[StartMP]], ClosureLocation!$B$6 &gt;= Table4[[#This Row],[EndMP]]), "Yes", "")</f>
        <v/>
      </c>
      <c r="R882" s="1" t="str">
        <f>IF( OR( Table4[[#This Row],[PrimaryMatch]]="Yes", Table4[[#This Row],[SecondaryMatch]]="Yes"), "Yes", "")</f>
        <v/>
      </c>
    </row>
    <row r="883" spans="1:18" hidden="1" x14ac:dyDescent="0.25">
      <c r="A883" t="s">
        <v>310</v>
      </c>
      <c r="B883" t="s">
        <v>3209</v>
      </c>
      <c r="C883" t="s">
        <v>3210</v>
      </c>
      <c r="D883" t="s">
        <v>3444</v>
      </c>
      <c r="E883" s="1">
        <v>208.768</v>
      </c>
      <c r="F883" s="1">
        <v>208.22</v>
      </c>
      <c r="G883">
        <v>18</v>
      </c>
      <c r="H883">
        <v>12</v>
      </c>
      <c r="I883" t="s">
        <v>2257</v>
      </c>
      <c r="J883" t="s">
        <v>1700</v>
      </c>
      <c r="K883" s="39">
        <v>5.7423780000000004</v>
      </c>
      <c r="L883" s="1">
        <v>1.7664960000000001</v>
      </c>
      <c r="M883" s="1" t="s">
        <v>3456</v>
      </c>
      <c r="N883" s="1">
        <v>791.23199999999997</v>
      </c>
      <c r="O883" s="1">
        <f>ABS(Table4[[#This Row],[EndMP]]-Table4[[#This Row],[StartMP]])</f>
        <v>0.54800000000000182</v>
      </c>
      <c r="P883" s="1" t="str">
        <f>IF( AND( Table4[[#This Row],[Route]]=ClosureLocation!$B$3, ClosureLocation!$B$6 &gt;= Table4[[#This Row],[StartMP]], ClosureLocation!$B$6 &lt;= Table4[[#This Row],[EndMP]]), "Yes", "")</f>
        <v/>
      </c>
      <c r="Q883" s="1" t="str">
        <f>IF( AND( Table4[[#This Row],[Route]]=ClosureLocation!$B$3, ClosureLocation!$B$6 &lt;= Table4[[#This Row],[StartMP]], ClosureLocation!$B$6 &gt;= Table4[[#This Row],[EndMP]]), "Yes", "")</f>
        <v/>
      </c>
      <c r="R883" s="1" t="str">
        <f>IF( OR( Table4[[#This Row],[PrimaryMatch]]="Yes", Table4[[#This Row],[SecondaryMatch]]="Yes"), "Yes", "")</f>
        <v/>
      </c>
    </row>
    <row r="884" spans="1:18" hidden="1" x14ac:dyDescent="0.25">
      <c r="A884" t="s">
        <v>1180</v>
      </c>
      <c r="B884" t="s">
        <v>3205</v>
      </c>
      <c r="C884" t="s">
        <v>3206</v>
      </c>
      <c r="D884" t="s">
        <v>4038</v>
      </c>
      <c r="E884" s="1">
        <v>9.0619999999999994</v>
      </c>
      <c r="F884" s="1">
        <v>12.367000000000001</v>
      </c>
      <c r="G884">
        <v>3</v>
      </c>
      <c r="H884">
        <v>1</v>
      </c>
      <c r="I884" t="s">
        <v>2896</v>
      </c>
      <c r="J884" t="s">
        <v>1708</v>
      </c>
      <c r="K884" s="39">
        <v>5.7102050000000002</v>
      </c>
      <c r="L884" s="1">
        <v>4.0391880000000002</v>
      </c>
      <c r="M884" s="1" t="s">
        <v>4040</v>
      </c>
      <c r="N884" s="1">
        <v>9.0619999999999994</v>
      </c>
      <c r="O884" s="1">
        <f>ABS(Table4[[#This Row],[EndMP]]-Table4[[#This Row],[StartMP]])</f>
        <v>3.3050000000000015</v>
      </c>
      <c r="P884" s="1" t="str">
        <f>IF( AND( Table4[[#This Row],[Route]]=ClosureLocation!$B$3, ClosureLocation!$B$6 &gt;= Table4[[#This Row],[StartMP]], ClosureLocation!$B$6 &lt;= Table4[[#This Row],[EndMP]]), "Yes", "")</f>
        <v/>
      </c>
      <c r="Q884" s="1" t="str">
        <f>IF( AND( Table4[[#This Row],[Route]]=ClosureLocation!$B$3, ClosureLocation!$B$6 &lt;= Table4[[#This Row],[StartMP]], ClosureLocation!$B$6 &gt;= Table4[[#This Row],[EndMP]]), "Yes", "")</f>
        <v/>
      </c>
      <c r="R884" s="1" t="str">
        <f>IF( OR( Table4[[#This Row],[PrimaryMatch]]="Yes", Table4[[#This Row],[SecondaryMatch]]="Yes"), "Yes", "")</f>
        <v/>
      </c>
    </row>
    <row r="885" spans="1:18" hidden="1" x14ac:dyDescent="0.25">
      <c r="A885" t="s">
        <v>1180</v>
      </c>
      <c r="B885" t="s">
        <v>3209</v>
      </c>
      <c r="C885" t="s">
        <v>3210</v>
      </c>
      <c r="D885" t="s">
        <v>4044</v>
      </c>
      <c r="E885" s="1">
        <v>12.367000000000001</v>
      </c>
      <c r="F885" s="1">
        <v>9.0619999999999994</v>
      </c>
      <c r="G885">
        <v>4</v>
      </c>
      <c r="H885">
        <v>8</v>
      </c>
      <c r="I885" t="s">
        <v>2903</v>
      </c>
      <c r="J885" t="s">
        <v>1708</v>
      </c>
      <c r="K885" s="39">
        <v>5.6857009999999999</v>
      </c>
      <c r="L885" s="1">
        <v>3.9641799999999998</v>
      </c>
      <c r="M885" s="1" t="s">
        <v>4048</v>
      </c>
      <c r="N885" s="1">
        <v>987.63300000000004</v>
      </c>
      <c r="O885" s="1">
        <f>ABS(Table4[[#This Row],[EndMP]]-Table4[[#This Row],[StartMP]])</f>
        <v>3.3050000000000015</v>
      </c>
      <c r="P885" s="1" t="str">
        <f>IF( AND( Table4[[#This Row],[Route]]=ClosureLocation!$B$3, ClosureLocation!$B$6 &gt;= Table4[[#This Row],[StartMP]], ClosureLocation!$B$6 &lt;= Table4[[#This Row],[EndMP]]), "Yes", "")</f>
        <v/>
      </c>
      <c r="Q885" s="1" t="str">
        <f>IF( AND( Table4[[#This Row],[Route]]=ClosureLocation!$B$3, ClosureLocation!$B$6 &lt;= Table4[[#This Row],[StartMP]], ClosureLocation!$B$6 &gt;= Table4[[#This Row],[EndMP]]), "Yes", "")</f>
        <v/>
      </c>
      <c r="R885" s="1" t="str">
        <f>IF( OR( Table4[[#This Row],[PrimaryMatch]]="Yes", Table4[[#This Row],[SecondaryMatch]]="Yes"), "Yes", "")</f>
        <v/>
      </c>
    </row>
    <row r="886" spans="1:18" hidden="1" x14ac:dyDescent="0.25">
      <c r="A886" t="s">
        <v>289</v>
      </c>
      <c r="B886" t="s">
        <v>3209</v>
      </c>
      <c r="C886" t="s">
        <v>3226</v>
      </c>
      <c r="D886" t="s">
        <v>3409</v>
      </c>
      <c r="E886" s="1">
        <v>0.42799999999999999</v>
      </c>
      <c r="F886" s="1">
        <v>0</v>
      </c>
      <c r="G886">
        <v>1</v>
      </c>
      <c r="H886">
        <v>2</v>
      </c>
      <c r="I886" t="s">
        <v>2192</v>
      </c>
      <c r="J886" t="s">
        <v>1690</v>
      </c>
      <c r="K886" s="39">
        <v>5.6849819999999998</v>
      </c>
      <c r="L886" s="1">
        <v>4.185435</v>
      </c>
      <c r="M886" s="1" t="s">
        <v>3410</v>
      </c>
      <c r="N886" s="1">
        <v>999.572</v>
      </c>
      <c r="O886" s="1">
        <f>ABS(Table4[[#This Row],[EndMP]]-Table4[[#This Row],[StartMP]])</f>
        <v>0.42799999999999999</v>
      </c>
      <c r="P886" s="1" t="str">
        <f>IF( AND( Table4[[#This Row],[Route]]=ClosureLocation!$B$3, ClosureLocation!$B$6 &gt;= Table4[[#This Row],[StartMP]], ClosureLocation!$B$6 &lt;= Table4[[#This Row],[EndMP]]), "Yes", "")</f>
        <v/>
      </c>
      <c r="Q886" s="1" t="str">
        <f>IF( AND( Table4[[#This Row],[Route]]=ClosureLocation!$B$3, ClosureLocation!$B$6 &lt;= Table4[[#This Row],[StartMP]], ClosureLocation!$B$6 &gt;= Table4[[#This Row],[EndMP]]), "Yes", "")</f>
        <v/>
      </c>
      <c r="R886" s="1" t="str">
        <f>IF( OR( Table4[[#This Row],[PrimaryMatch]]="Yes", Table4[[#This Row],[SecondaryMatch]]="Yes"), "Yes", "")</f>
        <v/>
      </c>
    </row>
    <row r="887" spans="1:18" hidden="1" x14ac:dyDescent="0.25">
      <c r="A887" t="s">
        <v>310</v>
      </c>
      <c r="B887" t="s">
        <v>3205</v>
      </c>
      <c r="C887" t="s">
        <v>3206</v>
      </c>
      <c r="D887" t="s">
        <v>3427</v>
      </c>
      <c r="E887" s="1">
        <v>214.22200000000001</v>
      </c>
      <c r="F887" s="1">
        <v>215.95699999999999</v>
      </c>
      <c r="G887">
        <v>20</v>
      </c>
      <c r="H887">
        <v>1</v>
      </c>
      <c r="I887" t="s">
        <v>2226</v>
      </c>
      <c r="J887" t="s">
        <v>1701</v>
      </c>
      <c r="K887" s="39">
        <v>5.6846560000000004</v>
      </c>
      <c r="L887" s="1">
        <v>3.1928899999999998</v>
      </c>
      <c r="M887" s="1" t="s">
        <v>3436</v>
      </c>
      <c r="N887" s="1">
        <v>214.22200000000001</v>
      </c>
      <c r="O887" s="1">
        <f>ABS(Table4[[#This Row],[EndMP]]-Table4[[#This Row],[StartMP]])</f>
        <v>1.7349999999999852</v>
      </c>
      <c r="P887" s="1" t="str">
        <f>IF( AND( Table4[[#This Row],[Route]]=ClosureLocation!$B$3, ClosureLocation!$B$6 &gt;= Table4[[#This Row],[StartMP]], ClosureLocation!$B$6 &lt;= Table4[[#This Row],[EndMP]]), "Yes", "")</f>
        <v/>
      </c>
      <c r="Q887" s="1" t="str">
        <f>IF( AND( Table4[[#This Row],[Route]]=ClosureLocation!$B$3, ClosureLocation!$B$6 &lt;= Table4[[#This Row],[StartMP]], ClosureLocation!$B$6 &gt;= Table4[[#This Row],[EndMP]]), "Yes", "")</f>
        <v/>
      </c>
      <c r="R887" s="1" t="str">
        <f>IF( OR( Table4[[#This Row],[PrimaryMatch]]="Yes", Table4[[#This Row],[SecondaryMatch]]="Yes"), "Yes", "")</f>
        <v/>
      </c>
    </row>
    <row r="888" spans="1:18" hidden="1" x14ac:dyDescent="0.25">
      <c r="A888" t="s">
        <v>1591</v>
      </c>
      <c r="B888" t="s">
        <v>3205</v>
      </c>
      <c r="C888" t="s">
        <v>3222</v>
      </c>
      <c r="D888" t="s">
        <v>4328</v>
      </c>
      <c r="E888" s="1">
        <v>3.996</v>
      </c>
      <c r="F888" s="1">
        <v>14.115</v>
      </c>
      <c r="G888">
        <v>2</v>
      </c>
      <c r="H888">
        <v>2</v>
      </c>
      <c r="I888" t="s">
        <v>3132</v>
      </c>
      <c r="J888" t="s">
        <v>1691</v>
      </c>
      <c r="K888" s="39">
        <v>5.6809240000000001</v>
      </c>
      <c r="L888" s="1">
        <v>6.626036</v>
      </c>
      <c r="M888" s="1" t="s">
        <v>4330</v>
      </c>
      <c r="N888" s="1">
        <v>3.996</v>
      </c>
      <c r="O888" s="1">
        <f>ABS(Table4[[#This Row],[EndMP]]-Table4[[#This Row],[StartMP]])</f>
        <v>10.119</v>
      </c>
      <c r="P888" s="1" t="str">
        <f>IF( AND( Table4[[#This Row],[Route]]=ClosureLocation!$B$3, ClosureLocation!$B$6 &gt;= Table4[[#This Row],[StartMP]], ClosureLocation!$B$6 &lt;= Table4[[#This Row],[EndMP]]), "Yes", "")</f>
        <v/>
      </c>
      <c r="Q888" s="1" t="str">
        <f>IF( AND( Table4[[#This Row],[Route]]=ClosureLocation!$B$3, ClosureLocation!$B$6 &lt;= Table4[[#This Row],[StartMP]], ClosureLocation!$B$6 &gt;= Table4[[#This Row],[EndMP]]), "Yes", "")</f>
        <v/>
      </c>
      <c r="R888" s="1" t="str">
        <f>IF( OR( Table4[[#This Row],[PrimaryMatch]]="Yes", Table4[[#This Row],[SecondaryMatch]]="Yes"), "Yes", "")</f>
        <v/>
      </c>
    </row>
    <row r="889" spans="1:18" hidden="1" x14ac:dyDescent="0.25">
      <c r="A889" t="s">
        <v>1591</v>
      </c>
      <c r="B889" t="s">
        <v>3209</v>
      </c>
      <c r="C889" t="s">
        <v>3226</v>
      </c>
      <c r="D889" t="s">
        <v>4331</v>
      </c>
      <c r="E889" s="1">
        <v>14.115</v>
      </c>
      <c r="F889" s="1">
        <v>3.996</v>
      </c>
      <c r="G889">
        <v>1</v>
      </c>
      <c r="H889">
        <v>3</v>
      </c>
      <c r="I889" t="s">
        <v>3133</v>
      </c>
      <c r="J889" t="s">
        <v>1691</v>
      </c>
      <c r="K889" s="39">
        <v>5.6799549999999996</v>
      </c>
      <c r="L889" s="1">
        <v>6.626036</v>
      </c>
      <c r="M889" s="1" t="s">
        <v>4332</v>
      </c>
      <c r="N889" s="1">
        <v>985.88499999999999</v>
      </c>
      <c r="O889" s="1">
        <f>ABS(Table4[[#This Row],[EndMP]]-Table4[[#This Row],[StartMP]])</f>
        <v>10.119</v>
      </c>
      <c r="P889" s="1" t="str">
        <f>IF( AND( Table4[[#This Row],[Route]]=ClosureLocation!$B$3, ClosureLocation!$B$6 &gt;= Table4[[#This Row],[StartMP]], ClosureLocation!$B$6 &lt;= Table4[[#This Row],[EndMP]]), "Yes", "")</f>
        <v/>
      </c>
      <c r="Q889" s="1" t="str">
        <f>IF( AND( Table4[[#This Row],[Route]]=ClosureLocation!$B$3, ClosureLocation!$B$6 &lt;= Table4[[#This Row],[StartMP]], ClosureLocation!$B$6 &gt;= Table4[[#This Row],[EndMP]]), "Yes", "")</f>
        <v/>
      </c>
      <c r="R889" s="1" t="str">
        <f>IF( OR( Table4[[#This Row],[PrimaryMatch]]="Yes", Table4[[#This Row],[SecondaryMatch]]="Yes"), "Yes", "")</f>
        <v/>
      </c>
    </row>
    <row r="890" spans="1:18" hidden="1" x14ac:dyDescent="0.25">
      <c r="A890" t="s">
        <v>1462</v>
      </c>
      <c r="B890" t="s">
        <v>3205</v>
      </c>
      <c r="C890" t="s">
        <v>3222</v>
      </c>
      <c r="D890" t="s">
        <v>4224</v>
      </c>
      <c r="E890" s="1">
        <v>0.06</v>
      </c>
      <c r="F890" s="1">
        <v>11.516</v>
      </c>
      <c r="G890">
        <v>2</v>
      </c>
      <c r="H890">
        <v>2</v>
      </c>
      <c r="I890" t="s">
        <v>3037</v>
      </c>
      <c r="J890" t="s">
        <v>1691</v>
      </c>
      <c r="K890" s="39">
        <v>5.6784889999999999</v>
      </c>
      <c r="L890" s="1">
        <v>6.8299890000000003</v>
      </c>
      <c r="M890" s="1" t="s">
        <v>4226</v>
      </c>
      <c r="N890" s="1">
        <v>0.06</v>
      </c>
      <c r="O890" s="1">
        <f>ABS(Table4[[#This Row],[EndMP]]-Table4[[#This Row],[StartMP]])</f>
        <v>11.456</v>
      </c>
      <c r="P890" s="1" t="str">
        <f>IF( AND( Table4[[#This Row],[Route]]=ClosureLocation!$B$3, ClosureLocation!$B$6 &gt;= Table4[[#This Row],[StartMP]], ClosureLocation!$B$6 &lt;= Table4[[#This Row],[EndMP]]), "Yes", "")</f>
        <v/>
      </c>
      <c r="Q890" s="1" t="str">
        <f>IF( AND( Table4[[#This Row],[Route]]=ClosureLocation!$B$3, ClosureLocation!$B$6 &lt;= Table4[[#This Row],[StartMP]], ClosureLocation!$B$6 &gt;= Table4[[#This Row],[EndMP]]), "Yes", "")</f>
        <v/>
      </c>
      <c r="R890" s="1" t="str">
        <f>IF( OR( Table4[[#This Row],[PrimaryMatch]]="Yes", Table4[[#This Row],[SecondaryMatch]]="Yes"), "Yes", "")</f>
        <v/>
      </c>
    </row>
    <row r="891" spans="1:18" hidden="1" x14ac:dyDescent="0.25">
      <c r="A891" t="s">
        <v>776</v>
      </c>
      <c r="B891" t="s">
        <v>3209</v>
      </c>
      <c r="C891" t="s">
        <v>3226</v>
      </c>
      <c r="D891" t="s">
        <v>3749</v>
      </c>
      <c r="E891" s="1">
        <v>170.566</v>
      </c>
      <c r="F891" s="1">
        <v>169.26499999999999</v>
      </c>
      <c r="G891">
        <v>35</v>
      </c>
      <c r="H891">
        <v>88</v>
      </c>
      <c r="I891" t="s">
        <v>2634</v>
      </c>
      <c r="J891" t="s">
        <v>1694</v>
      </c>
      <c r="K891" s="39">
        <v>5.6561070000000004</v>
      </c>
      <c r="L891" s="1">
        <v>0.46166699999999999</v>
      </c>
      <c r="M891" s="1" t="s">
        <v>4527</v>
      </c>
      <c r="N891" s="1">
        <v>829.43399999999997</v>
      </c>
      <c r="O891" s="1">
        <f>ABS(Table4[[#This Row],[EndMP]]-Table4[[#This Row],[StartMP]])</f>
        <v>1.3010000000000161</v>
      </c>
      <c r="P891" s="1" t="str">
        <f>IF( AND( Table4[[#This Row],[Route]]=ClosureLocation!$B$3, ClosureLocation!$B$6 &gt;= Table4[[#This Row],[StartMP]], ClosureLocation!$B$6 &lt;= Table4[[#This Row],[EndMP]]), "Yes", "")</f>
        <v/>
      </c>
      <c r="Q891" s="1" t="str">
        <f>IF( AND( Table4[[#This Row],[Route]]=ClosureLocation!$B$3, ClosureLocation!$B$6 &lt;= Table4[[#This Row],[StartMP]], ClosureLocation!$B$6 &gt;= Table4[[#This Row],[EndMP]]), "Yes", "")</f>
        <v/>
      </c>
      <c r="R891" s="1" t="str">
        <f>IF( OR( Table4[[#This Row],[PrimaryMatch]]="Yes", Table4[[#This Row],[SecondaryMatch]]="Yes"), "Yes", "")</f>
        <v/>
      </c>
    </row>
    <row r="892" spans="1:18" hidden="1" x14ac:dyDescent="0.25">
      <c r="A892" t="s">
        <v>546</v>
      </c>
      <c r="B892" t="s">
        <v>3205</v>
      </c>
      <c r="C892" t="s">
        <v>3222</v>
      </c>
      <c r="D892" t="s">
        <v>3577</v>
      </c>
      <c r="E892" s="1">
        <v>297</v>
      </c>
      <c r="F892" s="1">
        <v>300.625</v>
      </c>
      <c r="H892">
        <v>2</v>
      </c>
      <c r="I892" t="s">
        <v>2383</v>
      </c>
      <c r="J892" t="s">
        <v>1704</v>
      </c>
      <c r="K892" s="39">
        <v>5.6499269999999999</v>
      </c>
      <c r="L892" s="1">
        <v>4.9589309999999998</v>
      </c>
      <c r="M892" s="1" t="s">
        <v>3583</v>
      </c>
      <c r="N892" s="1">
        <v>297</v>
      </c>
      <c r="O892" s="1">
        <f>ABS(Table4[[#This Row],[EndMP]]-Table4[[#This Row],[StartMP]])</f>
        <v>3.625</v>
      </c>
      <c r="P892" s="1" t="str">
        <f>IF( AND( Table4[[#This Row],[Route]]=ClosureLocation!$B$3, ClosureLocation!$B$6 &gt;= Table4[[#This Row],[StartMP]], ClosureLocation!$B$6 &lt;= Table4[[#This Row],[EndMP]]), "Yes", "")</f>
        <v/>
      </c>
      <c r="Q892" s="1" t="str">
        <f>IF( AND( Table4[[#This Row],[Route]]=ClosureLocation!$B$3, ClosureLocation!$B$6 &lt;= Table4[[#This Row],[StartMP]], ClosureLocation!$B$6 &gt;= Table4[[#This Row],[EndMP]]), "Yes", "")</f>
        <v/>
      </c>
      <c r="R892" s="1" t="str">
        <f>IF( OR( Table4[[#This Row],[PrimaryMatch]]="Yes", Table4[[#This Row],[SecondaryMatch]]="Yes"), "Yes", "")</f>
        <v/>
      </c>
    </row>
    <row r="893" spans="1:18" hidden="1" x14ac:dyDescent="0.25">
      <c r="A893" t="s">
        <v>707</v>
      </c>
      <c r="B893" t="s">
        <v>3205</v>
      </c>
      <c r="C893" t="s">
        <v>3222</v>
      </c>
      <c r="D893" t="s">
        <v>3681</v>
      </c>
      <c r="E893" s="1">
        <v>0</v>
      </c>
      <c r="F893" s="1">
        <v>5.0730000000000004</v>
      </c>
      <c r="G893">
        <v>1</v>
      </c>
      <c r="H893">
        <v>1</v>
      </c>
      <c r="I893" t="s">
        <v>2501</v>
      </c>
      <c r="J893" t="s">
        <v>1699</v>
      </c>
      <c r="K893" s="39">
        <v>5.6216480000000004</v>
      </c>
      <c r="L893" s="1">
        <v>2.901551</v>
      </c>
      <c r="M893" s="1" t="s">
        <v>3682</v>
      </c>
      <c r="N893" s="1">
        <v>0</v>
      </c>
      <c r="O893" s="1">
        <f>ABS(Table4[[#This Row],[EndMP]]-Table4[[#This Row],[StartMP]])</f>
        <v>5.0730000000000004</v>
      </c>
      <c r="P893" s="1" t="str">
        <f>IF( AND( Table4[[#This Row],[Route]]=ClosureLocation!$B$3, ClosureLocation!$B$6 &gt;= Table4[[#This Row],[StartMP]], ClosureLocation!$B$6 &lt;= Table4[[#This Row],[EndMP]]), "Yes", "")</f>
        <v/>
      </c>
      <c r="Q893" s="1" t="str">
        <f>IF( AND( Table4[[#This Row],[Route]]=ClosureLocation!$B$3, ClosureLocation!$B$6 &lt;= Table4[[#This Row],[StartMP]], ClosureLocation!$B$6 &gt;= Table4[[#This Row],[EndMP]]), "Yes", "")</f>
        <v/>
      </c>
      <c r="R893" s="1" t="str">
        <f>IF( OR( Table4[[#This Row],[PrimaryMatch]]="Yes", Table4[[#This Row],[SecondaryMatch]]="Yes"), "Yes", "")</f>
        <v/>
      </c>
    </row>
    <row r="894" spans="1:18" hidden="1" x14ac:dyDescent="0.25">
      <c r="A894" t="s">
        <v>1236</v>
      </c>
      <c r="B894" t="s">
        <v>3205</v>
      </c>
      <c r="C894" t="s">
        <v>3222</v>
      </c>
      <c r="D894" t="s">
        <v>4085</v>
      </c>
      <c r="E894" s="1">
        <v>8.9700000000000006</v>
      </c>
      <c r="F894" s="1">
        <v>27.503</v>
      </c>
      <c r="G894">
        <v>2</v>
      </c>
      <c r="H894">
        <v>1</v>
      </c>
      <c r="I894" t="s">
        <v>2931</v>
      </c>
      <c r="J894" t="s">
        <v>1708</v>
      </c>
      <c r="K894" s="39">
        <v>5.6198519999999998</v>
      </c>
      <c r="L894" s="1">
        <v>19.285567</v>
      </c>
      <c r="M894" s="1" t="s">
        <v>4087</v>
      </c>
      <c r="N894" s="1">
        <v>8.9700000000000006</v>
      </c>
      <c r="O894" s="1">
        <f>ABS(Table4[[#This Row],[EndMP]]-Table4[[#This Row],[StartMP]])</f>
        <v>18.533000000000001</v>
      </c>
      <c r="P894" s="1" t="str">
        <f>IF( AND( Table4[[#This Row],[Route]]=ClosureLocation!$B$3, ClosureLocation!$B$6 &gt;= Table4[[#This Row],[StartMP]], ClosureLocation!$B$6 &lt;= Table4[[#This Row],[EndMP]]), "Yes", "")</f>
        <v/>
      </c>
      <c r="Q894" s="1" t="str">
        <f>IF( AND( Table4[[#This Row],[Route]]=ClosureLocation!$B$3, ClosureLocation!$B$6 &lt;= Table4[[#This Row],[StartMP]], ClosureLocation!$B$6 &gt;= Table4[[#This Row],[EndMP]]), "Yes", "")</f>
        <v/>
      </c>
      <c r="R894" s="1" t="str">
        <f>IF( OR( Table4[[#This Row],[PrimaryMatch]]="Yes", Table4[[#This Row],[SecondaryMatch]]="Yes"), "Yes", "")</f>
        <v/>
      </c>
    </row>
    <row r="895" spans="1:18" hidden="1" x14ac:dyDescent="0.25">
      <c r="A895" t="s">
        <v>1493</v>
      </c>
      <c r="B895" t="s">
        <v>3209</v>
      </c>
      <c r="C895" t="s">
        <v>3210</v>
      </c>
      <c r="D895" t="s">
        <v>4262</v>
      </c>
      <c r="E895" s="1">
        <v>262.68799999999999</v>
      </c>
      <c r="F895" s="1">
        <v>259.39299999999997</v>
      </c>
      <c r="G895">
        <v>2</v>
      </c>
      <c r="H895">
        <v>12</v>
      </c>
      <c r="I895" t="s">
        <v>3080</v>
      </c>
      <c r="J895" t="s">
        <v>1693</v>
      </c>
      <c r="K895" s="39">
        <v>5.6017710000000003</v>
      </c>
      <c r="L895" s="1">
        <v>5.7505350000000002</v>
      </c>
      <c r="M895" s="1" t="s">
        <v>4264</v>
      </c>
      <c r="N895" s="1">
        <v>737.31200000000001</v>
      </c>
      <c r="O895" s="1">
        <f>ABS(Table4[[#This Row],[EndMP]]-Table4[[#This Row],[StartMP]])</f>
        <v>3.2950000000000159</v>
      </c>
      <c r="P895" s="1" t="str">
        <f>IF( AND( Table4[[#This Row],[Route]]=ClosureLocation!$B$3, ClosureLocation!$B$6 &gt;= Table4[[#This Row],[StartMP]], ClosureLocation!$B$6 &lt;= Table4[[#This Row],[EndMP]]), "Yes", "")</f>
        <v/>
      </c>
      <c r="Q895" s="1" t="str">
        <f>IF( AND( Table4[[#This Row],[Route]]=ClosureLocation!$B$3, ClosureLocation!$B$6 &lt;= Table4[[#This Row],[StartMP]], ClosureLocation!$B$6 &gt;= Table4[[#This Row],[EndMP]]), "Yes", "")</f>
        <v/>
      </c>
      <c r="R895" s="1" t="str">
        <f>IF( OR( Table4[[#This Row],[PrimaryMatch]]="Yes", Table4[[#This Row],[SecondaryMatch]]="Yes"), "Yes", "")</f>
        <v/>
      </c>
    </row>
    <row r="896" spans="1:18" hidden="1" x14ac:dyDescent="0.25">
      <c r="A896" t="s">
        <v>65</v>
      </c>
      <c r="B896" t="s">
        <v>3205</v>
      </c>
      <c r="C896" t="s">
        <v>3222</v>
      </c>
      <c r="D896" t="s">
        <v>3238</v>
      </c>
      <c r="E896" s="1">
        <v>282.58199999999999</v>
      </c>
      <c r="F896" s="1">
        <v>283.76100000000002</v>
      </c>
      <c r="G896">
        <v>9</v>
      </c>
      <c r="H896">
        <v>6</v>
      </c>
      <c r="I896" t="s">
        <v>2072</v>
      </c>
      <c r="J896" t="s">
        <v>1705</v>
      </c>
      <c r="K896" s="39">
        <v>5.5959849999999998</v>
      </c>
      <c r="L896" s="1">
        <v>1.8948449999999999</v>
      </c>
      <c r="M896" s="1" t="s">
        <v>3246</v>
      </c>
      <c r="N896" s="1">
        <v>282.58199999999999</v>
      </c>
      <c r="O896" s="1">
        <f>ABS(Table4[[#This Row],[EndMP]]-Table4[[#This Row],[StartMP]])</f>
        <v>1.1790000000000305</v>
      </c>
      <c r="P896" s="1" t="str">
        <f>IF( AND( Table4[[#This Row],[Route]]=ClosureLocation!$B$3, ClosureLocation!$B$6 &gt;= Table4[[#This Row],[StartMP]], ClosureLocation!$B$6 &lt;= Table4[[#This Row],[EndMP]]), "Yes", "")</f>
        <v/>
      </c>
      <c r="Q896" s="1" t="str">
        <f>IF( AND( Table4[[#This Row],[Route]]=ClosureLocation!$B$3, ClosureLocation!$B$6 &lt;= Table4[[#This Row],[StartMP]], ClosureLocation!$B$6 &gt;= Table4[[#This Row],[EndMP]]), "Yes", "")</f>
        <v/>
      </c>
      <c r="R896" s="1" t="str">
        <f>IF( OR( Table4[[#This Row],[PrimaryMatch]]="Yes", Table4[[#This Row],[SecondaryMatch]]="Yes"), "Yes", "")</f>
        <v/>
      </c>
    </row>
    <row r="897" spans="1:18" hidden="1" x14ac:dyDescent="0.25">
      <c r="A897" t="s">
        <v>917</v>
      </c>
      <c r="B897" t="s">
        <v>3209</v>
      </c>
      <c r="C897" t="s">
        <v>3226</v>
      </c>
      <c r="D897" t="s">
        <v>3840</v>
      </c>
      <c r="E897" s="1">
        <v>6.32</v>
      </c>
      <c r="F897" s="1">
        <v>6</v>
      </c>
      <c r="G897">
        <v>19</v>
      </c>
      <c r="H897">
        <v>41</v>
      </c>
      <c r="I897" t="s">
        <v>2744</v>
      </c>
      <c r="J897" t="s">
        <v>1694</v>
      </c>
      <c r="K897" s="39">
        <v>5.5911369999999998</v>
      </c>
      <c r="L897" s="1">
        <v>2.7938420000000002</v>
      </c>
      <c r="M897" s="1" t="s">
        <v>4988</v>
      </c>
      <c r="N897" s="1">
        <v>993.68</v>
      </c>
      <c r="O897" s="1">
        <f>ABS(Table4[[#This Row],[EndMP]]-Table4[[#This Row],[StartMP]])</f>
        <v>0.32000000000000028</v>
      </c>
      <c r="P897" s="1" t="str">
        <f>IF( AND( Table4[[#This Row],[Route]]=ClosureLocation!$B$3, ClosureLocation!$B$6 &gt;= Table4[[#This Row],[StartMP]], ClosureLocation!$B$6 &lt;= Table4[[#This Row],[EndMP]]), "Yes", "")</f>
        <v/>
      </c>
      <c r="Q897" s="1" t="str">
        <f>IF( AND( Table4[[#This Row],[Route]]=ClosureLocation!$B$3, ClosureLocation!$B$6 &lt;= Table4[[#This Row],[StartMP]], ClosureLocation!$B$6 &gt;= Table4[[#This Row],[EndMP]]), "Yes", "")</f>
        <v/>
      </c>
      <c r="R897" s="1" t="str">
        <f>IF( OR( Table4[[#This Row],[PrimaryMatch]]="Yes", Table4[[#This Row],[SecondaryMatch]]="Yes"), "Yes", "")</f>
        <v/>
      </c>
    </row>
    <row r="898" spans="1:18" hidden="1" x14ac:dyDescent="0.25">
      <c r="A898" t="s">
        <v>1643</v>
      </c>
      <c r="B898" t="s">
        <v>3205</v>
      </c>
      <c r="C898" t="s">
        <v>3222</v>
      </c>
      <c r="D898" t="s">
        <v>4393</v>
      </c>
      <c r="E898" s="1">
        <v>0</v>
      </c>
      <c r="F898" s="1">
        <v>4.1790000000000003</v>
      </c>
      <c r="G898">
        <v>1</v>
      </c>
      <c r="H898">
        <v>1</v>
      </c>
      <c r="I898" t="s">
        <v>3177</v>
      </c>
      <c r="J898" t="s">
        <v>1691</v>
      </c>
      <c r="K898" s="39">
        <v>5.5800359999999998</v>
      </c>
      <c r="L898" s="1">
        <v>3.9482629999999999</v>
      </c>
      <c r="M898" s="1" t="s">
        <v>4394</v>
      </c>
      <c r="N898" s="1">
        <v>0</v>
      </c>
      <c r="O898" s="1">
        <f>ABS(Table4[[#This Row],[EndMP]]-Table4[[#This Row],[StartMP]])</f>
        <v>4.1790000000000003</v>
      </c>
      <c r="P898" s="1" t="str">
        <f>IF( AND( Table4[[#This Row],[Route]]=ClosureLocation!$B$3, ClosureLocation!$B$6 &gt;= Table4[[#This Row],[StartMP]], ClosureLocation!$B$6 &lt;= Table4[[#This Row],[EndMP]]), "Yes", "")</f>
        <v/>
      </c>
      <c r="Q898" s="1" t="str">
        <f>IF( AND( Table4[[#This Row],[Route]]=ClosureLocation!$B$3, ClosureLocation!$B$6 &lt;= Table4[[#This Row],[StartMP]], ClosureLocation!$B$6 &gt;= Table4[[#This Row],[EndMP]]), "Yes", "")</f>
        <v/>
      </c>
      <c r="R898" s="1" t="str">
        <f>IF( OR( Table4[[#This Row],[PrimaryMatch]]="Yes", Table4[[#This Row],[SecondaryMatch]]="Yes"), "Yes", "")</f>
        <v/>
      </c>
    </row>
    <row r="899" spans="1:18" hidden="1" x14ac:dyDescent="0.25">
      <c r="A899" t="s">
        <v>394</v>
      </c>
      <c r="B899" t="s">
        <v>3209</v>
      </c>
      <c r="C899" t="s">
        <v>3226</v>
      </c>
      <c r="D899" t="s">
        <v>3487</v>
      </c>
      <c r="E899" s="1">
        <v>96.11</v>
      </c>
      <c r="F899" s="1">
        <v>92.009</v>
      </c>
      <c r="G899">
        <v>6</v>
      </c>
      <c r="H899">
        <v>5</v>
      </c>
      <c r="I899" t="s">
        <v>2302</v>
      </c>
      <c r="J899" t="s">
        <v>1702</v>
      </c>
      <c r="K899" s="39">
        <v>5.570856</v>
      </c>
      <c r="L899" s="1">
        <v>4.1919639999999996</v>
      </c>
      <c r="M899" s="1" t="s">
        <v>3492</v>
      </c>
      <c r="N899" s="1">
        <v>903.89</v>
      </c>
      <c r="O899" s="1">
        <f>ABS(Table4[[#This Row],[EndMP]]-Table4[[#This Row],[StartMP]])</f>
        <v>4.1009999999999991</v>
      </c>
      <c r="P899" s="1" t="str">
        <f>IF( AND( Table4[[#This Row],[Route]]=ClosureLocation!$B$3, ClosureLocation!$B$6 &gt;= Table4[[#This Row],[StartMP]], ClosureLocation!$B$6 &lt;= Table4[[#This Row],[EndMP]]), "Yes", "")</f>
        <v/>
      </c>
      <c r="Q899" s="1" t="str">
        <f>IF( AND( Table4[[#This Row],[Route]]=ClosureLocation!$B$3, ClosureLocation!$B$6 &lt;= Table4[[#This Row],[StartMP]], ClosureLocation!$B$6 &gt;= Table4[[#This Row],[EndMP]]), "Yes", "")</f>
        <v/>
      </c>
      <c r="R899" s="1" t="str">
        <f>IF( OR( Table4[[#This Row],[PrimaryMatch]]="Yes", Table4[[#This Row],[SecondaryMatch]]="Yes"), "Yes", "")</f>
        <v/>
      </c>
    </row>
    <row r="900" spans="1:18" hidden="1" x14ac:dyDescent="0.25">
      <c r="A900" t="s">
        <v>430</v>
      </c>
      <c r="B900" t="s">
        <v>3205</v>
      </c>
      <c r="C900" t="s">
        <v>3222</v>
      </c>
      <c r="D900" t="s">
        <v>3503</v>
      </c>
      <c r="E900" s="1">
        <v>10.194000000000001</v>
      </c>
      <c r="F900" s="1">
        <v>11.057</v>
      </c>
      <c r="G900">
        <v>3</v>
      </c>
      <c r="H900">
        <v>1</v>
      </c>
      <c r="I900" t="s">
        <v>2316</v>
      </c>
      <c r="J900" t="s">
        <v>1702</v>
      </c>
      <c r="K900" s="39">
        <v>5.5496299999999996</v>
      </c>
      <c r="L900" s="1">
        <v>4.587542</v>
      </c>
      <c r="M900" s="1" t="s">
        <v>3506</v>
      </c>
      <c r="N900" s="1">
        <v>10.194000000000001</v>
      </c>
      <c r="O900" s="1">
        <f>ABS(Table4[[#This Row],[EndMP]]-Table4[[#This Row],[StartMP]])</f>
        <v>0.86299999999999955</v>
      </c>
      <c r="P900" s="1" t="str">
        <f>IF( AND( Table4[[#This Row],[Route]]=ClosureLocation!$B$3, ClosureLocation!$B$6 &gt;= Table4[[#This Row],[StartMP]], ClosureLocation!$B$6 &lt;= Table4[[#This Row],[EndMP]]), "Yes", "")</f>
        <v/>
      </c>
      <c r="Q900" s="1" t="str">
        <f>IF( AND( Table4[[#This Row],[Route]]=ClosureLocation!$B$3, ClosureLocation!$B$6 &lt;= Table4[[#This Row],[StartMP]], ClosureLocation!$B$6 &gt;= Table4[[#This Row],[EndMP]]), "Yes", "")</f>
        <v/>
      </c>
      <c r="R900" s="1" t="str">
        <f>IF( OR( Table4[[#This Row],[PrimaryMatch]]="Yes", Table4[[#This Row],[SecondaryMatch]]="Yes"), "Yes", "")</f>
        <v/>
      </c>
    </row>
    <row r="901" spans="1:18" hidden="1" x14ac:dyDescent="0.25">
      <c r="A901" t="s">
        <v>139</v>
      </c>
      <c r="B901" t="s">
        <v>3209</v>
      </c>
      <c r="C901" t="s">
        <v>3226</v>
      </c>
      <c r="D901" t="s">
        <v>3284</v>
      </c>
      <c r="E901" s="1">
        <v>53.457000000000001</v>
      </c>
      <c r="F901" s="1">
        <v>52.29</v>
      </c>
      <c r="G901">
        <v>2</v>
      </c>
      <c r="H901">
        <v>4</v>
      </c>
      <c r="I901" t="s">
        <v>2110</v>
      </c>
      <c r="J901" t="s">
        <v>1696</v>
      </c>
      <c r="K901" s="39">
        <v>5.5067969999999997</v>
      </c>
      <c r="L901" s="1">
        <v>3.756707</v>
      </c>
      <c r="M901" s="1" t="s">
        <v>3286</v>
      </c>
      <c r="N901" s="1">
        <v>946.54300000000001</v>
      </c>
      <c r="O901" s="1">
        <f>ABS(Table4[[#This Row],[EndMP]]-Table4[[#This Row],[StartMP]])</f>
        <v>1.1670000000000016</v>
      </c>
      <c r="P901" s="1" t="str">
        <f>IF( AND( Table4[[#This Row],[Route]]=ClosureLocation!$B$3, ClosureLocation!$B$6 &gt;= Table4[[#This Row],[StartMP]], ClosureLocation!$B$6 &lt;= Table4[[#This Row],[EndMP]]), "Yes", "")</f>
        <v/>
      </c>
      <c r="Q901" s="1" t="str">
        <f>IF( AND( Table4[[#This Row],[Route]]=ClosureLocation!$B$3, ClosureLocation!$B$6 &lt;= Table4[[#This Row],[StartMP]], ClosureLocation!$B$6 &gt;= Table4[[#This Row],[EndMP]]), "Yes", "")</f>
        <v/>
      </c>
      <c r="R901" s="1" t="str">
        <f>IF( OR( Table4[[#This Row],[PrimaryMatch]]="Yes", Table4[[#This Row],[SecondaryMatch]]="Yes"), "Yes", "")</f>
        <v/>
      </c>
    </row>
    <row r="902" spans="1:18" hidden="1" x14ac:dyDescent="0.25">
      <c r="A902" t="s">
        <v>65</v>
      </c>
      <c r="B902" t="s">
        <v>3205</v>
      </c>
      <c r="C902" t="s">
        <v>3222</v>
      </c>
      <c r="D902" t="s">
        <v>3238</v>
      </c>
      <c r="E902" s="1">
        <v>281</v>
      </c>
      <c r="F902" s="1">
        <v>282.16800000000001</v>
      </c>
      <c r="G902">
        <v>8</v>
      </c>
      <c r="H902">
        <v>5</v>
      </c>
      <c r="I902" t="s">
        <v>2071</v>
      </c>
      <c r="J902" t="s">
        <v>1705</v>
      </c>
      <c r="K902" s="39">
        <v>5.5051550000000002</v>
      </c>
      <c r="L902" s="1">
        <v>2.2230490000000001</v>
      </c>
      <c r="M902" s="1" t="s">
        <v>3245</v>
      </c>
      <c r="N902" s="1">
        <v>281</v>
      </c>
      <c r="O902" s="1">
        <f>ABS(Table4[[#This Row],[EndMP]]-Table4[[#This Row],[StartMP]])</f>
        <v>1.1680000000000064</v>
      </c>
      <c r="P902" s="1" t="str">
        <f>IF( AND( Table4[[#This Row],[Route]]=ClosureLocation!$B$3, ClosureLocation!$B$6 &gt;= Table4[[#This Row],[StartMP]], ClosureLocation!$B$6 &lt;= Table4[[#This Row],[EndMP]]), "Yes", "")</f>
        <v/>
      </c>
      <c r="Q902" s="1" t="str">
        <f>IF( AND( Table4[[#This Row],[Route]]=ClosureLocation!$B$3, ClosureLocation!$B$6 &lt;= Table4[[#This Row],[StartMP]], ClosureLocation!$B$6 &gt;= Table4[[#This Row],[EndMP]]), "Yes", "")</f>
        <v/>
      </c>
      <c r="R902" s="1" t="str">
        <f>IF( OR( Table4[[#This Row],[PrimaryMatch]]="Yes", Table4[[#This Row],[SecondaryMatch]]="Yes"), "Yes", "")</f>
        <v/>
      </c>
    </row>
    <row r="903" spans="1:18" hidden="1" x14ac:dyDescent="0.25">
      <c r="A903" t="s">
        <v>684</v>
      </c>
      <c r="B903" t="s">
        <v>3205</v>
      </c>
      <c r="C903" t="s">
        <v>3222</v>
      </c>
      <c r="D903" t="s">
        <v>3649</v>
      </c>
      <c r="E903" s="1">
        <v>41.939</v>
      </c>
      <c r="F903" s="1">
        <v>72.581000000000003</v>
      </c>
      <c r="G903">
        <v>5</v>
      </c>
      <c r="H903">
        <v>1</v>
      </c>
      <c r="I903" t="s">
        <v>2483</v>
      </c>
      <c r="J903" t="s">
        <v>1702</v>
      </c>
      <c r="K903" s="39">
        <v>5.4968240000000002</v>
      </c>
      <c r="L903" s="1">
        <v>16.597337</v>
      </c>
      <c r="M903" s="1" t="s">
        <v>3654</v>
      </c>
      <c r="N903" s="1">
        <v>41.939</v>
      </c>
      <c r="O903" s="1">
        <f>ABS(Table4[[#This Row],[EndMP]]-Table4[[#This Row],[StartMP]])</f>
        <v>30.642000000000003</v>
      </c>
      <c r="P903" s="1" t="str">
        <f>IF( AND( Table4[[#This Row],[Route]]=ClosureLocation!$B$3, ClosureLocation!$B$6 &gt;= Table4[[#This Row],[StartMP]], ClosureLocation!$B$6 &lt;= Table4[[#This Row],[EndMP]]), "Yes", "")</f>
        <v/>
      </c>
      <c r="Q903" s="1" t="str">
        <f>IF( AND( Table4[[#This Row],[Route]]=ClosureLocation!$B$3, ClosureLocation!$B$6 &lt;= Table4[[#This Row],[StartMP]], ClosureLocation!$B$6 &gt;= Table4[[#This Row],[EndMP]]), "Yes", "")</f>
        <v/>
      </c>
      <c r="R903" s="1" t="str">
        <f>IF( OR( Table4[[#This Row],[PrimaryMatch]]="Yes", Table4[[#This Row],[SecondaryMatch]]="Yes"), "Yes", "")</f>
        <v/>
      </c>
    </row>
    <row r="904" spans="1:18" hidden="1" x14ac:dyDescent="0.25">
      <c r="A904" t="s">
        <v>1516</v>
      </c>
      <c r="B904" t="s">
        <v>3209</v>
      </c>
      <c r="C904" t="s">
        <v>3210</v>
      </c>
      <c r="D904" t="s">
        <v>4296</v>
      </c>
      <c r="E904" s="1">
        <v>294.71100000000001</v>
      </c>
      <c r="F904" s="1">
        <v>289.59300000000002</v>
      </c>
      <c r="G904">
        <v>9</v>
      </c>
      <c r="H904">
        <v>2</v>
      </c>
      <c r="I904" t="s">
        <v>3117</v>
      </c>
      <c r="J904" t="s">
        <v>1701</v>
      </c>
      <c r="K904" s="39">
        <v>5.4479709999999999</v>
      </c>
      <c r="L904" s="1">
        <v>5.0214800000000004</v>
      </c>
      <c r="M904" s="1" t="s">
        <v>4304</v>
      </c>
      <c r="N904" s="1">
        <v>705.28899999999999</v>
      </c>
      <c r="O904" s="1">
        <f>ABS(Table4[[#This Row],[EndMP]]-Table4[[#This Row],[StartMP]])</f>
        <v>5.117999999999995</v>
      </c>
      <c r="P904" s="1" t="str">
        <f>IF( AND( Table4[[#This Row],[Route]]=ClosureLocation!$B$3, ClosureLocation!$B$6 &gt;= Table4[[#This Row],[StartMP]], ClosureLocation!$B$6 &lt;= Table4[[#This Row],[EndMP]]), "Yes", "")</f>
        <v/>
      </c>
      <c r="Q904" s="1" t="str">
        <f>IF( AND( Table4[[#This Row],[Route]]=ClosureLocation!$B$3, ClosureLocation!$B$6 &lt;= Table4[[#This Row],[StartMP]], ClosureLocation!$B$6 &gt;= Table4[[#This Row],[EndMP]]), "Yes", "")</f>
        <v/>
      </c>
      <c r="R904" s="1" t="str">
        <f>IF( OR( Table4[[#This Row],[PrimaryMatch]]="Yes", Table4[[#This Row],[SecondaryMatch]]="Yes"), "Yes", "")</f>
        <v/>
      </c>
    </row>
    <row r="905" spans="1:18" hidden="1" x14ac:dyDescent="0.25">
      <c r="A905" t="s">
        <v>394</v>
      </c>
      <c r="B905" t="s">
        <v>3205</v>
      </c>
      <c r="C905" t="s">
        <v>3222</v>
      </c>
      <c r="D905" t="s">
        <v>3477</v>
      </c>
      <c r="E905" s="1">
        <v>92.009</v>
      </c>
      <c r="F905" s="1">
        <v>96.11</v>
      </c>
      <c r="G905">
        <v>6</v>
      </c>
      <c r="H905">
        <v>4</v>
      </c>
      <c r="I905" t="s">
        <v>2292</v>
      </c>
      <c r="J905" t="s">
        <v>1702</v>
      </c>
      <c r="K905" s="39">
        <v>5.4079949999999997</v>
      </c>
      <c r="L905" s="1">
        <v>3.9626579999999998</v>
      </c>
      <c r="M905" s="1" t="s">
        <v>3482</v>
      </c>
      <c r="N905" s="1">
        <v>92.009</v>
      </c>
      <c r="O905" s="1">
        <f>ABS(Table4[[#This Row],[EndMP]]-Table4[[#This Row],[StartMP]])</f>
        <v>4.1009999999999991</v>
      </c>
      <c r="P905" s="1" t="str">
        <f>IF( AND( Table4[[#This Row],[Route]]=ClosureLocation!$B$3, ClosureLocation!$B$6 &gt;= Table4[[#This Row],[StartMP]], ClosureLocation!$B$6 &lt;= Table4[[#This Row],[EndMP]]), "Yes", "")</f>
        <v/>
      </c>
      <c r="Q905" s="1" t="str">
        <f>IF( AND( Table4[[#This Row],[Route]]=ClosureLocation!$B$3, ClosureLocation!$B$6 &lt;= Table4[[#This Row],[StartMP]], ClosureLocation!$B$6 &gt;= Table4[[#This Row],[EndMP]]), "Yes", "")</f>
        <v/>
      </c>
      <c r="R905" s="1" t="str">
        <f>IF( OR( Table4[[#This Row],[PrimaryMatch]]="Yes", Table4[[#This Row],[SecondaryMatch]]="Yes"), "Yes", "")</f>
        <v/>
      </c>
    </row>
    <row r="906" spans="1:18" hidden="1" x14ac:dyDescent="0.25">
      <c r="A906" t="s">
        <v>1025</v>
      </c>
      <c r="B906" t="s">
        <v>3209</v>
      </c>
      <c r="C906" t="s">
        <v>3226</v>
      </c>
      <c r="D906" t="s">
        <v>3923</v>
      </c>
      <c r="E906" s="1">
        <v>14.709</v>
      </c>
      <c r="F906" s="1">
        <v>8.8089999999999993</v>
      </c>
      <c r="H906">
        <v>2</v>
      </c>
      <c r="I906" t="s">
        <v>2811</v>
      </c>
      <c r="J906" t="s">
        <v>1706</v>
      </c>
      <c r="K906" s="39">
        <v>5.358994</v>
      </c>
      <c r="L906" s="1">
        <v>3.1826880000000002</v>
      </c>
      <c r="M906" s="1" t="s">
        <v>3924</v>
      </c>
      <c r="N906" s="1">
        <v>985.29100000000005</v>
      </c>
      <c r="O906" s="1">
        <f>ABS(Table4[[#This Row],[EndMP]]-Table4[[#This Row],[StartMP]])</f>
        <v>5.9</v>
      </c>
      <c r="P906" s="1" t="str">
        <f>IF( AND( Table4[[#This Row],[Route]]=ClosureLocation!$B$3, ClosureLocation!$B$6 &gt;= Table4[[#This Row],[StartMP]], ClosureLocation!$B$6 &lt;= Table4[[#This Row],[EndMP]]), "Yes", "")</f>
        <v/>
      </c>
      <c r="Q906" s="1" t="str">
        <f>IF( AND( Table4[[#This Row],[Route]]=ClosureLocation!$B$3, ClosureLocation!$B$6 &lt;= Table4[[#This Row],[StartMP]], ClosureLocation!$B$6 &gt;= Table4[[#This Row],[EndMP]]), "Yes", "")</f>
        <v/>
      </c>
      <c r="R906" s="1" t="str">
        <f>IF( OR( Table4[[#This Row],[PrimaryMatch]]="Yes", Table4[[#This Row],[SecondaryMatch]]="Yes"), "Yes", "")</f>
        <v/>
      </c>
    </row>
    <row r="907" spans="1:18" hidden="1" x14ac:dyDescent="0.25">
      <c r="A907" t="s">
        <v>546</v>
      </c>
      <c r="B907" t="s">
        <v>3209</v>
      </c>
      <c r="C907" t="s">
        <v>3226</v>
      </c>
      <c r="D907" t="s">
        <v>3585</v>
      </c>
      <c r="E907" s="1">
        <v>300.625</v>
      </c>
      <c r="F907" s="1">
        <v>297</v>
      </c>
      <c r="H907">
        <v>3</v>
      </c>
      <c r="I907" t="s">
        <v>2388</v>
      </c>
      <c r="J907" t="s">
        <v>1704</v>
      </c>
      <c r="K907" s="39">
        <v>5.3515899999999998</v>
      </c>
      <c r="L907" s="1">
        <v>5.0138069999999999</v>
      </c>
      <c r="M907" s="1" t="s">
        <v>3587</v>
      </c>
      <c r="N907" s="1">
        <v>699.375</v>
      </c>
      <c r="O907" s="1">
        <f>ABS(Table4[[#This Row],[EndMP]]-Table4[[#This Row],[StartMP]])</f>
        <v>3.625</v>
      </c>
      <c r="P907" s="1" t="str">
        <f>IF( AND( Table4[[#This Row],[Route]]=ClosureLocation!$B$3, ClosureLocation!$B$6 &gt;= Table4[[#This Row],[StartMP]], ClosureLocation!$B$6 &lt;= Table4[[#This Row],[EndMP]]), "Yes", "")</f>
        <v/>
      </c>
      <c r="Q907" s="1" t="str">
        <f>IF( AND( Table4[[#This Row],[Route]]=ClosureLocation!$B$3, ClosureLocation!$B$6 &lt;= Table4[[#This Row],[StartMP]], ClosureLocation!$B$6 &gt;= Table4[[#This Row],[EndMP]]), "Yes", "")</f>
        <v/>
      </c>
      <c r="R907" s="1" t="str">
        <f>IF( OR( Table4[[#This Row],[PrimaryMatch]]="Yes", Table4[[#This Row],[SecondaryMatch]]="Yes"), "Yes", "")</f>
        <v/>
      </c>
    </row>
    <row r="908" spans="1:18" hidden="1" x14ac:dyDescent="0.25">
      <c r="A908" t="s">
        <v>719</v>
      </c>
      <c r="B908" t="s">
        <v>3209</v>
      </c>
      <c r="C908" t="s">
        <v>3226</v>
      </c>
      <c r="D908" t="s">
        <v>3699</v>
      </c>
      <c r="E908" s="1">
        <v>4.968</v>
      </c>
      <c r="F908" s="1">
        <v>0</v>
      </c>
      <c r="G908">
        <v>1</v>
      </c>
      <c r="H908">
        <v>2</v>
      </c>
      <c r="I908" t="s">
        <v>2514</v>
      </c>
      <c r="J908" t="s">
        <v>1699</v>
      </c>
      <c r="K908" s="39">
        <v>5.3315910000000004</v>
      </c>
      <c r="L908" s="1">
        <v>5.3246339999999996</v>
      </c>
      <c r="M908" s="1" t="s">
        <v>3700</v>
      </c>
      <c r="N908" s="1">
        <v>995.03200000000004</v>
      </c>
      <c r="O908" s="1">
        <f>ABS(Table4[[#This Row],[EndMP]]-Table4[[#This Row],[StartMP]])</f>
        <v>4.968</v>
      </c>
      <c r="P908" s="1" t="str">
        <f>IF( AND( Table4[[#This Row],[Route]]=ClosureLocation!$B$3, ClosureLocation!$B$6 &gt;= Table4[[#This Row],[StartMP]], ClosureLocation!$B$6 &lt;= Table4[[#This Row],[EndMP]]), "Yes", "")</f>
        <v/>
      </c>
      <c r="Q908" s="1" t="str">
        <f>IF( AND( Table4[[#This Row],[Route]]=ClosureLocation!$B$3, ClosureLocation!$B$6 &lt;= Table4[[#This Row],[StartMP]], ClosureLocation!$B$6 &gt;= Table4[[#This Row],[EndMP]]), "Yes", "")</f>
        <v/>
      </c>
      <c r="R908" s="1" t="str">
        <f>IF( OR( Table4[[#This Row],[PrimaryMatch]]="Yes", Table4[[#This Row],[SecondaryMatch]]="Yes"), "Yes", "")</f>
        <v/>
      </c>
    </row>
    <row r="909" spans="1:18" hidden="1" x14ac:dyDescent="0.25">
      <c r="A909" t="s">
        <v>957</v>
      </c>
      <c r="B909" t="s">
        <v>3209</v>
      </c>
      <c r="C909" t="s">
        <v>3226</v>
      </c>
      <c r="D909" t="s">
        <v>3858</v>
      </c>
      <c r="E909" s="1">
        <v>85.293000000000006</v>
      </c>
      <c r="F909" s="1">
        <v>11.699</v>
      </c>
      <c r="G909">
        <v>1</v>
      </c>
      <c r="H909">
        <v>2</v>
      </c>
      <c r="I909" t="s">
        <v>2757</v>
      </c>
      <c r="J909" t="s">
        <v>1702</v>
      </c>
      <c r="K909" s="39">
        <v>5.3296809999999999</v>
      </c>
      <c r="L909" s="1">
        <v>41.926400999999998</v>
      </c>
      <c r="M909" s="1" t="s">
        <v>3859</v>
      </c>
      <c r="N909" s="1">
        <v>914.70699999999999</v>
      </c>
      <c r="O909" s="1">
        <f>ABS(Table4[[#This Row],[EndMP]]-Table4[[#This Row],[StartMP]])</f>
        <v>73.594000000000008</v>
      </c>
      <c r="P909" s="1" t="str">
        <f>IF( AND( Table4[[#This Row],[Route]]=ClosureLocation!$B$3, ClosureLocation!$B$6 &gt;= Table4[[#This Row],[StartMP]], ClosureLocation!$B$6 &lt;= Table4[[#This Row],[EndMP]]), "Yes", "")</f>
        <v/>
      </c>
      <c r="Q909" s="1" t="str">
        <f>IF( AND( Table4[[#This Row],[Route]]=ClosureLocation!$B$3, ClosureLocation!$B$6 &lt;= Table4[[#This Row],[StartMP]], ClosureLocation!$B$6 &gt;= Table4[[#This Row],[EndMP]]), "Yes", "")</f>
        <v/>
      </c>
      <c r="R909" s="1" t="str">
        <f>IF( OR( Table4[[#This Row],[PrimaryMatch]]="Yes", Table4[[#This Row],[SecondaryMatch]]="Yes"), "Yes", "")</f>
        <v/>
      </c>
    </row>
    <row r="910" spans="1:18" hidden="1" x14ac:dyDescent="0.25">
      <c r="A910" t="s">
        <v>310</v>
      </c>
      <c r="B910" t="s">
        <v>3205</v>
      </c>
      <c r="C910" t="s">
        <v>3206</v>
      </c>
      <c r="D910" t="s">
        <v>3427</v>
      </c>
      <c r="E910" s="1">
        <v>209.672</v>
      </c>
      <c r="F910" s="1">
        <v>209.84899999999999</v>
      </c>
      <c r="G910">
        <v>19</v>
      </c>
      <c r="H910">
        <v>8</v>
      </c>
      <c r="I910" t="s">
        <v>2225</v>
      </c>
      <c r="J910" t="s">
        <v>1700</v>
      </c>
      <c r="K910" s="39">
        <v>5.3259840000000001</v>
      </c>
      <c r="L910" s="1">
        <v>2.1033569999999999</v>
      </c>
      <c r="M910" s="1" t="s">
        <v>3435</v>
      </c>
      <c r="N910" s="1">
        <v>209.672</v>
      </c>
      <c r="O910" s="1">
        <f>ABS(Table4[[#This Row],[EndMP]]-Table4[[#This Row],[StartMP]])</f>
        <v>0.1769999999999925</v>
      </c>
      <c r="P910" s="1" t="str">
        <f>IF( AND( Table4[[#This Row],[Route]]=ClosureLocation!$B$3, ClosureLocation!$B$6 &gt;= Table4[[#This Row],[StartMP]], ClosureLocation!$B$6 &lt;= Table4[[#This Row],[EndMP]]), "Yes", "")</f>
        <v/>
      </c>
      <c r="Q910" s="1" t="str">
        <f>IF( AND( Table4[[#This Row],[Route]]=ClosureLocation!$B$3, ClosureLocation!$B$6 &lt;= Table4[[#This Row],[StartMP]], ClosureLocation!$B$6 &gt;= Table4[[#This Row],[EndMP]]), "Yes", "")</f>
        <v/>
      </c>
      <c r="R910" s="1" t="str">
        <f>IF( OR( Table4[[#This Row],[PrimaryMatch]]="Yes", Table4[[#This Row],[SecondaryMatch]]="Yes"), "Yes", "")</f>
        <v/>
      </c>
    </row>
    <row r="911" spans="1:18" hidden="1" x14ac:dyDescent="0.25">
      <c r="A911" t="s">
        <v>1516</v>
      </c>
      <c r="B911" t="s">
        <v>3205</v>
      </c>
      <c r="C911" t="s">
        <v>3206</v>
      </c>
      <c r="D911" t="s">
        <v>4285</v>
      </c>
      <c r="E911" s="1">
        <v>289.59300000000002</v>
      </c>
      <c r="F911" s="1">
        <v>294.71100000000001</v>
      </c>
      <c r="G911">
        <v>2</v>
      </c>
      <c r="H911">
        <v>1</v>
      </c>
      <c r="I911" t="s">
        <v>3098</v>
      </c>
      <c r="J911" t="s">
        <v>1701</v>
      </c>
      <c r="K911" s="39">
        <v>5.3229139999999999</v>
      </c>
      <c r="L911" s="1">
        <v>5.2794590000000001</v>
      </c>
      <c r="M911" s="1" t="s">
        <v>4287</v>
      </c>
      <c r="N911" s="1">
        <v>289.59300000000002</v>
      </c>
      <c r="O911" s="1">
        <f>ABS(Table4[[#This Row],[EndMP]]-Table4[[#This Row],[StartMP]])</f>
        <v>5.117999999999995</v>
      </c>
      <c r="P911" s="1" t="str">
        <f>IF( AND( Table4[[#This Row],[Route]]=ClosureLocation!$B$3, ClosureLocation!$B$6 &gt;= Table4[[#This Row],[StartMP]], ClosureLocation!$B$6 &lt;= Table4[[#This Row],[EndMP]]), "Yes", "")</f>
        <v/>
      </c>
      <c r="Q911" s="1" t="str">
        <f>IF( AND( Table4[[#This Row],[Route]]=ClosureLocation!$B$3, ClosureLocation!$B$6 &lt;= Table4[[#This Row],[StartMP]], ClosureLocation!$B$6 &gt;= Table4[[#This Row],[EndMP]]), "Yes", "")</f>
        <v/>
      </c>
      <c r="R911" s="1" t="str">
        <f>IF( OR( Table4[[#This Row],[PrimaryMatch]]="Yes", Table4[[#This Row],[SecondaryMatch]]="Yes"), "Yes", "")</f>
        <v/>
      </c>
    </row>
    <row r="912" spans="1:18" hidden="1" x14ac:dyDescent="0.25">
      <c r="A912" t="s">
        <v>719</v>
      </c>
      <c r="B912" t="s">
        <v>3205</v>
      </c>
      <c r="C912" t="s">
        <v>3222</v>
      </c>
      <c r="D912" t="s">
        <v>3697</v>
      </c>
      <c r="E912" s="1">
        <v>0</v>
      </c>
      <c r="F912" s="1">
        <v>4.968</v>
      </c>
      <c r="G912">
        <v>1</v>
      </c>
      <c r="H912">
        <v>1</v>
      </c>
      <c r="I912" t="s">
        <v>2513</v>
      </c>
      <c r="J912" t="s">
        <v>1699</v>
      </c>
      <c r="K912" s="39">
        <v>5.2303410000000001</v>
      </c>
      <c r="L912" s="1">
        <v>5.3539240000000001</v>
      </c>
      <c r="M912" s="1" t="s">
        <v>3698</v>
      </c>
      <c r="N912" s="1">
        <v>0</v>
      </c>
      <c r="O912" s="1">
        <f>ABS(Table4[[#This Row],[EndMP]]-Table4[[#This Row],[StartMP]])</f>
        <v>4.968</v>
      </c>
      <c r="P912" s="1" t="str">
        <f>IF( AND( Table4[[#This Row],[Route]]=ClosureLocation!$B$3, ClosureLocation!$B$6 &gt;= Table4[[#This Row],[StartMP]], ClosureLocation!$B$6 &lt;= Table4[[#This Row],[EndMP]]), "Yes", "")</f>
        <v/>
      </c>
      <c r="Q912" s="1" t="str">
        <f>IF( AND( Table4[[#This Row],[Route]]=ClosureLocation!$B$3, ClosureLocation!$B$6 &lt;= Table4[[#This Row],[StartMP]], ClosureLocation!$B$6 &gt;= Table4[[#This Row],[EndMP]]), "Yes", "")</f>
        <v/>
      </c>
      <c r="R912" s="1" t="str">
        <f>IF( OR( Table4[[#This Row],[PrimaryMatch]]="Yes", Table4[[#This Row],[SecondaryMatch]]="Yes"), "Yes", "")</f>
        <v/>
      </c>
    </row>
    <row r="913" spans="1:18" hidden="1" x14ac:dyDescent="0.25">
      <c r="A913" t="s">
        <v>1204</v>
      </c>
      <c r="B913" t="s">
        <v>3209</v>
      </c>
      <c r="C913" t="s">
        <v>3226</v>
      </c>
      <c r="D913" t="s">
        <v>4062</v>
      </c>
      <c r="E913" s="1">
        <v>7.9729999999999999</v>
      </c>
      <c r="F913" s="1">
        <v>0</v>
      </c>
      <c r="H913">
        <v>2</v>
      </c>
      <c r="I913" t="s">
        <v>2915</v>
      </c>
      <c r="J913" t="s">
        <v>1692</v>
      </c>
      <c r="K913" s="39">
        <v>5.2252020000000003</v>
      </c>
      <c r="L913" s="1">
        <v>3.409313</v>
      </c>
      <c r="M913" s="1" t="s">
        <v>4063</v>
      </c>
      <c r="N913" s="1">
        <v>992.02700000000004</v>
      </c>
      <c r="O913" s="1">
        <f>ABS(Table4[[#This Row],[EndMP]]-Table4[[#This Row],[StartMP]])</f>
        <v>7.9729999999999999</v>
      </c>
      <c r="P913" s="1" t="str">
        <f>IF( AND( Table4[[#This Row],[Route]]=ClosureLocation!$B$3, ClosureLocation!$B$6 &gt;= Table4[[#This Row],[StartMP]], ClosureLocation!$B$6 &lt;= Table4[[#This Row],[EndMP]]), "Yes", "")</f>
        <v/>
      </c>
      <c r="Q913" s="1" t="str">
        <f>IF( AND( Table4[[#This Row],[Route]]=ClosureLocation!$B$3, ClosureLocation!$B$6 &lt;= Table4[[#This Row],[StartMP]], ClosureLocation!$B$6 &gt;= Table4[[#This Row],[EndMP]]), "Yes", "")</f>
        <v/>
      </c>
      <c r="R913" s="1" t="str">
        <f>IF( OR( Table4[[#This Row],[PrimaryMatch]]="Yes", Table4[[#This Row],[SecondaryMatch]]="Yes"), "Yes", "")</f>
        <v/>
      </c>
    </row>
    <row r="914" spans="1:18" hidden="1" x14ac:dyDescent="0.25">
      <c r="A914" t="s">
        <v>65</v>
      </c>
      <c r="B914" t="s">
        <v>3209</v>
      </c>
      <c r="C914" t="s">
        <v>3226</v>
      </c>
      <c r="D914" t="s">
        <v>3247</v>
      </c>
      <c r="E914" s="1">
        <v>279.04700000000003</v>
      </c>
      <c r="F914" s="1">
        <v>275.83</v>
      </c>
      <c r="G914">
        <v>4</v>
      </c>
      <c r="H914">
        <v>10</v>
      </c>
      <c r="I914" t="s">
        <v>2076</v>
      </c>
      <c r="J914" t="s">
        <v>1705</v>
      </c>
      <c r="K914" s="39">
        <v>5.2112939999999996</v>
      </c>
      <c r="L914" s="1">
        <v>1.2133830000000001</v>
      </c>
      <c r="M914" s="1" t="s">
        <v>3251</v>
      </c>
      <c r="N914" s="1">
        <v>720.95299999999997</v>
      </c>
      <c r="O914" s="1">
        <f>ABS(Table4[[#This Row],[EndMP]]-Table4[[#This Row],[StartMP]])</f>
        <v>3.2170000000000414</v>
      </c>
      <c r="P914" s="1" t="str">
        <f>IF( AND( Table4[[#This Row],[Route]]=ClosureLocation!$B$3, ClosureLocation!$B$6 &gt;= Table4[[#This Row],[StartMP]], ClosureLocation!$B$6 &lt;= Table4[[#This Row],[EndMP]]), "Yes", "")</f>
        <v/>
      </c>
      <c r="Q914" s="1" t="str">
        <f>IF( AND( Table4[[#This Row],[Route]]=ClosureLocation!$B$3, ClosureLocation!$B$6 &lt;= Table4[[#This Row],[StartMP]], ClosureLocation!$B$6 &gt;= Table4[[#This Row],[EndMP]]), "Yes", "")</f>
        <v/>
      </c>
      <c r="R914" s="1" t="str">
        <f>IF( OR( Table4[[#This Row],[PrimaryMatch]]="Yes", Table4[[#This Row],[SecondaryMatch]]="Yes"), "Yes", "")</f>
        <v/>
      </c>
    </row>
    <row r="915" spans="1:18" hidden="1" x14ac:dyDescent="0.25">
      <c r="A915" t="s">
        <v>1687</v>
      </c>
      <c r="B915" t="s">
        <v>3209</v>
      </c>
      <c r="C915" t="s">
        <v>3226</v>
      </c>
      <c r="D915" t="s">
        <v>3515</v>
      </c>
      <c r="E915" s="1">
        <v>0.74299999999999999</v>
      </c>
      <c r="F915" s="1">
        <v>0</v>
      </c>
      <c r="G915">
        <v>1</v>
      </c>
      <c r="H915">
        <v>2</v>
      </c>
      <c r="I915" t="s">
        <v>2324</v>
      </c>
      <c r="J915" t="s">
        <v>1690</v>
      </c>
      <c r="K915" s="39">
        <v>5.1821719999999996</v>
      </c>
      <c r="L915" s="1">
        <v>3.8373029999999999</v>
      </c>
      <c r="M915" s="1" t="s">
        <v>3516</v>
      </c>
      <c r="N915" s="1">
        <v>999.25699999999995</v>
      </c>
      <c r="O915" s="1">
        <f>ABS(Table4[[#This Row],[EndMP]]-Table4[[#This Row],[StartMP]])</f>
        <v>0.74299999999999999</v>
      </c>
      <c r="P915" s="1" t="str">
        <f>IF( AND( Table4[[#This Row],[Route]]=ClosureLocation!$B$3, ClosureLocation!$B$6 &gt;= Table4[[#This Row],[StartMP]], ClosureLocation!$B$6 &lt;= Table4[[#This Row],[EndMP]]), "Yes", "")</f>
        <v/>
      </c>
      <c r="Q915" s="1" t="str">
        <f>IF( AND( Table4[[#This Row],[Route]]=ClosureLocation!$B$3, ClosureLocation!$B$6 &lt;= Table4[[#This Row],[StartMP]], ClosureLocation!$B$6 &gt;= Table4[[#This Row],[EndMP]]), "Yes", "")</f>
        <v/>
      </c>
      <c r="R915" s="1" t="str">
        <f>IF( OR( Table4[[#This Row],[PrimaryMatch]]="Yes", Table4[[#This Row],[SecondaryMatch]]="Yes"), "Yes", "")</f>
        <v/>
      </c>
    </row>
    <row r="916" spans="1:18" hidden="1" x14ac:dyDescent="0.25">
      <c r="A916" t="s">
        <v>139</v>
      </c>
      <c r="B916" t="s">
        <v>3205</v>
      </c>
      <c r="C916" t="s">
        <v>3222</v>
      </c>
      <c r="D916" t="s">
        <v>3281</v>
      </c>
      <c r="E916" s="1">
        <v>52.29</v>
      </c>
      <c r="F916" s="1">
        <v>53.457000000000001</v>
      </c>
      <c r="G916">
        <v>1</v>
      </c>
      <c r="H916">
        <v>1</v>
      </c>
      <c r="I916" t="s">
        <v>2107</v>
      </c>
      <c r="J916" t="s">
        <v>1696</v>
      </c>
      <c r="K916" s="39">
        <v>5.1622380000000003</v>
      </c>
      <c r="L916" s="1">
        <v>2.9251960000000001</v>
      </c>
      <c r="M916" s="1" t="s">
        <v>3282</v>
      </c>
      <c r="N916" s="1">
        <v>52.29</v>
      </c>
      <c r="O916" s="1">
        <f>ABS(Table4[[#This Row],[EndMP]]-Table4[[#This Row],[StartMP]])</f>
        <v>1.1670000000000016</v>
      </c>
      <c r="P916" s="1" t="str">
        <f>IF( AND( Table4[[#This Row],[Route]]=ClosureLocation!$B$3, ClosureLocation!$B$6 &gt;= Table4[[#This Row],[StartMP]], ClosureLocation!$B$6 &lt;= Table4[[#This Row],[EndMP]]), "Yes", "")</f>
        <v/>
      </c>
      <c r="Q916" s="1" t="str">
        <f>IF( AND( Table4[[#This Row],[Route]]=ClosureLocation!$B$3, ClosureLocation!$B$6 &lt;= Table4[[#This Row],[StartMP]], ClosureLocation!$B$6 &gt;= Table4[[#This Row],[EndMP]]), "Yes", "")</f>
        <v/>
      </c>
      <c r="R916" s="1" t="str">
        <f>IF( OR( Table4[[#This Row],[PrimaryMatch]]="Yes", Table4[[#This Row],[SecondaryMatch]]="Yes"), "Yes", "")</f>
        <v/>
      </c>
    </row>
    <row r="917" spans="1:18" hidden="1" x14ac:dyDescent="0.25">
      <c r="A917" t="s">
        <v>65</v>
      </c>
      <c r="B917" t="s">
        <v>3209</v>
      </c>
      <c r="C917" t="s">
        <v>3226</v>
      </c>
      <c r="D917" t="s">
        <v>3247</v>
      </c>
      <c r="E917" s="1">
        <v>282.16800000000001</v>
      </c>
      <c r="F917" s="1">
        <v>281</v>
      </c>
      <c r="G917">
        <v>2</v>
      </c>
      <c r="H917">
        <v>8</v>
      </c>
      <c r="I917" t="s">
        <v>2074</v>
      </c>
      <c r="J917" t="s">
        <v>1705</v>
      </c>
      <c r="K917" s="39">
        <v>5.1500820000000003</v>
      </c>
      <c r="L917" s="1">
        <v>1.91204</v>
      </c>
      <c r="M917" s="1" t="s">
        <v>3249</v>
      </c>
      <c r="N917" s="1">
        <v>717.83199999999999</v>
      </c>
      <c r="O917" s="1">
        <f>ABS(Table4[[#This Row],[EndMP]]-Table4[[#This Row],[StartMP]])</f>
        <v>1.1680000000000064</v>
      </c>
      <c r="P917" s="1" t="str">
        <f>IF( AND( Table4[[#This Row],[Route]]=ClosureLocation!$B$3, ClosureLocation!$B$6 &gt;= Table4[[#This Row],[StartMP]], ClosureLocation!$B$6 &lt;= Table4[[#This Row],[EndMP]]), "Yes", "")</f>
        <v/>
      </c>
      <c r="Q917" s="1" t="str">
        <f>IF( AND( Table4[[#This Row],[Route]]=ClosureLocation!$B$3, ClosureLocation!$B$6 &lt;= Table4[[#This Row],[StartMP]], ClosureLocation!$B$6 &gt;= Table4[[#This Row],[EndMP]]), "Yes", "")</f>
        <v/>
      </c>
      <c r="R917" s="1" t="str">
        <f>IF( OR( Table4[[#This Row],[PrimaryMatch]]="Yes", Table4[[#This Row],[SecondaryMatch]]="Yes"), "Yes", "")</f>
        <v/>
      </c>
    </row>
    <row r="918" spans="1:18" hidden="1" x14ac:dyDescent="0.25">
      <c r="A918" t="s">
        <v>1493</v>
      </c>
      <c r="B918" t="s">
        <v>3205</v>
      </c>
      <c r="C918" t="s">
        <v>3206</v>
      </c>
      <c r="D918" t="s">
        <v>4252</v>
      </c>
      <c r="E918" s="1">
        <v>248.44300000000001</v>
      </c>
      <c r="F918" s="1">
        <v>249.58</v>
      </c>
      <c r="G918">
        <v>4</v>
      </c>
      <c r="H918">
        <v>5</v>
      </c>
      <c r="I918" t="s">
        <v>3073</v>
      </c>
      <c r="J918" t="s">
        <v>1693</v>
      </c>
      <c r="K918" s="39">
        <v>5.1267259999999997</v>
      </c>
      <c r="L918" s="1">
        <v>2.9551099999999999</v>
      </c>
      <c r="M918" s="1" t="s">
        <v>4256</v>
      </c>
      <c r="N918" s="1">
        <v>248.44300000000001</v>
      </c>
      <c r="O918" s="1">
        <f>ABS(Table4[[#This Row],[EndMP]]-Table4[[#This Row],[StartMP]])</f>
        <v>1.1370000000000005</v>
      </c>
      <c r="P918" s="1" t="str">
        <f>IF( AND( Table4[[#This Row],[Route]]=ClosureLocation!$B$3, ClosureLocation!$B$6 &gt;= Table4[[#This Row],[StartMP]], ClosureLocation!$B$6 &lt;= Table4[[#This Row],[EndMP]]), "Yes", "")</f>
        <v/>
      </c>
      <c r="Q918" s="1" t="str">
        <f>IF( AND( Table4[[#This Row],[Route]]=ClosureLocation!$B$3, ClosureLocation!$B$6 &lt;= Table4[[#This Row],[StartMP]], ClosureLocation!$B$6 &gt;= Table4[[#This Row],[EndMP]]), "Yes", "")</f>
        <v/>
      </c>
      <c r="R918" s="1" t="str">
        <f>IF( OR( Table4[[#This Row],[PrimaryMatch]]="Yes", Table4[[#This Row],[SecondaryMatch]]="Yes"), "Yes", "")</f>
        <v/>
      </c>
    </row>
    <row r="919" spans="1:18" hidden="1" x14ac:dyDescent="0.25">
      <c r="A919" t="s">
        <v>917</v>
      </c>
      <c r="B919" t="s">
        <v>3205</v>
      </c>
      <c r="C919" t="s">
        <v>3222</v>
      </c>
      <c r="D919" t="s">
        <v>3837</v>
      </c>
      <c r="E919" s="1">
        <v>6.0229999999999997</v>
      </c>
      <c r="F919" s="1">
        <v>6.4359999999999999</v>
      </c>
      <c r="G919">
        <v>4</v>
      </c>
      <c r="H919">
        <v>4</v>
      </c>
      <c r="I919" t="s">
        <v>2707</v>
      </c>
      <c r="J919" t="s">
        <v>1694</v>
      </c>
      <c r="K919" s="39">
        <v>5.1226599999999998</v>
      </c>
      <c r="L919" s="1">
        <v>2.0662029999999998</v>
      </c>
      <c r="M919" s="1" t="s">
        <v>4955</v>
      </c>
      <c r="N919" s="1">
        <v>6.0229999999999997</v>
      </c>
      <c r="O919" s="1">
        <f>ABS(Table4[[#This Row],[EndMP]]-Table4[[#This Row],[StartMP]])</f>
        <v>0.41300000000000026</v>
      </c>
      <c r="P919" s="1" t="str">
        <f>IF( AND( Table4[[#This Row],[Route]]=ClosureLocation!$B$3, ClosureLocation!$B$6 &gt;= Table4[[#This Row],[StartMP]], ClosureLocation!$B$6 &lt;= Table4[[#This Row],[EndMP]]), "Yes", "")</f>
        <v/>
      </c>
      <c r="Q919" s="1" t="str">
        <f>IF( AND( Table4[[#This Row],[Route]]=ClosureLocation!$B$3, ClosureLocation!$B$6 &lt;= Table4[[#This Row],[StartMP]], ClosureLocation!$B$6 &gt;= Table4[[#This Row],[EndMP]]), "Yes", "")</f>
        <v/>
      </c>
      <c r="R919" s="1" t="str">
        <f>IF( OR( Table4[[#This Row],[PrimaryMatch]]="Yes", Table4[[#This Row],[SecondaryMatch]]="Yes"), "Yes", "")</f>
        <v/>
      </c>
    </row>
    <row r="920" spans="1:18" hidden="1" x14ac:dyDescent="0.25">
      <c r="A920" t="s">
        <v>732</v>
      </c>
      <c r="B920" t="s">
        <v>3209</v>
      </c>
      <c r="C920" t="s">
        <v>3210</v>
      </c>
      <c r="D920" t="s">
        <v>3714</v>
      </c>
      <c r="E920" s="1">
        <v>53.246000000000002</v>
      </c>
      <c r="F920" s="1">
        <v>29.006</v>
      </c>
      <c r="G920">
        <v>2</v>
      </c>
      <c r="H920">
        <v>2</v>
      </c>
      <c r="I920" t="s">
        <v>2524</v>
      </c>
      <c r="J920" t="s">
        <v>1724</v>
      </c>
      <c r="K920" s="39">
        <v>5.0762910000000003</v>
      </c>
      <c r="L920" s="1">
        <v>22.526056000000001</v>
      </c>
      <c r="M920" s="1" t="s">
        <v>3716</v>
      </c>
      <c r="N920" s="1">
        <v>946.75400000000002</v>
      </c>
      <c r="O920" s="1">
        <f>ABS(Table4[[#This Row],[EndMP]]-Table4[[#This Row],[StartMP]])</f>
        <v>24.240000000000002</v>
      </c>
      <c r="P920" s="1" t="str">
        <f>IF( AND( Table4[[#This Row],[Route]]=ClosureLocation!$B$3, ClosureLocation!$B$6 &gt;= Table4[[#This Row],[StartMP]], ClosureLocation!$B$6 &lt;= Table4[[#This Row],[EndMP]]), "Yes", "")</f>
        <v/>
      </c>
      <c r="Q920" s="1" t="str">
        <f>IF( AND( Table4[[#This Row],[Route]]=ClosureLocation!$B$3, ClosureLocation!$B$6 &lt;= Table4[[#This Row],[StartMP]], ClosureLocation!$B$6 &gt;= Table4[[#This Row],[EndMP]]), "Yes", "")</f>
        <v/>
      </c>
      <c r="R920" s="1" t="str">
        <f>IF( OR( Table4[[#This Row],[PrimaryMatch]]="Yes", Table4[[#This Row],[SecondaryMatch]]="Yes"), "Yes", "")</f>
        <v/>
      </c>
    </row>
    <row r="921" spans="1:18" hidden="1" x14ac:dyDescent="0.25">
      <c r="A921" t="s">
        <v>1493</v>
      </c>
      <c r="B921" t="s">
        <v>3209</v>
      </c>
      <c r="C921" t="s">
        <v>3210</v>
      </c>
      <c r="D921" t="s">
        <v>4262</v>
      </c>
      <c r="E921" s="1">
        <v>249.874</v>
      </c>
      <c r="F921" s="1">
        <v>248.459</v>
      </c>
      <c r="G921">
        <v>7</v>
      </c>
      <c r="H921">
        <v>17</v>
      </c>
      <c r="I921" t="s">
        <v>3085</v>
      </c>
      <c r="J921" t="s">
        <v>1693</v>
      </c>
      <c r="K921" s="39">
        <v>5.0682070000000001</v>
      </c>
      <c r="L921" s="1">
        <v>2.600994</v>
      </c>
      <c r="M921" s="1" t="s">
        <v>4269</v>
      </c>
      <c r="N921" s="1">
        <v>750.12599999999998</v>
      </c>
      <c r="O921" s="1">
        <f>ABS(Table4[[#This Row],[EndMP]]-Table4[[#This Row],[StartMP]])</f>
        <v>1.414999999999992</v>
      </c>
      <c r="P921" s="1" t="str">
        <f>IF( AND( Table4[[#This Row],[Route]]=ClosureLocation!$B$3, ClosureLocation!$B$6 &gt;= Table4[[#This Row],[StartMP]], ClosureLocation!$B$6 &lt;= Table4[[#This Row],[EndMP]]), "Yes", "")</f>
        <v/>
      </c>
      <c r="Q921" s="1" t="str">
        <f>IF( AND( Table4[[#This Row],[Route]]=ClosureLocation!$B$3, ClosureLocation!$B$6 &lt;= Table4[[#This Row],[StartMP]], ClosureLocation!$B$6 &gt;= Table4[[#This Row],[EndMP]]), "Yes", "")</f>
        <v/>
      </c>
      <c r="R921" s="1" t="str">
        <f>IF( OR( Table4[[#This Row],[PrimaryMatch]]="Yes", Table4[[#This Row],[SecondaryMatch]]="Yes"), "Yes", "")</f>
        <v/>
      </c>
    </row>
    <row r="922" spans="1:18" hidden="1" x14ac:dyDescent="0.25">
      <c r="A922" t="s">
        <v>1025</v>
      </c>
      <c r="B922" t="s">
        <v>3209</v>
      </c>
      <c r="C922" t="s">
        <v>3226</v>
      </c>
      <c r="D922" t="s">
        <v>3923</v>
      </c>
      <c r="E922" s="1">
        <v>5.9569999999999999</v>
      </c>
      <c r="F922" s="1">
        <v>1.978</v>
      </c>
      <c r="H922">
        <v>2</v>
      </c>
      <c r="I922" t="s">
        <v>2812</v>
      </c>
      <c r="J922" t="s">
        <v>2040</v>
      </c>
      <c r="K922" s="39">
        <v>5.0597709999999996</v>
      </c>
      <c r="L922" s="1">
        <v>3.0218379999999998</v>
      </c>
      <c r="M922" s="1" t="s">
        <v>3925</v>
      </c>
      <c r="N922" s="1">
        <v>994.04300000000001</v>
      </c>
      <c r="O922" s="1">
        <f>ABS(Table4[[#This Row],[EndMP]]-Table4[[#This Row],[StartMP]])</f>
        <v>3.9790000000000001</v>
      </c>
      <c r="P922" s="1" t="str">
        <f>IF( AND( Table4[[#This Row],[Route]]=ClosureLocation!$B$3, ClosureLocation!$B$6 &gt;= Table4[[#This Row],[StartMP]], ClosureLocation!$B$6 &lt;= Table4[[#This Row],[EndMP]]), "Yes", "")</f>
        <v/>
      </c>
      <c r="Q922" s="1" t="str">
        <f>IF( AND( Table4[[#This Row],[Route]]=ClosureLocation!$B$3, ClosureLocation!$B$6 &lt;= Table4[[#This Row],[StartMP]], ClosureLocation!$B$6 &gt;= Table4[[#This Row],[EndMP]]), "Yes", "")</f>
        <v/>
      </c>
      <c r="R922" s="1" t="str">
        <f>IF( OR( Table4[[#This Row],[PrimaryMatch]]="Yes", Table4[[#This Row],[SecondaryMatch]]="Yes"), "Yes", "")</f>
        <v/>
      </c>
    </row>
    <row r="923" spans="1:18" hidden="1" x14ac:dyDescent="0.25">
      <c r="A923" t="s">
        <v>776</v>
      </c>
      <c r="B923" t="s">
        <v>3205</v>
      </c>
      <c r="C923" t="s">
        <v>3222</v>
      </c>
      <c r="D923" t="s">
        <v>3748</v>
      </c>
      <c r="E923" s="1">
        <v>15.180999999999999</v>
      </c>
      <c r="F923" s="1">
        <v>19.149000000000001</v>
      </c>
      <c r="G923">
        <v>3</v>
      </c>
      <c r="H923">
        <v>3</v>
      </c>
      <c r="I923" t="s">
        <v>2548</v>
      </c>
      <c r="J923" t="s">
        <v>1694</v>
      </c>
      <c r="K923" s="39">
        <v>5.0169139999999999</v>
      </c>
      <c r="L923" s="1">
        <v>0.91382200000000002</v>
      </c>
      <c r="M923" s="1" t="s">
        <v>4454</v>
      </c>
      <c r="N923" s="1">
        <v>15.180999999999999</v>
      </c>
      <c r="O923" s="1">
        <f>ABS(Table4[[#This Row],[EndMP]]-Table4[[#This Row],[StartMP]])</f>
        <v>3.9680000000000017</v>
      </c>
      <c r="P923" s="1" t="str">
        <f>IF( AND( Table4[[#This Row],[Route]]=ClosureLocation!$B$3, ClosureLocation!$B$6 &gt;= Table4[[#This Row],[StartMP]], ClosureLocation!$B$6 &lt;= Table4[[#This Row],[EndMP]]), "Yes", "")</f>
        <v/>
      </c>
      <c r="Q923" s="1" t="str">
        <f>IF( AND( Table4[[#This Row],[Route]]=ClosureLocation!$B$3, ClosureLocation!$B$6 &lt;= Table4[[#This Row],[StartMP]], ClosureLocation!$B$6 &gt;= Table4[[#This Row],[EndMP]]), "Yes", "")</f>
        <v/>
      </c>
      <c r="R923" s="1" t="str">
        <f>IF( OR( Table4[[#This Row],[PrimaryMatch]]="Yes", Table4[[#This Row],[SecondaryMatch]]="Yes"), "Yes", "")</f>
        <v/>
      </c>
    </row>
    <row r="924" spans="1:18" hidden="1" x14ac:dyDescent="0.25">
      <c r="A924" t="s">
        <v>1025</v>
      </c>
      <c r="B924" t="s">
        <v>3209</v>
      </c>
      <c r="C924" t="s">
        <v>3226</v>
      </c>
      <c r="D924" t="s">
        <v>3923</v>
      </c>
      <c r="E924" s="1">
        <v>1.978</v>
      </c>
      <c r="F924" s="1">
        <v>1.1599999999999999</v>
      </c>
      <c r="H924">
        <v>3</v>
      </c>
      <c r="I924" t="s">
        <v>2813</v>
      </c>
      <c r="J924" t="s">
        <v>1707</v>
      </c>
      <c r="K924" s="39">
        <v>5.0019819999999999</v>
      </c>
      <c r="L924" s="1">
        <v>2.7432219999999998</v>
      </c>
      <c r="M924" s="1" t="s">
        <v>3926</v>
      </c>
      <c r="N924" s="1">
        <v>998.02200000000005</v>
      </c>
      <c r="O924" s="1">
        <f>ABS(Table4[[#This Row],[EndMP]]-Table4[[#This Row],[StartMP]])</f>
        <v>0.81800000000000006</v>
      </c>
      <c r="P924" s="1" t="str">
        <f>IF( AND( Table4[[#This Row],[Route]]=ClosureLocation!$B$3, ClosureLocation!$B$6 &gt;= Table4[[#This Row],[StartMP]], ClosureLocation!$B$6 &lt;= Table4[[#This Row],[EndMP]]), "Yes", "")</f>
        <v/>
      </c>
      <c r="Q924" s="1" t="str">
        <f>IF( AND( Table4[[#This Row],[Route]]=ClosureLocation!$B$3, ClosureLocation!$B$6 &lt;= Table4[[#This Row],[StartMP]], ClosureLocation!$B$6 &gt;= Table4[[#This Row],[EndMP]]), "Yes", "")</f>
        <v/>
      </c>
      <c r="R924" s="1" t="str">
        <f>IF( OR( Table4[[#This Row],[PrimaryMatch]]="Yes", Table4[[#This Row],[SecondaryMatch]]="Yes"), "Yes", "")</f>
        <v/>
      </c>
    </row>
    <row r="925" spans="1:18" hidden="1" x14ac:dyDescent="0.25">
      <c r="A925" t="s">
        <v>9</v>
      </c>
      <c r="B925" t="s">
        <v>3205</v>
      </c>
      <c r="C925" t="s">
        <v>3206</v>
      </c>
      <c r="D925" t="s">
        <v>3207</v>
      </c>
      <c r="E925" s="1">
        <v>9.8859999999999992</v>
      </c>
      <c r="F925" s="1">
        <v>10.053000000000001</v>
      </c>
      <c r="K925" s="39">
        <f>DefaultValues!$B$4</f>
        <v>5</v>
      </c>
      <c r="L925" s="1">
        <f>DefaultValues!$C$4</f>
        <v>0.5</v>
      </c>
      <c r="M925" s="1" t="str">
        <f>DefaultValues!$D$4</f>
        <v xml:space="preserve">- Within interchange - </v>
      </c>
      <c r="N925" s="1">
        <v>9.8859999999999992</v>
      </c>
      <c r="O925" s="1">
        <f>ABS(Table4[[#This Row],[EndMP]]-Table4[[#This Row],[StartMP]])</f>
        <v>0.16700000000000159</v>
      </c>
      <c r="P925" s="1" t="str">
        <f>IF( AND( Table4[[#This Row],[Route]]=ClosureLocation!$B$3, ClosureLocation!$B$6 &gt;= Table4[[#This Row],[StartMP]], ClosureLocation!$B$6 &lt;= Table4[[#This Row],[EndMP]]), "Yes", "")</f>
        <v/>
      </c>
      <c r="Q925" s="1" t="str">
        <f>IF( AND( Table4[[#This Row],[Route]]=ClosureLocation!$B$3, ClosureLocation!$B$6 &lt;= Table4[[#This Row],[StartMP]], ClosureLocation!$B$6 &gt;= Table4[[#This Row],[EndMP]]), "Yes", "")</f>
        <v/>
      </c>
      <c r="R925" s="1" t="str">
        <f>IF( OR( Table4[[#This Row],[PrimaryMatch]]="Yes", Table4[[#This Row],[SecondaryMatch]]="Yes"), "Yes", "")</f>
        <v/>
      </c>
    </row>
    <row r="926" spans="1:18" hidden="1" x14ac:dyDescent="0.25">
      <c r="A926" t="s">
        <v>9</v>
      </c>
      <c r="B926" t="s">
        <v>3209</v>
      </c>
      <c r="C926" t="s">
        <v>3210</v>
      </c>
      <c r="D926" t="s">
        <v>3211</v>
      </c>
      <c r="E926" s="1">
        <v>10.053000000000001</v>
      </c>
      <c r="F926" s="1">
        <v>9.8859999999999992</v>
      </c>
      <c r="K926" s="39">
        <f>DefaultValues!$B$4</f>
        <v>5</v>
      </c>
      <c r="L926" s="1">
        <f>DefaultValues!$C$4</f>
        <v>0.5</v>
      </c>
      <c r="M926" s="1" t="str">
        <f>DefaultValues!$D$4</f>
        <v xml:space="preserve">- Within interchange - </v>
      </c>
      <c r="N926" s="1">
        <v>989.94702099999995</v>
      </c>
      <c r="O926" s="1">
        <f>ABS(Table4[[#This Row],[EndMP]]-Table4[[#This Row],[StartMP]])</f>
        <v>0.16700000000000159</v>
      </c>
      <c r="P926" s="1" t="str">
        <f>IF( AND( Table4[[#This Row],[Route]]=ClosureLocation!$B$3, ClosureLocation!$B$6 &gt;= Table4[[#This Row],[StartMP]], ClosureLocation!$B$6 &lt;= Table4[[#This Row],[EndMP]]), "Yes", "")</f>
        <v/>
      </c>
      <c r="Q926" s="1" t="str">
        <f>IF( AND( Table4[[#This Row],[Route]]=ClosureLocation!$B$3, ClosureLocation!$B$6 &lt;= Table4[[#This Row],[StartMP]], ClosureLocation!$B$6 &gt;= Table4[[#This Row],[EndMP]]), "Yes", "")</f>
        <v/>
      </c>
      <c r="R926" s="1" t="str">
        <f>IF( OR( Table4[[#This Row],[PrimaryMatch]]="Yes", Table4[[#This Row],[SecondaryMatch]]="Yes"), "Yes", "")</f>
        <v/>
      </c>
    </row>
    <row r="927" spans="1:18" hidden="1" x14ac:dyDescent="0.25">
      <c r="A927" t="s">
        <v>12</v>
      </c>
      <c r="B927" t="s">
        <v>3205</v>
      </c>
      <c r="C927" t="s">
        <v>3206</v>
      </c>
      <c r="D927" t="s">
        <v>3213</v>
      </c>
      <c r="E927" s="1">
        <v>1.9419999999999999</v>
      </c>
      <c r="F927" s="1">
        <v>2.1459999999999999</v>
      </c>
      <c r="K927" s="39">
        <f>DefaultValues!$B$4</f>
        <v>5</v>
      </c>
      <c r="L927" s="1">
        <f>DefaultValues!$C$4</f>
        <v>0.5</v>
      </c>
      <c r="M927" s="1" t="str">
        <f>DefaultValues!$D$4</f>
        <v xml:space="preserve">- Within interchange - </v>
      </c>
      <c r="N927" s="1">
        <v>1.9419999999999999</v>
      </c>
      <c r="O927" s="1">
        <f>ABS(Table4[[#This Row],[EndMP]]-Table4[[#This Row],[StartMP]])</f>
        <v>0.20399999999999996</v>
      </c>
      <c r="P927" s="1" t="str">
        <f>IF( AND( Table4[[#This Row],[Route]]=ClosureLocation!$B$3, ClosureLocation!$B$6 &gt;= Table4[[#This Row],[StartMP]], ClosureLocation!$B$6 &lt;= Table4[[#This Row],[EndMP]]), "Yes", "")</f>
        <v/>
      </c>
      <c r="Q927" s="1" t="str">
        <f>IF( AND( Table4[[#This Row],[Route]]=ClosureLocation!$B$3, ClosureLocation!$B$6 &lt;= Table4[[#This Row],[StartMP]], ClosureLocation!$B$6 &gt;= Table4[[#This Row],[EndMP]]), "Yes", "")</f>
        <v/>
      </c>
      <c r="R927" s="1" t="str">
        <f>IF( OR( Table4[[#This Row],[PrimaryMatch]]="Yes", Table4[[#This Row],[SecondaryMatch]]="Yes"), "Yes", "")</f>
        <v/>
      </c>
    </row>
    <row r="928" spans="1:18" hidden="1" x14ac:dyDescent="0.25">
      <c r="A928" t="s">
        <v>12</v>
      </c>
      <c r="B928" t="s">
        <v>3205</v>
      </c>
      <c r="C928" t="s">
        <v>3206</v>
      </c>
      <c r="D928" t="s">
        <v>3213</v>
      </c>
      <c r="E928" s="1">
        <v>8.59</v>
      </c>
      <c r="F928" s="1">
        <v>8.8559999999999999</v>
      </c>
      <c r="K928" s="39">
        <f>DefaultValues!$B$4</f>
        <v>5</v>
      </c>
      <c r="L928" s="1">
        <f>DefaultValues!$C$4</f>
        <v>0.5</v>
      </c>
      <c r="M928" s="1" t="str">
        <f>DefaultValues!$D$4</f>
        <v xml:space="preserve">- Within interchange - </v>
      </c>
      <c r="N928" s="1">
        <v>8.59</v>
      </c>
      <c r="O928" s="1">
        <f>ABS(Table4[[#This Row],[EndMP]]-Table4[[#This Row],[StartMP]])</f>
        <v>0.26600000000000001</v>
      </c>
      <c r="P928" s="1" t="str">
        <f>IF( AND( Table4[[#This Row],[Route]]=ClosureLocation!$B$3, ClosureLocation!$B$6 &gt;= Table4[[#This Row],[StartMP]], ClosureLocation!$B$6 &lt;= Table4[[#This Row],[EndMP]]), "Yes", "")</f>
        <v/>
      </c>
      <c r="Q928" s="1" t="str">
        <f>IF( AND( Table4[[#This Row],[Route]]=ClosureLocation!$B$3, ClosureLocation!$B$6 &lt;= Table4[[#This Row],[StartMP]], ClosureLocation!$B$6 &gt;= Table4[[#This Row],[EndMP]]), "Yes", "")</f>
        <v/>
      </c>
      <c r="R928" s="1" t="str">
        <f>IF( OR( Table4[[#This Row],[PrimaryMatch]]="Yes", Table4[[#This Row],[SecondaryMatch]]="Yes"), "Yes", "")</f>
        <v/>
      </c>
    </row>
    <row r="929" spans="1:18" hidden="1" x14ac:dyDescent="0.25">
      <c r="A929" t="s">
        <v>12</v>
      </c>
      <c r="B929" t="s">
        <v>3209</v>
      </c>
      <c r="C929" t="s">
        <v>3210</v>
      </c>
      <c r="D929" t="s">
        <v>3218</v>
      </c>
      <c r="E929" s="1">
        <v>9.8420000000000005</v>
      </c>
      <c r="F929" s="1">
        <v>9.4429999999999996</v>
      </c>
      <c r="K929" s="39">
        <f>DefaultValues!$B$4</f>
        <v>5</v>
      </c>
      <c r="L929" s="1">
        <f>DefaultValues!$C$4</f>
        <v>0.5</v>
      </c>
      <c r="M929" s="1" t="str">
        <f>DefaultValues!$D$4</f>
        <v xml:space="preserve">- Within interchange - </v>
      </c>
      <c r="N929" s="1">
        <v>990.15801999999996</v>
      </c>
      <c r="O929" s="1">
        <f>ABS(Table4[[#This Row],[EndMP]]-Table4[[#This Row],[StartMP]])</f>
        <v>0.39900000000000091</v>
      </c>
      <c r="P929" s="1" t="str">
        <f>IF( AND( Table4[[#This Row],[Route]]=ClosureLocation!$B$3, ClosureLocation!$B$6 &gt;= Table4[[#This Row],[StartMP]], ClosureLocation!$B$6 &lt;= Table4[[#This Row],[EndMP]]), "Yes", "")</f>
        <v/>
      </c>
      <c r="Q929" s="1" t="str">
        <f>IF( AND( Table4[[#This Row],[Route]]=ClosureLocation!$B$3, ClosureLocation!$B$6 &lt;= Table4[[#This Row],[StartMP]], ClosureLocation!$B$6 &gt;= Table4[[#This Row],[EndMP]]), "Yes", "")</f>
        <v/>
      </c>
      <c r="R929" s="1" t="str">
        <f>IF( OR( Table4[[#This Row],[PrimaryMatch]]="Yes", Table4[[#This Row],[SecondaryMatch]]="Yes"), "Yes", "")</f>
        <v/>
      </c>
    </row>
    <row r="930" spans="1:18" hidden="1" x14ac:dyDescent="0.25">
      <c r="A930" t="s">
        <v>12</v>
      </c>
      <c r="B930" t="s">
        <v>3209</v>
      </c>
      <c r="C930" t="s">
        <v>3210</v>
      </c>
      <c r="D930" t="s">
        <v>3218</v>
      </c>
      <c r="E930" s="1">
        <v>8.8559999999999999</v>
      </c>
      <c r="F930" s="1">
        <v>8.59</v>
      </c>
      <c r="K930" s="39">
        <f>DefaultValues!$B$4</f>
        <v>5</v>
      </c>
      <c r="L930" s="1">
        <f>DefaultValues!$C$4</f>
        <v>0.5</v>
      </c>
      <c r="M930" s="1" t="str">
        <f>DefaultValues!$D$4</f>
        <v xml:space="preserve">- Within interchange - </v>
      </c>
      <c r="N930" s="1">
        <v>991.14398200000005</v>
      </c>
      <c r="O930" s="1">
        <f>ABS(Table4[[#This Row],[EndMP]]-Table4[[#This Row],[StartMP]])</f>
        <v>0.26600000000000001</v>
      </c>
      <c r="P930" s="1" t="str">
        <f>IF( AND( Table4[[#This Row],[Route]]=ClosureLocation!$B$3, ClosureLocation!$B$6 &gt;= Table4[[#This Row],[StartMP]], ClosureLocation!$B$6 &lt;= Table4[[#This Row],[EndMP]]), "Yes", "")</f>
        <v/>
      </c>
      <c r="Q930" s="1" t="str">
        <f>IF( AND( Table4[[#This Row],[Route]]=ClosureLocation!$B$3, ClosureLocation!$B$6 &lt;= Table4[[#This Row],[StartMP]], ClosureLocation!$B$6 &gt;= Table4[[#This Row],[EndMP]]), "Yes", "")</f>
        <v/>
      </c>
      <c r="R930" s="1" t="str">
        <f>IF( OR( Table4[[#This Row],[PrimaryMatch]]="Yes", Table4[[#This Row],[SecondaryMatch]]="Yes"), "Yes", "")</f>
        <v/>
      </c>
    </row>
    <row r="931" spans="1:18" hidden="1" x14ac:dyDescent="0.25">
      <c r="A931" t="s">
        <v>12</v>
      </c>
      <c r="B931" t="s">
        <v>3209</v>
      </c>
      <c r="C931" t="s">
        <v>3210</v>
      </c>
      <c r="D931" t="s">
        <v>3218</v>
      </c>
      <c r="E931" s="1">
        <v>2.1459999999999999</v>
      </c>
      <c r="F931" s="1">
        <v>1.9419999999999999</v>
      </c>
      <c r="K931" s="39">
        <f>DefaultValues!$B$4</f>
        <v>5</v>
      </c>
      <c r="L931" s="1">
        <f>DefaultValues!$C$4</f>
        <v>0.5</v>
      </c>
      <c r="M931" s="1" t="str">
        <f>DefaultValues!$D$4</f>
        <v xml:space="preserve">- Within interchange - </v>
      </c>
      <c r="N931" s="1">
        <v>997.85400400000003</v>
      </c>
      <c r="O931" s="1">
        <f>ABS(Table4[[#This Row],[EndMP]]-Table4[[#This Row],[StartMP]])</f>
        <v>0.20399999999999996</v>
      </c>
      <c r="P931" s="1" t="str">
        <f>IF( AND( Table4[[#This Row],[Route]]=ClosureLocation!$B$3, ClosureLocation!$B$6 &gt;= Table4[[#This Row],[StartMP]], ClosureLocation!$B$6 &lt;= Table4[[#This Row],[EndMP]]), "Yes", "")</f>
        <v/>
      </c>
      <c r="Q931" s="1" t="str">
        <f>IF( AND( Table4[[#This Row],[Route]]=ClosureLocation!$B$3, ClosureLocation!$B$6 &lt;= Table4[[#This Row],[StartMP]], ClosureLocation!$B$6 &gt;= Table4[[#This Row],[EndMP]]), "Yes", "")</f>
        <v/>
      </c>
      <c r="R931" s="1" t="str">
        <f>IF( OR( Table4[[#This Row],[PrimaryMatch]]="Yes", Table4[[#This Row],[SecondaryMatch]]="Yes"), "Yes", "")</f>
        <v/>
      </c>
    </row>
    <row r="932" spans="1:18" hidden="1" x14ac:dyDescent="0.25">
      <c r="A932" t="s">
        <v>4551</v>
      </c>
      <c r="B932" t="s">
        <v>3205</v>
      </c>
      <c r="C932" t="s">
        <v>3206</v>
      </c>
      <c r="D932" t="s">
        <v>4633</v>
      </c>
      <c r="E932" s="1">
        <v>10.86</v>
      </c>
      <c r="F932" s="1">
        <v>11.381</v>
      </c>
      <c r="K932" s="39">
        <f>DefaultValues!$B$4</f>
        <v>5</v>
      </c>
      <c r="L932" s="1">
        <f>DefaultValues!$C$4</f>
        <v>0.5</v>
      </c>
      <c r="M932" s="1" t="str">
        <f>DefaultValues!$D$4</f>
        <v xml:space="preserve">- Within interchange - </v>
      </c>
      <c r="N932" s="1">
        <v>10.86</v>
      </c>
      <c r="O932" s="1">
        <f>ABS(Table4[[#This Row],[EndMP]]-Table4[[#This Row],[StartMP]])</f>
        <v>0.5210000000000008</v>
      </c>
      <c r="P932" s="1" t="str">
        <f>IF( AND( Table4[[#This Row],[Route]]=ClosureLocation!$B$3, ClosureLocation!$B$6 &gt;= Table4[[#This Row],[StartMP]], ClosureLocation!$B$6 &lt;= Table4[[#This Row],[EndMP]]), "Yes", "")</f>
        <v/>
      </c>
      <c r="Q932" s="1" t="str">
        <f>IF( AND( Table4[[#This Row],[Route]]=ClosureLocation!$B$3, ClosureLocation!$B$6 &lt;= Table4[[#This Row],[StartMP]], ClosureLocation!$B$6 &gt;= Table4[[#This Row],[EndMP]]), "Yes", "")</f>
        <v/>
      </c>
      <c r="R932" s="1" t="str">
        <f>IF( OR( Table4[[#This Row],[PrimaryMatch]]="Yes", Table4[[#This Row],[SecondaryMatch]]="Yes"), "Yes", "")</f>
        <v/>
      </c>
    </row>
    <row r="933" spans="1:18" hidden="1" x14ac:dyDescent="0.25">
      <c r="A933" t="s">
        <v>4551</v>
      </c>
      <c r="B933" t="s">
        <v>3209</v>
      </c>
      <c r="C933" t="s">
        <v>3210</v>
      </c>
      <c r="D933" t="s">
        <v>4634</v>
      </c>
      <c r="E933" s="1">
        <v>11.381</v>
      </c>
      <c r="F933" s="1">
        <v>10.86</v>
      </c>
      <c r="K933" s="39">
        <f>DefaultValues!$B$4</f>
        <v>5</v>
      </c>
      <c r="L933" s="1">
        <f>DefaultValues!$C$4</f>
        <v>0.5</v>
      </c>
      <c r="M933" s="1" t="str">
        <f>DefaultValues!$D$4</f>
        <v xml:space="preserve">- Within interchange - </v>
      </c>
      <c r="N933" s="1">
        <v>988.61901899999998</v>
      </c>
      <c r="O933" s="1">
        <f>ABS(Table4[[#This Row],[EndMP]]-Table4[[#This Row],[StartMP]])</f>
        <v>0.5210000000000008</v>
      </c>
      <c r="P933" s="1" t="str">
        <f>IF( AND( Table4[[#This Row],[Route]]=ClosureLocation!$B$3, ClosureLocation!$B$6 &gt;= Table4[[#This Row],[StartMP]], ClosureLocation!$B$6 &lt;= Table4[[#This Row],[EndMP]]), "Yes", "")</f>
        <v/>
      </c>
      <c r="Q933" s="1" t="str">
        <f>IF( AND( Table4[[#This Row],[Route]]=ClosureLocation!$B$3, ClosureLocation!$B$6 &lt;= Table4[[#This Row],[StartMP]], ClosureLocation!$B$6 &gt;= Table4[[#This Row],[EndMP]]), "Yes", "")</f>
        <v/>
      </c>
      <c r="R933" s="1" t="str">
        <f>IF( OR( Table4[[#This Row],[PrimaryMatch]]="Yes", Table4[[#This Row],[SecondaryMatch]]="Yes"), "Yes", "")</f>
        <v/>
      </c>
    </row>
    <row r="934" spans="1:18" hidden="1" x14ac:dyDescent="0.25">
      <c r="A934" t="s">
        <v>18</v>
      </c>
      <c r="B934" t="s">
        <v>3205</v>
      </c>
      <c r="C934" t="s">
        <v>3206</v>
      </c>
      <c r="D934" t="s">
        <v>4635</v>
      </c>
      <c r="E934" s="1">
        <v>19.787001</v>
      </c>
      <c r="F934" s="1">
        <v>19.943999999999999</v>
      </c>
      <c r="K934" s="39">
        <f>DefaultValues!$B$4</f>
        <v>5</v>
      </c>
      <c r="L934" s="1">
        <f>DefaultValues!$C$4</f>
        <v>0.5</v>
      </c>
      <c r="M934" s="1" t="str">
        <f>DefaultValues!$D$4</f>
        <v xml:space="preserve">- Within interchange - </v>
      </c>
      <c r="N934" s="1">
        <v>19.787001</v>
      </c>
      <c r="O934" s="1">
        <f>ABS(Table4[[#This Row],[EndMP]]-Table4[[#This Row],[StartMP]])</f>
        <v>0.156998999999999</v>
      </c>
      <c r="P934" s="1" t="str">
        <f>IF( AND( Table4[[#This Row],[Route]]=ClosureLocation!$B$3, ClosureLocation!$B$6 &gt;= Table4[[#This Row],[StartMP]], ClosureLocation!$B$6 &lt;= Table4[[#This Row],[EndMP]]), "Yes", "")</f>
        <v/>
      </c>
      <c r="Q934" s="1" t="str">
        <f>IF( AND( Table4[[#This Row],[Route]]=ClosureLocation!$B$3, ClosureLocation!$B$6 &lt;= Table4[[#This Row],[StartMP]], ClosureLocation!$B$6 &gt;= Table4[[#This Row],[EndMP]]), "Yes", "")</f>
        <v/>
      </c>
      <c r="R934" s="1" t="str">
        <f>IF( OR( Table4[[#This Row],[PrimaryMatch]]="Yes", Table4[[#This Row],[SecondaryMatch]]="Yes"), "Yes", "")</f>
        <v/>
      </c>
    </row>
    <row r="935" spans="1:18" hidden="1" x14ac:dyDescent="0.25">
      <c r="A935" t="s">
        <v>18</v>
      </c>
      <c r="B935" t="s">
        <v>3209</v>
      </c>
      <c r="C935" t="s">
        <v>3210</v>
      </c>
      <c r="D935" t="s">
        <v>4636</v>
      </c>
      <c r="E935" s="1">
        <v>19.943999999999999</v>
      </c>
      <c r="F935" s="1">
        <v>19.787001</v>
      </c>
      <c r="K935" s="39">
        <f>DefaultValues!$B$4</f>
        <v>5</v>
      </c>
      <c r="L935" s="1">
        <f>DefaultValues!$C$4</f>
        <v>0.5</v>
      </c>
      <c r="M935" s="1" t="str">
        <f>DefaultValues!$D$4</f>
        <v xml:space="preserve">- Within interchange - </v>
      </c>
      <c r="N935" s="1">
        <v>980.05602999999996</v>
      </c>
      <c r="O935" s="1">
        <f>ABS(Table4[[#This Row],[EndMP]]-Table4[[#This Row],[StartMP]])</f>
        <v>0.156998999999999</v>
      </c>
      <c r="P935" s="1" t="str">
        <f>IF( AND( Table4[[#This Row],[Route]]=ClosureLocation!$B$3, ClosureLocation!$B$6 &gt;= Table4[[#This Row],[StartMP]], ClosureLocation!$B$6 &lt;= Table4[[#This Row],[EndMP]]), "Yes", "")</f>
        <v/>
      </c>
      <c r="Q935" s="1" t="str">
        <f>IF( AND( Table4[[#This Row],[Route]]=ClosureLocation!$B$3, ClosureLocation!$B$6 &lt;= Table4[[#This Row],[StartMP]], ClosureLocation!$B$6 &gt;= Table4[[#This Row],[EndMP]]), "Yes", "")</f>
        <v/>
      </c>
      <c r="R935" s="1" t="str">
        <f>IF( OR( Table4[[#This Row],[PrimaryMatch]]="Yes", Table4[[#This Row],[SecondaryMatch]]="Yes"), "Yes", "")</f>
        <v/>
      </c>
    </row>
    <row r="936" spans="1:18" hidden="1" x14ac:dyDescent="0.25">
      <c r="A936" t="s">
        <v>29</v>
      </c>
      <c r="B936" t="s">
        <v>3205</v>
      </c>
      <c r="C936" t="s">
        <v>3222</v>
      </c>
      <c r="D936" t="s">
        <v>3223</v>
      </c>
      <c r="E936" s="1">
        <v>11.08</v>
      </c>
      <c r="F936" s="1">
        <v>11.221</v>
      </c>
      <c r="K936" s="39">
        <f>DefaultValues!$B$4</f>
        <v>5</v>
      </c>
      <c r="L936" s="1">
        <f>DefaultValues!$C$4</f>
        <v>0.5</v>
      </c>
      <c r="M936" s="1" t="str">
        <f>DefaultValues!$D$4</f>
        <v xml:space="preserve">- Within interchange - </v>
      </c>
      <c r="N936" s="1">
        <v>11.08</v>
      </c>
      <c r="O936" s="1">
        <f>ABS(Table4[[#This Row],[EndMP]]-Table4[[#This Row],[StartMP]])</f>
        <v>0.14100000000000001</v>
      </c>
      <c r="P936" s="1" t="str">
        <f>IF( AND( Table4[[#This Row],[Route]]=ClosureLocation!$B$3, ClosureLocation!$B$6 &gt;= Table4[[#This Row],[StartMP]], ClosureLocation!$B$6 &lt;= Table4[[#This Row],[EndMP]]), "Yes", "")</f>
        <v/>
      </c>
      <c r="Q936" s="1" t="str">
        <f>IF( AND( Table4[[#This Row],[Route]]=ClosureLocation!$B$3, ClosureLocation!$B$6 &lt;= Table4[[#This Row],[StartMP]], ClosureLocation!$B$6 &gt;= Table4[[#This Row],[EndMP]]), "Yes", "")</f>
        <v/>
      </c>
      <c r="R936" s="1" t="str">
        <f>IF( OR( Table4[[#This Row],[PrimaryMatch]]="Yes", Table4[[#This Row],[SecondaryMatch]]="Yes"), "Yes", "")</f>
        <v/>
      </c>
    </row>
    <row r="937" spans="1:18" hidden="1" x14ac:dyDescent="0.25">
      <c r="A937" t="s">
        <v>29</v>
      </c>
      <c r="B937" t="s">
        <v>3205</v>
      </c>
      <c r="C937" t="s">
        <v>3222</v>
      </c>
      <c r="D937" t="s">
        <v>3223</v>
      </c>
      <c r="E937" s="1">
        <v>25.959</v>
      </c>
      <c r="F937" s="1">
        <v>26.08</v>
      </c>
      <c r="K937" s="39">
        <f>DefaultValues!$B$4</f>
        <v>5</v>
      </c>
      <c r="L937" s="1">
        <f>DefaultValues!$C$4</f>
        <v>0.5</v>
      </c>
      <c r="M937" s="1" t="str">
        <f>DefaultValues!$D$4</f>
        <v xml:space="preserve">- Within interchange - </v>
      </c>
      <c r="N937" s="1">
        <v>25.959</v>
      </c>
      <c r="O937" s="1">
        <f>ABS(Table4[[#This Row],[EndMP]]-Table4[[#This Row],[StartMP]])</f>
        <v>0.12099999999999866</v>
      </c>
      <c r="P937" s="1" t="str">
        <f>IF( AND( Table4[[#This Row],[Route]]=ClosureLocation!$B$3, ClosureLocation!$B$6 &gt;= Table4[[#This Row],[StartMP]], ClosureLocation!$B$6 &lt;= Table4[[#This Row],[EndMP]]), "Yes", "")</f>
        <v/>
      </c>
      <c r="Q937" s="1" t="str">
        <f>IF( AND( Table4[[#This Row],[Route]]=ClosureLocation!$B$3, ClosureLocation!$B$6 &lt;= Table4[[#This Row],[StartMP]], ClosureLocation!$B$6 &gt;= Table4[[#This Row],[EndMP]]), "Yes", "")</f>
        <v/>
      </c>
      <c r="R937" s="1" t="str">
        <f>IF( OR( Table4[[#This Row],[PrimaryMatch]]="Yes", Table4[[#This Row],[SecondaryMatch]]="Yes"), "Yes", "")</f>
        <v/>
      </c>
    </row>
    <row r="938" spans="1:18" hidden="1" x14ac:dyDescent="0.25">
      <c r="A938" t="s">
        <v>29</v>
      </c>
      <c r="B938" t="s">
        <v>3209</v>
      </c>
      <c r="C938" t="s">
        <v>3226</v>
      </c>
      <c r="D938" t="s">
        <v>3227</v>
      </c>
      <c r="E938" s="1">
        <v>26.08</v>
      </c>
      <c r="F938" s="1">
        <v>25.959</v>
      </c>
      <c r="K938" s="39">
        <f>DefaultValues!$B$4</f>
        <v>5</v>
      </c>
      <c r="L938" s="1">
        <f>DefaultValues!$C$4</f>
        <v>0.5</v>
      </c>
      <c r="M938" s="1" t="str">
        <f>DefaultValues!$D$4</f>
        <v xml:space="preserve">- Within interchange - </v>
      </c>
      <c r="N938" s="1">
        <v>973.919983</v>
      </c>
      <c r="O938" s="1">
        <f>ABS(Table4[[#This Row],[EndMP]]-Table4[[#This Row],[StartMP]])</f>
        <v>0.12099999999999866</v>
      </c>
      <c r="P938" s="1" t="str">
        <f>IF( AND( Table4[[#This Row],[Route]]=ClosureLocation!$B$3, ClosureLocation!$B$6 &gt;= Table4[[#This Row],[StartMP]], ClosureLocation!$B$6 &lt;= Table4[[#This Row],[EndMP]]), "Yes", "")</f>
        <v/>
      </c>
      <c r="Q938" s="1" t="str">
        <f>IF( AND( Table4[[#This Row],[Route]]=ClosureLocation!$B$3, ClosureLocation!$B$6 &lt;= Table4[[#This Row],[StartMP]], ClosureLocation!$B$6 &gt;= Table4[[#This Row],[EndMP]]), "Yes", "")</f>
        <v/>
      </c>
      <c r="R938" s="1" t="str">
        <f>IF( OR( Table4[[#This Row],[PrimaryMatch]]="Yes", Table4[[#This Row],[SecondaryMatch]]="Yes"), "Yes", "")</f>
        <v/>
      </c>
    </row>
    <row r="939" spans="1:18" hidden="1" x14ac:dyDescent="0.25">
      <c r="A939" t="s">
        <v>29</v>
      </c>
      <c r="B939" t="s">
        <v>3209</v>
      </c>
      <c r="C939" t="s">
        <v>3226</v>
      </c>
      <c r="D939" t="s">
        <v>3227</v>
      </c>
      <c r="E939" s="1">
        <v>11.221</v>
      </c>
      <c r="F939" s="1">
        <v>11.08</v>
      </c>
      <c r="K939" s="39">
        <f>DefaultValues!$B$4</f>
        <v>5</v>
      </c>
      <c r="L939" s="1">
        <f>DefaultValues!$C$4</f>
        <v>0.5</v>
      </c>
      <c r="M939" s="1" t="str">
        <f>DefaultValues!$D$4</f>
        <v xml:space="preserve">- Within interchange - </v>
      </c>
      <c r="N939" s="1">
        <v>988.77899200000002</v>
      </c>
      <c r="O939" s="1">
        <f>ABS(Table4[[#This Row],[EndMP]]-Table4[[#This Row],[StartMP]])</f>
        <v>0.14100000000000001</v>
      </c>
      <c r="P939" s="1" t="str">
        <f>IF( AND( Table4[[#This Row],[Route]]=ClosureLocation!$B$3, ClosureLocation!$B$6 &gt;= Table4[[#This Row],[StartMP]], ClosureLocation!$B$6 &lt;= Table4[[#This Row],[EndMP]]), "Yes", "")</f>
        <v/>
      </c>
      <c r="Q939" s="1" t="str">
        <f>IF( AND( Table4[[#This Row],[Route]]=ClosureLocation!$B$3, ClosureLocation!$B$6 &lt;= Table4[[#This Row],[StartMP]], ClosureLocation!$B$6 &gt;= Table4[[#This Row],[EndMP]]), "Yes", "")</f>
        <v/>
      </c>
      <c r="R939" s="1" t="str">
        <f>IF( OR( Table4[[#This Row],[PrimaryMatch]]="Yes", Table4[[#This Row],[SecondaryMatch]]="Yes"), "Yes", "")</f>
        <v/>
      </c>
    </row>
    <row r="940" spans="1:18" hidden="1" x14ac:dyDescent="0.25">
      <c r="A940" t="s">
        <v>38</v>
      </c>
      <c r="B940" t="s">
        <v>3205</v>
      </c>
      <c r="C940" t="s">
        <v>3222</v>
      </c>
      <c r="D940" t="s">
        <v>4637</v>
      </c>
      <c r="E940" s="1">
        <v>30.332001000000002</v>
      </c>
      <c r="F940" s="1">
        <v>30.407</v>
      </c>
      <c r="K940" s="39">
        <f>DefaultValues!$B$4</f>
        <v>5</v>
      </c>
      <c r="L940" s="1">
        <f>DefaultValues!$C$4</f>
        <v>0.5</v>
      </c>
      <c r="M940" s="1" t="str">
        <f>DefaultValues!$D$4</f>
        <v xml:space="preserve">- Within interchange - </v>
      </c>
      <c r="N940" s="1">
        <v>30.332001000000002</v>
      </c>
      <c r="O940" s="1">
        <f>ABS(Table4[[#This Row],[EndMP]]-Table4[[#This Row],[StartMP]])</f>
        <v>7.4998999999998262E-2</v>
      </c>
      <c r="P940" s="1" t="str">
        <f>IF( AND( Table4[[#This Row],[Route]]=ClosureLocation!$B$3, ClosureLocation!$B$6 &gt;= Table4[[#This Row],[StartMP]], ClosureLocation!$B$6 &lt;= Table4[[#This Row],[EndMP]]), "Yes", "")</f>
        <v/>
      </c>
      <c r="Q940" s="1" t="str">
        <f>IF( AND( Table4[[#This Row],[Route]]=ClosureLocation!$B$3, ClosureLocation!$B$6 &lt;= Table4[[#This Row],[StartMP]], ClosureLocation!$B$6 &gt;= Table4[[#This Row],[EndMP]]), "Yes", "")</f>
        <v/>
      </c>
      <c r="R940" s="1" t="str">
        <f>IF( OR( Table4[[#This Row],[PrimaryMatch]]="Yes", Table4[[#This Row],[SecondaryMatch]]="Yes"), "Yes", "")</f>
        <v/>
      </c>
    </row>
    <row r="941" spans="1:18" hidden="1" x14ac:dyDescent="0.25">
      <c r="A941" t="s">
        <v>38</v>
      </c>
      <c r="B941" t="s">
        <v>3209</v>
      </c>
      <c r="C941" t="s">
        <v>3226</v>
      </c>
      <c r="D941" t="s">
        <v>4638</v>
      </c>
      <c r="E941" s="1">
        <v>30.407</v>
      </c>
      <c r="F941" s="1">
        <v>30.122999</v>
      </c>
      <c r="K941" s="39">
        <f>DefaultValues!$B$4</f>
        <v>5</v>
      </c>
      <c r="L941" s="1">
        <f>DefaultValues!$C$4</f>
        <v>0.5</v>
      </c>
      <c r="M941" s="1" t="str">
        <f>DefaultValues!$D$4</f>
        <v xml:space="preserve">- Within interchange - </v>
      </c>
      <c r="N941" s="1">
        <v>969.59301800000003</v>
      </c>
      <c r="O941" s="1">
        <f>ABS(Table4[[#This Row],[EndMP]]-Table4[[#This Row],[StartMP]])</f>
        <v>0.28400099999999995</v>
      </c>
      <c r="P941" s="1" t="str">
        <f>IF( AND( Table4[[#This Row],[Route]]=ClosureLocation!$B$3, ClosureLocation!$B$6 &gt;= Table4[[#This Row],[StartMP]], ClosureLocation!$B$6 &lt;= Table4[[#This Row],[EndMP]]), "Yes", "")</f>
        <v/>
      </c>
      <c r="Q941" s="1" t="str">
        <f>IF( AND( Table4[[#This Row],[Route]]=ClosureLocation!$B$3, ClosureLocation!$B$6 &lt;= Table4[[#This Row],[StartMP]], ClosureLocation!$B$6 &gt;= Table4[[#This Row],[EndMP]]), "Yes", "")</f>
        <v/>
      </c>
      <c r="R941" s="1" t="str">
        <f>IF( OR( Table4[[#This Row],[PrimaryMatch]]="Yes", Table4[[#This Row],[SecondaryMatch]]="Yes"), "Yes", "")</f>
        <v/>
      </c>
    </row>
    <row r="942" spans="1:18" hidden="1" x14ac:dyDescent="0.25">
      <c r="A942" t="s">
        <v>41</v>
      </c>
      <c r="B942" t="s">
        <v>3209</v>
      </c>
      <c r="C942" t="s">
        <v>3226</v>
      </c>
      <c r="D942" t="s">
        <v>4639</v>
      </c>
      <c r="E942" s="1">
        <v>46.057999000000002</v>
      </c>
      <c r="F942" s="1">
        <v>45.584000000000003</v>
      </c>
      <c r="K942" s="39">
        <f>DefaultValues!$B$4</f>
        <v>5</v>
      </c>
      <c r="L942" s="1">
        <f>DefaultValues!$C$4</f>
        <v>0.5</v>
      </c>
      <c r="M942" s="1" t="str">
        <f>DefaultValues!$D$4</f>
        <v xml:space="preserve">- Within interchange - </v>
      </c>
      <c r="N942" s="1">
        <v>953.94201699999996</v>
      </c>
      <c r="O942" s="1">
        <f>ABS(Table4[[#This Row],[EndMP]]-Table4[[#This Row],[StartMP]])</f>
        <v>0.47399899999999917</v>
      </c>
      <c r="P942" s="1" t="str">
        <f>IF( AND( Table4[[#This Row],[Route]]=ClosureLocation!$B$3, ClosureLocation!$B$6 &gt;= Table4[[#This Row],[StartMP]], ClosureLocation!$B$6 &lt;= Table4[[#This Row],[EndMP]]), "Yes", "")</f>
        <v/>
      </c>
      <c r="Q942" s="1" t="str">
        <f>IF( AND( Table4[[#This Row],[Route]]=ClosureLocation!$B$3, ClosureLocation!$B$6 &lt;= Table4[[#This Row],[StartMP]], ClosureLocation!$B$6 &gt;= Table4[[#This Row],[EndMP]]), "Yes", "")</f>
        <v/>
      </c>
      <c r="R942" s="1" t="str">
        <f>IF( OR( Table4[[#This Row],[PrimaryMatch]]="Yes", Table4[[#This Row],[SecondaryMatch]]="Yes"), "Yes", "")</f>
        <v/>
      </c>
    </row>
    <row r="943" spans="1:18" hidden="1" x14ac:dyDescent="0.25">
      <c r="A943" t="s">
        <v>45</v>
      </c>
      <c r="B943" t="s">
        <v>3205</v>
      </c>
      <c r="C943" t="s">
        <v>3222</v>
      </c>
      <c r="D943" t="s">
        <v>4640</v>
      </c>
      <c r="E943" s="1">
        <v>110.792</v>
      </c>
      <c r="F943" s="1">
        <v>110.806</v>
      </c>
      <c r="K943" s="39">
        <f>DefaultValues!$B$4</f>
        <v>5</v>
      </c>
      <c r="L943" s="1">
        <f>DefaultValues!$C$4</f>
        <v>0.5</v>
      </c>
      <c r="M943" s="1" t="str">
        <f>DefaultValues!$D$4</f>
        <v xml:space="preserve">- Within interchange - </v>
      </c>
      <c r="N943" s="1">
        <v>110.792</v>
      </c>
      <c r="O943" s="1">
        <f>ABS(Table4[[#This Row],[EndMP]]-Table4[[#This Row],[StartMP]])</f>
        <v>1.3999999999995794E-2</v>
      </c>
      <c r="P943" s="1" t="str">
        <f>IF( AND( Table4[[#This Row],[Route]]=ClosureLocation!$B$3, ClosureLocation!$B$6 &gt;= Table4[[#This Row],[StartMP]], ClosureLocation!$B$6 &lt;= Table4[[#This Row],[EndMP]]), "Yes", "")</f>
        <v/>
      </c>
      <c r="Q943" s="1" t="str">
        <f>IF( AND( Table4[[#This Row],[Route]]=ClosureLocation!$B$3, ClosureLocation!$B$6 &lt;= Table4[[#This Row],[StartMP]], ClosureLocation!$B$6 &gt;= Table4[[#This Row],[EndMP]]), "Yes", "")</f>
        <v/>
      </c>
      <c r="R943" s="1" t="str">
        <f>IF( OR( Table4[[#This Row],[PrimaryMatch]]="Yes", Table4[[#This Row],[SecondaryMatch]]="Yes"), "Yes", "")</f>
        <v/>
      </c>
    </row>
    <row r="944" spans="1:18" hidden="1" x14ac:dyDescent="0.25">
      <c r="A944" t="s">
        <v>45</v>
      </c>
      <c r="B944" t="s">
        <v>3209</v>
      </c>
      <c r="C944" t="s">
        <v>3226</v>
      </c>
      <c r="D944" t="s">
        <v>4641</v>
      </c>
      <c r="E944" s="1">
        <v>110.806</v>
      </c>
      <c r="F944" s="1">
        <v>110.792</v>
      </c>
      <c r="K944" s="39">
        <f>DefaultValues!$B$4</f>
        <v>5</v>
      </c>
      <c r="L944" s="1">
        <f>DefaultValues!$C$4</f>
        <v>0.5</v>
      </c>
      <c r="M944" s="1" t="str">
        <f>DefaultValues!$D$4</f>
        <v xml:space="preserve">- Within interchange - </v>
      </c>
      <c r="N944" s="1">
        <v>889.19397000000004</v>
      </c>
      <c r="O944" s="1">
        <f>ABS(Table4[[#This Row],[EndMP]]-Table4[[#This Row],[StartMP]])</f>
        <v>1.3999999999995794E-2</v>
      </c>
      <c r="P944" s="1" t="str">
        <f>IF( AND( Table4[[#This Row],[Route]]=ClosureLocation!$B$3, ClosureLocation!$B$6 &gt;= Table4[[#This Row],[StartMP]], ClosureLocation!$B$6 &lt;= Table4[[#This Row],[EndMP]]), "Yes", "")</f>
        <v/>
      </c>
      <c r="Q944" s="1" t="str">
        <f>IF( AND( Table4[[#This Row],[Route]]=ClosureLocation!$B$3, ClosureLocation!$B$6 &lt;= Table4[[#This Row],[StartMP]], ClosureLocation!$B$6 &gt;= Table4[[#This Row],[EndMP]]), "Yes", "")</f>
        <v/>
      </c>
      <c r="R944" s="1" t="str">
        <f>IF( OR( Table4[[#This Row],[PrimaryMatch]]="Yes", Table4[[#This Row],[SecondaryMatch]]="Yes"), "Yes", "")</f>
        <v/>
      </c>
    </row>
    <row r="945" spans="1:18" hidden="1" x14ac:dyDescent="0.25">
      <c r="A945" t="s">
        <v>50</v>
      </c>
      <c r="B945" t="s">
        <v>3205</v>
      </c>
      <c r="C945" t="s">
        <v>3222</v>
      </c>
      <c r="D945" t="s">
        <v>3230</v>
      </c>
      <c r="E945" s="1">
        <v>172.13600199999999</v>
      </c>
      <c r="F945" s="1">
        <v>172.270996</v>
      </c>
      <c r="K945" s="39">
        <f>DefaultValues!$B$4</f>
        <v>5</v>
      </c>
      <c r="L945" s="1">
        <f>DefaultValues!$C$4</f>
        <v>0.5</v>
      </c>
      <c r="M945" s="1" t="str">
        <f>DefaultValues!$D$4</f>
        <v xml:space="preserve">- Within interchange - </v>
      </c>
      <c r="N945" s="1">
        <v>172.13600199999999</v>
      </c>
      <c r="O945" s="1">
        <f>ABS(Table4[[#This Row],[EndMP]]-Table4[[#This Row],[StartMP]])</f>
        <v>0.13499400000000605</v>
      </c>
      <c r="P945" s="1" t="str">
        <f>IF( AND( Table4[[#This Row],[Route]]=ClosureLocation!$B$3, ClosureLocation!$B$6 &gt;= Table4[[#This Row],[StartMP]], ClosureLocation!$B$6 &lt;= Table4[[#This Row],[EndMP]]), "Yes", "")</f>
        <v/>
      </c>
      <c r="Q945" s="1" t="str">
        <f>IF( AND( Table4[[#This Row],[Route]]=ClosureLocation!$B$3, ClosureLocation!$B$6 &lt;= Table4[[#This Row],[StartMP]], ClosureLocation!$B$6 &gt;= Table4[[#This Row],[EndMP]]), "Yes", "")</f>
        <v/>
      </c>
      <c r="R945" s="1" t="str">
        <f>IF( OR( Table4[[#This Row],[PrimaryMatch]]="Yes", Table4[[#This Row],[SecondaryMatch]]="Yes"), "Yes", "")</f>
        <v/>
      </c>
    </row>
    <row r="946" spans="1:18" hidden="1" x14ac:dyDescent="0.25">
      <c r="A946" t="s">
        <v>50</v>
      </c>
      <c r="B946" t="s">
        <v>3205</v>
      </c>
      <c r="C946" t="s">
        <v>3222</v>
      </c>
      <c r="D946" t="s">
        <v>3230</v>
      </c>
      <c r="E946" s="1">
        <v>174.30999800000001</v>
      </c>
      <c r="F946" s="1">
        <v>174.541</v>
      </c>
      <c r="K946" s="39">
        <f>DefaultValues!$B$4</f>
        <v>5</v>
      </c>
      <c r="L946" s="1">
        <f>DefaultValues!$C$4</f>
        <v>0.5</v>
      </c>
      <c r="M946" s="1" t="str">
        <f>DefaultValues!$D$4</f>
        <v xml:space="preserve">- Within interchange - </v>
      </c>
      <c r="N946" s="1">
        <v>174.30999800000001</v>
      </c>
      <c r="O946" s="1">
        <f>ABS(Table4[[#This Row],[EndMP]]-Table4[[#This Row],[StartMP]])</f>
        <v>0.23100199999998949</v>
      </c>
      <c r="P946" s="1" t="str">
        <f>IF( AND( Table4[[#This Row],[Route]]=ClosureLocation!$B$3, ClosureLocation!$B$6 &gt;= Table4[[#This Row],[StartMP]], ClosureLocation!$B$6 &lt;= Table4[[#This Row],[EndMP]]), "Yes", "")</f>
        <v/>
      </c>
      <c r="Q946" s="1" t="str">
        <f>IF( AND( Table4[[#This Row],[Route]]=ClosureLocation!$B$3, ClosureLocation!$B$6 &lt;= Table4[[#This Row],[StartMP]], ClosureLocation!$B$6 &gt;= Table4[[#This Row],[EndMP]]), "Yes", "")</f>
        <v/>
      </c>
      <c r="R946" s="1" t="str">
        <f>IF( OR( Table4[[#This Row],[PrimaryMatch]]="Yes", Table4[[#This Row],[SecondaryMatch]]="Yes"), "Yes", "")</f>
        <v/>
      </c>
    </row>
    <row r="947" spans="1:18" hidden="1" x14ac:dyDescent="0.25">
      <c r="A947" t="s">
        <v>50</v>
      </c>
      <c r="B947" t="s">
        <v>3209</v>
      </c>
      <c r="C947" t="s">
        <v>3226</v>
      </c>
      <c r="D947" t="s">
        <v>3233</v>
      </c>
      <c r="E947" s="1">
        <v>174.541</v>
      </c>
      <c r="F947" s="1">
        <v>174.30999800000001</v>
      </c>
      <c r="K947" s="39">
        <f>DefaultValues!$B$4</f>
        <v>5</v>
      </c>
      <c r="L947" s="1">
        <f>DefaultValues!$C$4</f>
        <v>0.5</v>
      </c>
      <c r="M947" s="1" t="str">
        <f>DefaultValues!$D$4</f>
        <v xml:space="preserve">- Within interchange - </v>
      </c>
      <c r="N947" s="1">
        <v>825.45898399999999</v>
      </c>
      <c r="O947" s="1">
        <f>ABS(Table4[[#This Row],[EndMP]]-Table4[[#This Row],[StartMP]])</f>
        <v>0.23100199999998949</v>
      </c>
      <c r="P947" s="1" t="str">
        <f>IF( AND( Table4[[#This Row],[Route]]=ClosureLocation!$B$3, ClosureLocation!$B$6 &gt;= Table4[[#This Row],[StartMP]], ClosureLocation!$B$6 &lt;= Table4[[#This Row],[EndMP]]), "Yes", "")</f>
        <v/>
      </c>
      <c r="Q947" s="1" t="str">
        <f>IF( AND( Table4[[#This Row],[Route]]=ClosureLocation!$B$3, ClosureLocation!$B$6 &lt;= Table4[[#This Row],[StartMP]], ClosureLocation!$B$6 &gt;= Table4[[#This Row],[EndMP]]), "Yes", "")</f>
        <v/>
      </c>
      <c r="R947" s="1" t="str">
        <f>IF( OR( Table4[[#This Row],[PrimaryMatch]]="Yes", Table4[[#This Row],[SecondaryMatch]]="Yes"), "Yes", "")</f>
        <v/>
      </c>
    </row>
    <row r="948" spans="1:18" hidden="1" x14ac:dyDescent="0.25">
      <c r="A948" t="s">
        <v>50</v>
      </c>
      <c r="B948" t="s">
        <v>3209</v>
      </c>
      <c r="C948" t="s">
        <v>3226</v>
      </c>
      <c r="D948" t="s">
        <v>3233</v>
      </c>
      <c r="E948" s="1">
        <v>172.270996</v>
      </c>
      <c r="F948" s="1">
        <v>172.13600199999999</v>
      </c>
      <c r="K948" s="39">
        <f>DefaultValues!$B$4</f>
        <v>5</v>
      </c>
      <c r="L948" s="1">
        <f>DefaultValues!$C$4</f>
        <v>0.5</v>
      </c>
      <c r="M948" s="1" t="str">
        <f>DefaultValues!$D$4</f>
        <v xml:space="preserve">- Within interchange - </v>
      </c>
      <c r="N948" s="1">
        <v>827.72900400000003</v>
      </c>
      <c r="O948" s="1">
        <f>ABS(Table4[[#This Row],[EndMP]]-Table4[[#This Row],[StartMP]])</f>
        <v>0.13499400000000605</v>
      </c>
      <c r="P948" s="1" t="str">
        <f>IF( AND( Table4[[#This Row],[Route]]=ClosureLocation!$B$3, ClosureLocation!$B$6 &gt;= Table4[[#This Row],[StartMP]], ClosureLocation!$B$6 &lt;= Table4[[#This Row],[EndMP]]), "Yes", "")</f>
        <v/>
      </c>
      <c r="Q948" s="1" t="str">
        <f>IF( AND( Table4[[#This Row],[Route]]=ClosureLocation!$B$3, ClosureLocation!$B$6 &lt;= Table4[[#This Row],[StartMP]], ClosureLocation!$B$6 &gt;= Table4[[#This Row],[EndMP]]), "Yes", "")</f>
        <v/>
      </c>
      <c r="R948" s="1" t="str">
        <f>IF( OR( Table4[[#This Row],[PrimaryMatch]]="Yes", Table4[[#This Row],[SecondaryMatch]]="Yes"), "Yes", "")</f>
        <v/>
      </c>
    </row>
    <row r="949" spans="1:18" hidden="1" x14ac:dyDescent="0.25">
      <c r="A949" t="s">
        <v>61</v>
      </c>
      <c r="B949" t="s">
        <v>3205</v>
      </c>
      <c r="C949" t="s">
        <v>3222</v>
      </c>
      <c r="D949" t="s">
        <v>4642</v>
      </c>
      <c r="E949" s="1">
        <v>208.658997</v>
      </c>
      <c r="F949" s="1">
        <v>208.78999300000001</v>
      </c>
      <c r="K949" s="39">
        <f>DefaultValues!$B$4</f>
        <v>5</v>
      </c>
      <c r="L949" s="1">
        <f>DefaultValues!$C$4</f>
        <v>0.5</v>
      </c>
      <c r="M949" s="1" t="str">
        <f>DefaultValues!$D$4</f>
        <v xml:space="preserve">- Within interchange - </v>
      </c>
      <c r="N949" s="1">
        <v>208.658997</v>
      </c>
      <c r="O949" s="1">
        <f>ABS(Table4[[#This Row],[EndMP]]-Table4[[#This Row],[StartMP]])</f>
        <v>0.13099600000001033</v>
      </c>
      <c r="P949" s="1" t="str">
        <f>IF( AND( Table4[[#This Row],[Route]]=ClosureLocation!$B$3, ClosureLocation!$B$6 &gt;= Table4[[#This Row],[StartMP]], ClosureLocation!$B$6 &lt;= Table4[[#This Row],[EndMP]]), "Yes", "")</f>
        <v/>
      </c>
      <c r="Q949" s="1" t="str">
        <f>IF( AND( Table4[[#This Row],[Route]]=ClosureLocation!$B$3, ClosureLocation!$B$6 &lt;= Table4[[#This Row],[StartMP]], ClosureLocation!$B$6 &gt;= Table4[[#This Row],[EndMP]]), "Yes", "")</f>
        <v/>
      </c>
      <c r="R949" s="1" t="str">
        <f>IF( OR( Table4[[#This Row],[PrimaryMatch]]="Yes", Table4[[#This Row],[SecondaryMatch]]="Yes"), "Yes", "")</f>
        <v/>
      </c>
    </row>
    <row r="950" spans="1:18" hidden="1" x14ac:dyDescent="0.25">
      <c r="A950" t="s">
        <v>61</v>
      </c>
      <c r="B950" t="s">
        <v>3205</v>
      </c>
      <c r="C950" t="s">
        <v>3222</v>
      </c>
      <c r="D950" t="s">
        <v>4642</v>
      </c>
      <c r="E950" s="1">
        <v>229.16999799999999</v>
      </c>
      <c r="F950" s="1">
        <v>229.895996</v>
      </c>
      <c r="K950" s="39">
        <f>DefaultValues!$B$4</f>
        <v>5</v>
      </c>
      <c r="L950" s="1">
        <f>DefaultValues!$C$4</f>
        <v>0.5</v>
      </c>
      <c r="M950" s="1" t="str">
        <f>DefaultValues!$D$4</f>
        <v xml:space="preserve">- Within interchange - </v>
      </c>
      <c r="N950" s="1">
        <v>229.16999799999999</v>
      </c>
      <c r="O950" s="1">
        <f>ABS(Table4[[#This Row],[EndMP]]-Table4[[#This Row],[StartMP]])</f>
        <v>0.72599800000000414</v>
      </c>
      <c r="P950" s="1" t="str">
        <f>IF( AND( Table4[[#This Row],[Route]]=ClosureLocation!$B$3, ClosureLocation!$B$6 &gt;= Table4[[#This Row],[StartMP]], ClosureLocation!$B$6 &lt;= Table4[[#This Row],[EndMP]]), "Yes", "")</f>
        <v/>
      </c>
      <c r="Q950" s="1" t="str">
        <f>IF( AND( Table4[[#This Row],[Route]]=ClosureLocation!$B$3, ClosureLocation!$B$6 &lt;= Table4[[#This Row],[StartMP]], ClosureLocation!$B$6 &gt;= Table4[[#This Row],[EndMP]]), "Yes", "")</f>
        <v/>
      </c>
      <c r="R950" s="1" t="str">
        <f>IF( OR( Table4[[#This Row],[PrimaryMatch]]="Yes", Table4[[#This Row],[SecondaryMatch]]="Yes"), "Yes", "")</f>
        <v/>
      </c>
    </row>
    <row r="951" spans="1:18" hidden="1" x14ac:dyDescent="0.25">
      <c r="A951" t="s">
        <v>61</v>
      </c>
      <c r="B951" t="s">
        <v>3209</v>
      </c>
      <c r="C951" t="s">
        <v>3226</v>
      </c>
      <c r="D951" t="s">
        <v>4643</v>
      </c>
      <c r="E951" s="1">
        <v>229.60000600000001</v>
      </c>
      <c r="F951" s="1">
        <v>229.16999799999999</v>
      </c>
      <c r="K951" s="39">
        <f>DefaultValues!$B$4</f>
        <v>5</v>
      </c>
      <c r="L951" s="1">
        <f>DefaultValues!$C$4</f>
        <v>0.5</v>
      </c>
      <c r="M951" s="1" t="str">
        <f>DefaultValues!$D$4</f>
        <v xml:space="preserve">- Within interchange - </v>
      </c>
      <c r="N951" s="1">
        <v>770.40002400000003</v>
      </c>
      <c r="O951" s="1">
        <f>ABS(Table4[[#This Row],[EndMP]]-Table4[[#This Row],[StartMP]])</f>
        <v>0.43000800000001504</v>
      </c>
      <c r="P951" s="1" t="str">
        <f>IF( AND( Table4[[#This Row],[Route]]=ClosureLocation!$B$3, ClosureLocation!$B$6 &gt;= Table4[[#This Row],[StartMP]], ClosureLocation!$B$6 &lt;= Table4[[#This Row],[EndMP]]), "Yes", "")</f>
        <v/>
      </c>
      <c r="Q951" s="1" t="str">
        <f>IF( AND( Table4[[#This Row],[Route]]=ClosureLocation!$B$3, ClosureLocation!$B$6 &lt;= Table4[[#This Row],[StartMP]], ClosureLocation!$B$6 &gt;= Table4[[#This Row],[EndMP]]), "Yes", "")</f>
        <v/>
      </c>
      <c r="R951" s="1" t="str">
        <f>IF( OR( Table4[[#This Row],[PrimaryMatch]]="Yes", Table4[[#This Row],[SecondaryMatch]]="Yes"), "Yes", "")</f>
        <v/>
      </c>
    </row>
    <row r="952" spans="1:18" hidden="1" x14ac:dyDescent="0.25">
      <c r="A952" t="s">
        <v>61</v>
      </c>
      <c r="B952" t="s">
        <v>3209</v>
      </c>
      <c r="C952" t="s">
        <v>3226</v>
      </c>
      <c r="D952" t="s">
        <v>4643</v>
      </c>
      <c r="E952" s="1">
        <v>208.78999300000001</v>
      </c>
      <c r="F952" s="1">
        <v>208.658997</v>
      </c>
      <c r="K952" s="39">
        <f>DefaultValues!$B$4</f>
        <v>5</v>
      </c>
      <c r="L952" s="1">
        <f>DefaultValues!$C$4</f>
        <v>0.5</v>
      </c>
      <c r="M952" s="1" t="str">
        <f>DefaultValues!$D$4</f>
        <v xml:space="preserve">- Within interchange - </v>
      </c>
      <c r="N952" s="1">
        <v>791.21002199999998</v>
      </c>
      <c r="O952" s="1">
        <f>ABS(Table4[[#This Row],[EndMP]]-Table4[[#This Row],[StartMP]])</f>
        <v>0.13099600000001033</v>
      </c>
      <c r="P952" s="1" t="str">
        <f>IF( AND( Table4[[#This Row],[Route]]=ClosureLocation!$B$3, ClosureLocation!$B$6 &gt;= Table4[[#This Row],[StartMP]], ClosureLocation!$B$6 &lt;= Table4[[#This Row],[EndMP]]), "Yes", "")</f>
        <v/>
      </c>
      <c r="Q952" s="1" t="str">
        <f>IF( AND( Table4[[#This Row],[Route]]=ClosureLocation!$B$3, ClosureLocation!$B$6 &lt;= Table4[[#This Row],[StartMP]], ClosureLocation!$B$6 &gt;= Table4[[#This Row],[EndMP]]), "Yes", "")</f>
        <v/>
      </c>
      <c r="R952" s="1" t="str">
        <f>IF( OR( Table4[[#This Row],[PrimaryMatch]]="Yes", Table4[[#This Row],[SecondaryMatch]]="Yes"), "Yes", "")</f>
        <v/>
      </c>
    </row>
    <row r="953" spans="1:18" hidden="1" x14ac:dyDescent="0.25">
      <c r="A953" t="s">
        <v>65</v>
      </c>
      <c r="B953" t="s">
        <v>3205</v>
      </c>
      <c r="C953" t="s">
        <v>3222</v>
      </c>
      <c r="D953" t="s">
        <v>3238</v>
      </c>
      <c r="E953" s="1">
        <v>257.07900999999998</v>
      </c>
      <c r="F953" s="1">
        <v>257.28298999999998</v>
      </c>
      <c r="K953" s="39">
        <f>DefaultValues!$B$4</f>
        <v>5</v>
      </c>
      <c r="L953" s="1">
        <f>DefaultValues!$C$4</f>
        <v>0.5</v>
      </c>
      <c r="M953" s="1" t="str">
        <f>DefaultValues!$D$4</f>
        <v xml:space="preserve">- Within interchange - </v>
      </c>
      <c r="N953" s="1">
        <v>257.07900999999998</v>
      </c>
      <c r="O953" s="1">
        <f>ABS(Table4[[#This Row],[EndMP]]-Table4[[#This Row],[StartMP]])</f>
        <v>0.20398000000000138</v>
      </c>
      <c r="P953" s="1" t="str">
        <f>IF( AND( Table4[[#This Row],[Route]]=ClosureLocation!$B$3, ClosureLocation!$B$6 &gt;= Table4[[#This Row],[StartMP]], ClosureLocation!$B$6 &lt;= Table4[[#This Row],[EndMP]]), "Yes", "")</f>
        <v/>
      </c>
      <c r="Q953" s="1" t="str">
        <f>IF( AND( Table4[[#This Row],[Route]]=ClosureLocation!$B$3, ClosureLocation!$B$6 &lt;= Table4[[#This Row],[StartMP]], ClosureLocation!$B$6 &gt;= Table4[[#This Row],[EndMP]]), "Yes", "")</f>
        <v/>
      </c>
      <c r="R953" s="1" t="str">
        <f>IF( OR( Table4[[#This Row],[PrimaryMatch]]="Yes", Table4[[#This Row],[SecondaryMatch]]="Yes"), "Yes", "")</f>
        <v/>
      </c>
    </row>
    <row r="954" spans="1:18" hidden="1" x14ac:dyDescent="0.25">
      <c r="A954" t="s">
        <v>65</v>
      </c>
      <c r="B954" t="s">
        <v>3205</v>
      </c>
      <c r="C954" t="s">
        <v>3222</v>
      </c>
      <c r="D954" t="s">
        <v>3238</v>
      </c>
      <c r="E954" s="1">
        <v>274.36599699999999</v>
      </c>
      <c r="F954" s="1">
        <v>274.64801</v>
      </c>
      <c r="K954" s="39">
        <f>DefaultValues!$B$4</f>
        <v>5</v>
      </c>
      <c r="L954" s="1">
        <f>DefaultValues!$C$4</f>
        <v>0.5</v>
      </c>
      <c r="M954" s="1" t="str">
        <f>DefaultValues!$D$4</f>
        <v xml:space="preserve">- Within interchange - </v>
      </c>
      <c r="N954" s="1">
        <v>274.36599699999999</v>
      </c>
      <c r="O954" s="1">
        <f>ABS(Table4[[#This Row],[EndMP]]-Table4[[#This Row],[StartMP]])</f>
        <v>0.28201300000000629</v>
      </c>
      <c r="P954" s="1" t="str">
        <f>IF( AND( Table4[[#This Row],[Route]]=ClosureLocation!$B$3, ClosureLocation!$B$6 &gt;= Table4[[#This Row],[StartMP]], ClosureLocation!$B$6 &lt;= Table4[[#This Row],[EndMP]]), "Yes", "")</f>
        <v/>
      </c>
      <c r="Q954" s="1" t="str">
        <f>IF( AND( Table4[[#This Row],[Route]]=ClosureLocation!$B$3, ClosureLocation!$B$6 &lt;= Table4[[#This Row],[StartMP]], ClosureLocation!$B$6 &gt;= Table4[[#This Row],[EndMP]]), "Yes", "")</f>
        <v/>
      </c>
      <c r="R954" s="1" t="str">
        <f>IF( OR( Table4[[#This Row],[PrimaryMatch]]="Yes", Table4[[#This Row],[SecondaryMatch]]="Yes"), "Yes", "")</f>
        <v/>
      </c>
    </row>
    <row r="955" spans="1:18" hidden="1" x14ac:dyDescent="0.25">
      <c r="A955" t="s">
        <v>65</v>
      </c>
      <c r="B955" t="s">
        <v>3205</v>
      </c>
      <c r="C955" t="s">
        <v>3222</v>
      </c>
      <c r="D955" t="s">
        <v>3238</v>
      </c>
      <c r="E955" s="1">
        <v>274.90701300000001</v>
      </c>
      <c r="F955" s="1">
        <v>275.40600599999999</v>
      </c>
      <c r="K955" s="39">
        <f>DefaultValues!$B$4</f>
        <v>5</v>
      </c>
      <c r="L955" s="1">
        <f>DefaultValues!$C$4</f>
        <v>0.5</v>
      </c>
      <c r="M955" s="1" t="str">
        <f>DefaultValues!$D$4</f>
        <v xml:space="preserve">- Within interchange - </v>
      </c>
      <c r="N955" s="1">
        <v>274.90701300000001</v>
      </c>
      <c r="O955" s="1">
        <f>ABS(Table4[[#This Row],[EndMP]]-Table4[[#This Row],[StartMP]])</f>
        <v>0.49899299999998448</v>
      </c>
      <c r="P955" s="1" t="str">
        <f>IF( AND( Table4[[#This Row],[Route]]=ClosureLocation!$B$3, ClosureLocation!$B$6 &gt;= Table4[[#This Row],[StartMP]], ClosureLocation!$B$6 &lt;= Table4[[#This Row],[EndMP]]), "Yes", "")</f>
        <v/>
      </c>
      <c r="Q955" s="1" t="str">
        <f>IF( AND( Table4[[#This Row],[Route]]=ClosureLocation!$B$3, ClosureLocation!$B$6 &lt;= Table4[[#This Row],[StartMP]], ClosureLocation!$B$6 &gt;= Table4[[#This Row],[EndMP]]), "Yes", "")</f>
        <v/>
      </c>
      <c r="R955" s="1" t="str">
        <f>IF( OR( Table4[[#This Row],[PrimaryMatch]]="Yes", Table4[[#This Row],[SecondaryMatch]]="Yes"), "Yes", "")</f>
        <v/>
      </c>
    </row>
    <row r="956" spans="1:18" hidden="1" x14ac:dyDescent="0.25">
      <c r="A956" t="s">
        <v>65</v>
      </c>
      <c r="B956" t="s">
        <v>3205</v>
      </c>
      <c r="C956" t="s">
        <v>3222</v>
      </c>
      <c r="D956" t="s">
        <v>3238</v>
      </c>
      <c r="E956" s="1">
        <v>276</v>
      </c>
      <c r="F956" s="1">
        <v>276.62799100000001</v>
      </c>
      <c r="K956" s="39">
        <f>DefaultValues!$B$4</f>
        <v>5</v>
      </c>
      <c r="L956" s="1">
        <f>DefaultValues!$C$4</f>
        <v>0.5</v>
      </c>
      <c r="M956" s="1" t="str">
        <f>DefaultValues!$D$4</f>
        <v xml:space="preserve">- Within interchange - </v>
      </c>
      <c r="N956" s="1">
        <v>276</v>
      </c>
      <c r="O956" s="1">
        <f>ABS(Table4[[#This Row],[EndMP]]-Table4[[#This Row],[StartMP]])</f>
        <v>0.62799100000000863</v>
      </c>
      <c r="P956" s="1" t="str">
        <f>IF( AND( Table4[[#This Row],[Route]]=ClosureLocation!$B$3, ClosureLocation!$B$6 &gt;= Table4[[#This Row],[StartMP]], ClosureLocation!$B$6 &lt;= Table4[[#This Row],[EndMP]]), "Yes", "")</f>
        <v/>
      </c>
      <c r="Q956" s="1" t="str">
        <f>IF( AND( Table4[[#This Row],[Route]]=ClosureLocation!$B$3, ClosureLocation!$B$6 &lt;= Table4[[#This Row],[StartMP]], ClosureLocation!$B$6 &gt;= Table4[[#This Row],[EndMP]]), "Yes", "")</f>
        <v/>
      </c>
      <c r="R956" s="1" t="str">
        <f>IF( OR( Table4[[#This Row],[PrimaryMatch]]="Yes", Table4[[#This Row],[SecondaryMatch]]="Yes"), "Yes", "")</f>
        <v/>
      </c>
    </row>
    <row r="957" spans="1:18" hidden="1" x14ac:dyDescent="0.25">
      <c r="A957" t="s">
        <v>65</v>
      </c>
      <c r="B957" t="s">
        <v>3205</v>
      </c>
      <c r="C957" t="s">
        <v>3222</v>
      </c>
      <c r="D957" t="s">
        <v>3238</v>
      </c>
      <c r="E957" s="1">
        <v>278</v>
      </c>
      <c r="F957" s="1">
        <v>278.52301</v>
      </c>
      <c r="K957" s="39">
        <f>DefaultValues!$B$4</f>
        <v>5</v>
      </c>
      <c r="L957" s="1">
        <f>DefaultValues!$C$4</f>
        <v>0.5</v>
      </c>
      <c r="M957" s="1" t="str">
        <f>DefaultValues!$D$4</f>
        <v xml:space="preserve">- Within interchange - </v>
      </c>
      <c r="N957" s="1">
        <v>278</v>
      </c>
      <c r="O957" s="1">
        <f>ABS(Table4[[#This Row],[EndMP]]-Table4[[#This Row],[StartMP]])</f>
        <v>0.52300999999999931</v>
      </c>
      <c r="P957" s="1" t="str">
        <f>IF( AND( Table4[[#This Row],[Route]]=ClosureLocation!$B$3, ClosureLocation!$B$6 &gt;= Table4[[#This Row],[StartMP]], ClosureLocation!$B$6 &lt;= Table4[[#This Row],[EndMP]]), "Yes", "")</f>
        <v/>
      </c>
      <c r="Q957" s="1" t="str">
        <f>IF( AND( Table4[[#This Row],[Route]]=ClosureLocation!$B$3, ClosureLocation!$B$6 &lt;= Table4[[#This Row],[StartMP]], ClosureLocation!$B$6 &gt;= Table4[[#This Row],[EndMP]]), "Yes", "")</f>
        <v/>
      </c>
      <c r="R957" s="1" t="str">
        <f>IF( OR( Table4[[#This Row],[PrimaryMatch]]="Yes", Table4[[#This Row],[SecondaryMatch]]="Yes"), "Yes", "")</f>
        <v/>
      </c>
    </row>
    <row r="958" spans="1:18" hidden="1" x14ac:dyDescent="0.25">
      <c r="A958" t="s">
        <v>65</v>
      </c>
      <c r="B958" t="s">
        <v>3205</v>
      </c>
      <c r="C958" t="s">
        <v>3222</v>
      </c>
      <c r="D958" t="s">
        <v>3238</v>
      </c>
      <c r="E958" s="1">
        <v>279.04699699999998</v>
      </c>
      <c r="F958" s="1">
        <v>279.57699600000001</v>
      </c>
      <c r="K958" s="39">
        <f>DefaultValues!$B$4</f>
        <v>5</v>
      </c>
      <c r="L958" s="1">
        <f>DefaultValues!$C$4</f>
        <v>0.5</v>
      </c>
      <c r="M958" s="1" t="str">
        <f>DefaultValues!$D$4</f>
        <v xml:space="preserve">- Within interchange - </v>
      </c>
      <c r="N958" s="1">
        <v>279.04699699999998</v>
      </c>
      <c r="O958" s="1">
        <f>ABS(Table4[[#This Row],[EndMP]]-Table4[[#This Row],[StartMP]])</f>
        <v>0.52999900000003208</v>
      </c>
      <c r="P958" s="1" t="str">
        <f>IF( AND( Table4[[#This Row],[Route]]=ClosureLocation!$B$3, ClosureLocation!$B$6 &gt;= Table4[[#This Row],[StartMP]], ClosureLocation!$B$6 &lt;= Table4[[#This Row],[EndMP]]), "Yes", "")</f>
        <v/>
      </c>
      <c r="Q958" s="1" t="str">
        <f>IF( AND( Table4[[#This Row],[Route]]=ClosureLocation!$B$3, ClosureLocation!$B$6 &lt;= Table4[[#This Row],[StartMP]], ClosureLocation!$B$6 &gt;= Table4[[#This Row],[EndMP]]), "Yes", "")</f>
        <v/>
      </c>
      <c r="R958" s="1" t="str">
        <f>IF( OR( Table4[[#This Row],[PrimaryMatch]]="Yes", Table4[[#This Row],[SecondaryMatch]]="Yes"), "Yes", "")</f>
        <v/>
      </c>
    </row>
    <row r="959" spans="1:18" hidden="1" x14ac:dyDescent="0.25">
      <c r="A959" t="s">
        <v>65</v>
      </c>
      <c r="B959" t="s">
        <v>3205</v>
      </c>
      <c r="C959" t="s">
        <v>3222</v>
      </c>
      <c r="D959" t="s">
        <v>3238</v>
      </c>
      <c r="E959" s="1">
        <v>279.66299400000003</v>
      </c>
      <c r="F959" s="1">
        <v>280.40100100000001</v>
      </c>
      <c r="K959" s="39">
        <f>DefaultValues!$B$4</f>
        <v>5</v>
      </c>
      <c r="L959" s="1">
        <f>DefaultValues!$C$4</f>
        <v>0.5</v>
      </c>
      <c r="M959" s="1" t="str">
        <f>DefaultValues!$D$4</f>
        <v xml:space="preserve">- Within interchange - </v>
      </c>
      <c r="N959" s="1">
        <v>279.66299400000003</v>
      </c>
      <c r="O959" s="1">
        <f>ABS(Table4[[#This Row],[EndMP]]-Table4[[#This Row],[StartMP]])</f>
        <v>0.73800699999998187</v>
      </c>
      <c r="P959" s="1" t="str">
        <f>IF( AND( Table4[[#This Row],[Route]]=ClosureLocation!$B$3, ClosureLocation!$B$6 &gt;= Table4[[#This Row],[StartMP]], ClosureLocation!$B$6 &lt;= Table4[[#This Row],[EndMP]]), "Yes", "")</f>
        <v/>
      </c>
      <c r="Q959" s="1" t="str">
        <f>IF( AND( Table4[[#This Row],[Route]]=ClosureLocation!$B$3, ClosureLocation!$B$6 &lt;= Table4[[#This Row],[StartMP]], ClosureLocation!$B$6 &gt;= Table4[[#This Row],[EndMP]]), "Yes", "")</f>
        <v/>
      </c>
      <c r="R959" s="1" t="str">
        <f>IF( OR( Table4[[#This Row],[PrimaryMatch]]="Yes", Table4[[#This Row],[SecondaryMatch]]="Yes"), "Yes", "")</f>
        <v/>
      </c>
    </row>
    <row r="960" spans="1:18" hidden="1" x14ac:dyDescent="0.25">
      <c r="A960" t="s">
        <v>65</v>
      </c>
      <c r="B960" t="s">
        <v>3205</v>
      </c>
      <c r="C960" t="s">
        <v>3222</v>
      </c>
      <c r="D960" t="s">
        <v>3238</v>
      </c>
      <c r="E960" s="1">
        <v>280.72799700000002</v>
      </c>
      <c r="F960" s="1">
        <v>281</v>
      </c>
      <c r="K960" s="39">
        <f>DefaultValues!$B$4</f>
        <v>5</v>
      </c>
      <c r="L960" s="1">
        <f>DefaultValues!$C$4</f>
        <v>0.5</v>
      </c>
      <c r="M960" s="1" t="str">
        <f>DefaultValues!$D$4</f>
        <v xml:space="preserve">- Within interchange - </v>
      </c>
      <c r="N960" s="1">
        <v>280.72799700000002</v>
      </c>
      <c r="O960" s="1">
        <f>ABS(Table4[[#This Row],[EndMP]]-Table4[[#This Row],[StartMP]])</f>
        <v>0.27200299999998379</v>
      </c>
      <c r="P960" s="1" t="str">
        <f>IF( AND( Table4[[#This Row],[Route]]=ClosureLocation!$B$3, ClosureLocation!$B$6 &gt;= Table4[[#This Row],[StartMP]], ClosureLocation!$B$6 &lt;= Table4[[#This Row],[EndMP]]), "Yes", "")</f>
        <v/>
      </c>
      <c r="Q960" s="1" t="str">
        <f>IF( AND( Table4[[#This Row],[Route]]=ClosureLocation!$B$3, ClosureLocation!$B$6 &lt;= Table4[[#This Row],[StartMP]], ClosureLocation!$B$6 &gt;= Table4[[#This Row],[EndMP]]), "Yes", "")</f>
        <v/>
      </c>
      <c r="R960" s="1" t="str">
        <f>IF( OR( Table4[[#This Row],[PrimaryMatch]]="Yes", Table4[[#This Row],[SecondaryMatch]]="Yes"), "Yes", "")</f>
        <v/>
      </c>
    </row>
    <row r="961" spans="1:18" hidden="1" x14ac:dyDescent="0.25">
      <c r="A961" t="s">
        <v>65</v>
      </c>
      <c r="B961" t="s">
        <v>3205</v>
      </c>
      <c r="C961" t="s">
        <v>3222</v>
      </c>
      <c r="D961" t="s">
        <v>3238</v>
      </c>
      <c r="E961" s="1">
        <v>282.16799900000001</v>
      </c>
      <c r="F961" s="1">
        <v>282.58200099999999</v>
      </c>
      <c r="K961" s="39">
        <f>DefaultValues!$B$4</f>
        <v>5</v>
      </c>
      <c r="L961" s="1">
        <f>DefaultValues!$C$4</f>
        <v>0.5</v>
      </c>
      <c r="M961" s="1" t="str">
        <f>DefaultValues!$D$4</f>
        <v xml:space="preserve">- Within interchange - </v>
      </c>
      <c r="N961" s="1">
        <v>282.16799900000001</v>
      </c>
      <c r="O961" s="1">
        <f>ABS(Table4[[#This Row],[EndMP]]-Table4[[#This Row],[StartMP]])</f>
        <v>0.41400199999998222</v>
      </c>
      <c r="P961" s="1" t="str">
        <f>IF( AND( Table4[[#This Row],[Route]]=ClosureLocation!$B$3, ClosureLocation!$B$6 &gt;= Table4[[#This Row],[StartMP]], ClosureLocation!$B$6 &lt;= Table4[[#This Row],[EndMP]]), "Yes", "")</f>
        <v/>
      </c>
      <c r="Q961" s="1" t="str">
        <f>IF( AND( Table4[[#This Row],[Route]]=ClosureLocation!$B$3, ClosureLocation!$B$6 &lt;= Table4[[#This Row],[StartMP]], ClosureLocation!$B$6 &gt;= Table4[[#This Row],[EndMP]]), "Yes", "")</f>
        <v/>
      </c>
      <c r="R961" s="1" t="str">
        <f>IF( OR( Table4[[#This Row],[PrimaryMatch]]="Yes", Table4[[#This Row],[SecondaryMatch]]="Yes"), "Yes", "")</f>
        <v/>
      </c>
    </row>
    <row r="962" spans="1:18" hidden="1" x14ac:dyDescent="0.25">
      <c r="A962" t="s">
        <v>65</v>
      </c>
      <c r="B962" t="s">
        <v>3205</v>
      </c>
      <c r="C962" t="s">
        <v>3222</v>
      </c>
      <c r="D962" t="s">
        <v>3238</v>
      </c>
      <c r="E962" s="1">
        <v>283.760986</v>
      </c>
      <c r="F962" s="1">
        <v>284.489014</v>
      </c>
      <c r="K962" s="39">
        <f>DefaultValues!$B$4</f>
        <v>5</v>
      </c>
      <c r="L962" s="1">
        <f>DefaultValues!$C$4</f>
        <v>0.5</v>
      </c>
      <c r="M962" s="1" t="str">
        <f>DefaultValues!$D$4</f>
        <v xml:space="preserve">- Within interchange - </v>
      </c>
      <c r="N962" s="1">
        <v>283.760986</v>
      </c>
      <c r="O962" s="1">
        <f>ABS(Table4[[#This Row],[EndMP]]-Table4[[#This Row],[StartMP]])</f>
        <v>0.72802799999999479</v>
      </c>
      <c r="P962" s="1" t="str">
        <f>IF( AND( Table4[[#This Row],[Route]]=ClosureLocation!$B$3, ClosureLocation!$B$6 &gt;= Table4[[#This Row],[StartMP]], ClosureLocation!$B$6 &lt;= Table4[[#This Row],[EndMP]]), "Yes", "")</f>
        <v/>
      </c>
      <c r="Q962" s="1" t="str">
        <f>IF( AND( Table4[[#This Row],[Route]]=ClosureLocation!$B$3, ClosureLocation!$B$6 &lt;= Table4[[#This Row],[StartMP]], ClosureLocation!$B$6 &gt;= Table4[[#This Row],[EndMP]]), "Yes", "")</f>
        <v/>
      </c>
      <c r="R962" s="1" t="str">
        <f>IF( OR( Table4[[#This Row],[PrimaryMatch]]="Yes", Table4[[#This Row],[SecondaryMatch]]="Yes"), "Yes", "")</f>
        <v/>
      </c>
    </row>
    <row r="963" spans="1:18" hidden="1" x14ac:dyDescent="0.25">
      <c r="A963" t="s">
        <v>65</v>
      </c>
      <c r="B963" t="s">
        <v>3209</v>
      </c>
      <c r="C963" t="s">
        <v>3226</v>
      </c>
      <c r="D963" t="s">
        <v>3247</v>
      </c>
      <c r="E963" s="1">
        <v>284.489014</v>
      </c>
      <c r="F963" s="1">
        <v>283.760986</v>
      </c>
      <c r="K963" s="39">
        <f>DefaultValues!$B$4</f>
        <v>5</v>
      </c>
      <c r="L963" s="1">
        <f>DefaultValues!$C$4</f>
        <v>0.5</v>
      </c>
      <c r="M963" s="1" t="str">
        <f>DefaultValues!$D$4</f>
        <v xml:space="preserve">- Within interchange - </v>
      </c>
      <c r="N963" s="1">
        <v>715.510986</v>
      </c>
      <c r="O963" s="1">
        <f>ABS(Table4[[#This Row],[EndMP]]-Table4[[#This Row],[StartMP]])</f>
        <v>0.72802799999999479</v>
      </c>
      <c r="P963" s="1" t="str">
        <f>IF( AND( Table4[[#This Row],[Route]]=ClosureLocation!$B$3, ClosureLocation!$B$6 &gt;= Table4[[#This Row],[StartMP]], ClosureLocation!$B$6 &lt;= Table4[[#This Row],[EndMP]]), "Yes", "")</f>
        <v/>
      </c>
      <c r="Q963" s="1" t="str">
        <f>IF( AND( Table4[[#This Row],[Route]]=ClosureLocation!$B$3, ClosureLocation!$B$6 &lt;= Table4[[#This Row],[StartMP]], ClosureLocation!$B$6 &gt;= Table4[[#This Row],[EndMP]]), "Yes", "")</f>
        <v/>
      </c>
      <c r="R963" s="1" t="str">
        <f>IF( OR( Table4[[#This Row],[PrimaryMatch]]="Yes", Table4[[#This Row],[SecondaryMatch]]="Yes"), "Yes", "")</f>
        <v/>
      </c>
    </row>
    <row r="964" spans="1:18" hidden="1" x14ac:dyDescent="0.25">
      <c r="A964" t="s">
        <v>65</v>
      </c>
      <c r="B964" t="s">
        <v>3209</v>
      </c>
      <c r="C964" t="s">
        <v>3226</v>
      </c>
      <c r="D964" t="s">
        <v>3247</v>
      </c>
      <c r="E964" s="1">
        <v>282.58200099999999</v>
      </c>
      <c r="F964" s="1">
        <v>282.16799900000001</v>
      </c>
      <c r="K964" s="39">
        <f>DefaultValues!$B$4</f>
        <v>5</v>
      </c>
      <c r="L964" s="1">
        <f>DefaultValues!$C$4</f>
        <v>0.5</v>
      </c>
      <c r="M964" s="1" t="str">
        <f>DefaultValues!$D$4</f>
        <v xml:space="preserve">- Within interchange - </v>
      </c>
      <c r="N964" s="1">
        <v>717.41803000000004</v>
      </c>
      <c r="O964" s="1">
        <f>ABS(Table4[[#This Row],[EndMP]]-Table4[[#This Row],[StartMP]])</f>
        <v>0.41400199999998222</v>
      </c>
      <c r="P964" s="1" t="str">
        <f>IF( AND( Table4[[#This Row],[Route]]=ClosureLocation!$B$3, ClosureLocation!$B$6 &gt;= Table4[[#This Row],[StartMP]], ClosureLocation!$B$6 &lt;= Table4[[#This Row],[EndMP]]), "Yes", "")</f>
        <v/>
      </c>
      <c r="Q964" s="1" t="str">
        <f>IF( AND( Table4[[#This Row],[Route]]=ClosureLocation!$B$3, ClosureLocation!$B$6 &lt;= Table4[[#This Row],[StartMP]], ClosureLocation!$B$6 &gt;= Table4[[#This Row],[EndMP]]), "Yes", "")</f>
        <v/>
      </c>
      <c r="R964" s="1" t="str">
        <f>IF( OR( Table4[[#This Row],[PrimaryMatch]]="Yes", Table4[[#This Row],[SecondaryMatch]]="Yes"), "Yes", "")</f>
        <v/>
      </c>
    </row>
    <row r="965" spans="1:18" hidden="1" x14ac:dyDescent="0.25">
      <c r="A965" t="s">
        <v>65</v>
      </c>
      <c r="B965" t="s">
        <v>3209</v>
      </c>
      <c r="C965" t="s">
        <v>3226</v>
      </c>
      <c r="D965" t="s">
        <v>3247</v>
      </c>
      <c r="E965" s="1">
        <v>281</v>
      </c>
      <c r="F965" s="1">
        <v>280.72799700000002</v>
      </c>
      <c r="K965" s="39">
        <f>DefaultValues!$B$4</f>
        <v>5</v>
      </c>
      <c r="L965" s="1">
        <f>DefaultValues!$C$4</f>
        <v>0.5</v>
      </c>
      <c r="M965" s="1" t="str">
        <f>DefaultValues!$D$4</f>
        <v xml:space="preserve">- Within interchange - </v>
      </c>
      <c r="N965" s="1">
        <v>719</v>
      </c>
      <c r="O965" s="1">
        <f>ABS(Table4[[#This Row],[EndMP]]-Table4[[#This Row],[StartMP]])</f>
        <v>0.27200299999998379</v>
      </c>
      <c r="P965" s="1" t="str">
        <f>IF( AND( Table4[[#This Row],[Route]]=ClosureLocation!$B$3, ClosureLocation!$B$6 &gt;= Table4[[#This Row],[StartMP]], ClosureLocation!$B$6 &lt;= Table4[[#This Row],[EndMP]]), "Yes", "")</f>
        <v/>
      </c>
      <c r="Q965" s="1" t="str">
        <f>IF( AND( Table4[[#This Row],[Route]]=ClosureLocation!$B$3, ClosureLocation!$B$6 &lt;= Table4[[#This Row],[StartMP]], ClosureLocation!$B$6 &gt;= Table4[[#This Row],[EndMP]]), "Yes", "")</f>
        <v/>
      </c>
      <c r="R965" s="1" t="str">
        <f>IF( OR( Table4[[#This Row],[PrimaryMatch]]="Yes", Table4[[#This Row],[SecondaryMatch]]="Yes"), "Yes", "")</f>
        <v/>
      </c>
    </row>
    <row r="966" spans="1:18" hidden="1" x14ac:dyDescent="0.25">
      <c r="A966" t="s">
        <v>65</v>
      </c>
      <c r="B966" t="s">
        <v>3209</v>
      </c>
      <c r="C966" t="s">
        <v>3226</v>
      </c>
      <c r="D966" t="s">
        <v>3247</v>
      </c>
      <c r="E966" s="1">
        <v>280.40100100000001</v>
      </c>
      <c r="F966" s="1">
        <v>279.57699600000001</v>
      </c>
      <c r="K966" s="39">
        <f>DefaultValues!$B$4</f>
        <v>5</v>
      </c>
      <c r="L966" s="1">
        <f>DefaultValues!$C$4</f>
        <v>0.5</v>
      </c>
      <c r="M966" s="1" t="str">
        <f>DefaultValues!$D$4</f>
        <v xml:space="preserve">- Within interchange - </v>
      </c>
      <c r="N966" s="1">
        <v>719.59899900000005</v>
      </c>
      <c r="O966" s="1">
        <f>ABS(Table4[[#This Row],[EndMP]]-Table4[[#This Row],[StartMP]])</f>
        <v>0.82400499999999965</v>
      </c>
      <c r="P966" s="1" t="str">
        <f>IF( AND( Table4[[#This Row],[Route]]=ClosureLocation!$B$3, ClosureLocation!$B$6 &gt;= Table4[[#This Row],[StartMP]], ClosureLocation!$B$6 &lt;= Table4[[#This Row],[EndMP]]), "Yes", "")</f>
        <v/>
      </c>
      <c r="Q966" s="1" t="str">
        <f>IF( AND( Table4[[#This Row],[Route]]=ClosureLocation!$B$3, ClosureLocation!$B$6 &lt;= Table4[[#This Row],[StartMP]], ClosureLocation!$B$6 &gt;= Table4[[#This Row],[EndMP]]), "Yes", "")</f>
        <v/>
      </c>
      <c r="R966" s="1" t="str">
        <f>IF( OR( Table4[[#This Row],[PrimaryMatch]]="Yes", Table4[[#This Row],[SecondaryMatch]]="Yes"), "Yes", "")</f>
        <v/>
      </c>
    </row>
    <row r="967" spans="1:18" hidden="1" x14ac:dyDescent="0.25">
      <c r="A967" t="s">
        <v>65</v>
      </c>
      <c r="B967" t="s">
        <v>3209</v>
      </c>
      <c r="C967" t="s">
        <v>3226</v>
      </c>
      <c r="D967" t="s">
        <v>3247</v>
      </c>
      <c r="E967" s="1">
        <v>279.32501200000002</v>
      </c>
      <c r="F967" s="1">
        <v>279.04699699999998</v>
      </c>
      <c r="K967" s="39">
        <f>DefaultValues!$B$4</f>
        <v>5</v>
      </c>
      <c r="L967" s="1">
        <f>DefaultValues!$C$4</f>
        <v>0.5</v>
      </c>
      <c r="M967" s="1" t="str">
        <f>DefaultValues!$D$4</f>
        <v xml:space="preserve">- Within interchange - </v>
      </c>
      <c r="N967" s="1">
        <v>720.67498799999998</v>
      </c>
      <c r="O967" s="1">
        <f>ABS(Table4[[#This Row],[EndMP]]-Table4[[#This Row],[StartMP]])</f>
        <v>0.27801500000003898</v>
      </c>
      <c r="P967" s="1" t="str">
        <f>IF( AND( Table4[[#This Row],[Route]]=ClosureLocation!$B$3, ClosureLocation!$B$6 &gt;= Table4[[#This Row],[StartMP]], ClosureLocation!$B$6 &lt;= Table4[[#This Row],[EndMP]]), "Yes", "")</f>
        <v/>
      </c>
      <c r="Q967" s="1" t="str">
        <f>IF( AND( Table4[[#This Row],[Route]]=ClosureLocation!$B$3, ClosureLocation!$B$6 &lt;= Table4[[#This Row],[StartMP]], ClosureLocation!$B$6 &gt;= Table4[[#This Row],[EndMP]]), "Yes", "")</f>
        <v/>
      </c>
      <c r="R967" s="1" t="str">
        <f>IF( OR( Table4[[#This Row],[PrimaryMatch]]="Yes", Table4[[#This Row],[SecondaryMatch]]="Yes"), "Yes", "")</f>
        <v/>
      </c>
    </row>
    <row r="968" spans="1:18" hidden="1" x14ac:dyDescent="0.25">
      <c r="A968" t="s">
        <v>65</v>
      </c>
      <c r="B968" t="s">
        <v>3209</v>
      </c>
      <c r="C968" t="s">
        <v>3226</v>
      </c>
      <c r="D968" t="s">
        <v>3247</v>
      </c>
      <c r="E968" s="1">
        <v>278.52301</v>
      </c>
      <c r="F968" s="1">
        <v>278.02301</v>
      </c>
      <c r="K968" s="39">
        <f>DefaultValues!$B$4</f>
        <v>5</v>
      </c>
      <c r="L968" s="1">
        <f>DefaultValues!$C$4</f>
        <v>0.5</v>
      </c>
      <c r="M968" s="1" t="str">
        <f>DefaultValues!$D$4</f>
        <v xml:space="preserve">- Within interchange - </v>
      </c>
      <c r="N968" s="1">
        <v>721.47699</v>
      </c>
      <c r="O968" s="1">
        <f>ABS(Table4[[#This Row],[EndMP]]-Table4[[#This Row],[StartMP]])</f>
        <v>0.5</v>
      </c>
      <c r="P968" s="1" t="str">
        <f>IF( AND( Table4[[#This Row],[Route]]=ClosureLocation!$B$3, ClosureLocation!$B$6 &gt;= Table4[[#This Row],[StartMP]], ClosureLocation!$B$6 &lt;= Table4[[#This Row],[EndMP]]), "Yes", "")</f>
        <v/>
      </c>
      <c r="Q968" s="1" t="str">
        <f>IF( AND( Table4[[#This Row],[Route]]=ClosureLocation!$B$3, ClosureLocation!$B$6 &lt;= Table4[[#This Row],[StartMP]], ClosureLocation!$B$6 &gt;= Table4[[#This Row],[EndMP]]), "Yes", "")</f>
        <v/>
      </c>
      <c r="R968" s="1" t="str">
        <f>IF( OR( Table4[[#This Row],[PrimaryMatch]]="Yes", Table4[[#This Row],[SecondaryMatch]]="Yes"), "Yes", "")</f>
        <v/>
      </c>
    </row>
    <row r="969" spans="1:18" hidden="1" x14ac:dyDescent="0.25">
      <c r="A969" t="s">
        <v>65</v>
      </c>
      <c r="B969" t="s">
        <v>3209</v>
      </c>
      <c r="C969" t="s">
        <v>3226</v>
      </c>
      <c r="D969" t="s">
        <v>3247</v>
      </c>
      <c r="E969" s="1">
        <v>276.62799100000001</v>
      </c>
      <c r="F969" s="1">
        <v>276</v>
      </c>
      <c r="K969" s="39">
        <f>DefaultValues!$B$4</f>
        <v>5</v>
      </c>
      <c r="L969" s="1">
        <f>DefaultValues!$C$4</f>
        <v>0.5</v>
      </c>
      <c r="M969" s="1" t="str">
        <f>DefaultValues!$D$4</f>
        <v xml:space="preserve">- Within interchange - </v>
      </c>
      <c r="N969" s="1">
        <v>723.37200900000005</v>
      </c>
      <c r="O969" s="1">
        <f>ABS(Table4[[#This Row],[EndMP]]-Table4[[#This Row],[StartMP]])</f>
        <v>0.62799100000000863</v>
      </c>
      <c r="P969" s="1" t="str">
        <f>IF( AND( Table4[[#This Row],[Route]]=ClosureLocation!$B$3, ClosureLocation!$B$6 &gt;= Table4[[#This Row],[StartMP]], ClosureLocation!$B$6 &lt;= Table4[[#This Row],[EndMP]]), "Yes", "")</f>
        <v/>
      </c>
      <c r="Q969" s="1" t="str">
        <f>IF( AND( Table4[[#This Row],[Route]]=ClosureLocation!$B$3, ClosureLocation!$B$6 &lt;= Table4[[#This Row],[StartMP]], ClosureLocation!$B$6 &gt;= Table4[[#This Row],[EndMP]]), "Yes", "")</f>
        <v/>
      </c>
      <c r="R969" s="1" t="str">
        <f>IF( OR( Table4[[#This Row],[PrimaryMatch]]="Yes", Table4[[#This Row],[SecondaryMatch]]="Yes"), "Yes", "")</f>
        <v/>
      </c>
    </row>
    <row r="970" spans="1:18" hidden="1" x14ac:dyDescent="0.25">
      <c r="A970" t="s">
        <v>65</v>
      </c>
      <c r="B970" t="s">
        <v>3209</v>
      </c>
      <c r="C970" t="s">
        <v>3226</v>
      </c>
      <c r="D970" t="s">
        <v>3247</v>
      </c>
      <c r="E970" s="1">
        <v>275.40600599999999</v>
      </c>
      <c r="F970" s="1">
        <v>274.90701300000001</v>
      </c>
      <c r="K970" s="39">
        <f>DefaultValues!$B$4</f>
        <v>5</v>
      </c>
      <c r="L970" s="1">
        <f>DefaultValues!$C$4</f>
        <v>0.5</v>
      </c>
      <c r="M970" s="1" t="str">
        <f>DefaultValues!$D$4</f>
        <v xml:space="preserve">- Within interchange - </v>
      </c>
      <c r="N970" s="1">
        <v>724.59399399999995</v>
      </c>
      <c r="O970" s="1">
        <f>ABS(Table4[[#This Row],[EndMP]]-Table4[[#This Row],[StartMP]])</f>
        <v>0.49899299999998448</v>
      </c>
      <c r="P970" s="1" t="str">
        <f>IF( AND( Table4[[#This Row],[Route]]=ClosureLocation!$B$3, ClosureLocation!$B$6 &gt;= Table4[[#This Row],[StartMP]], ClosureLocation!$B$6 &lt;= Table4[[#This Row],[EndMP]]), "Yes", "")</f>
        <v/>
      </c>
      <c r="Q970" s="1" t="str">
        <f>IF( AND( Table4[[#This Row],[Route]]=ClosureLocation!$B$3, ClosureLocation!$B$6 &lt;= Table4[[#This Row],[StartMP]], ClosureLocation!$B$6 &gt;= Table4[[#This Row],[EndMP]]), "Yes", "")</f>
        <v/>
      </c>
      <c r="R970" s="1" t="str">
        <f>IF( OR( Table4[[#This Row],[PrimaryMatch]]="Yes", Table4[[#This Row],[SecondaryMatch]]="Yes"), "Yes", "")</f>
        <v/>
      </c>
    </row>
    <row r="971" spans="1:18" hidden="1" x14ac:dyDescent="0.25">
      <c r="A971" t="s">
        <v>65</v>
      </c>
      <c r="B971" t="s">
        <v>3209</v>
      </c>
      <c r="C971" t="s">
        <v>3226</v>
      </c>
      <c r="D971" t="s">
        <v>3247</v>
      </c>
      <c r="E971" s="1">
        <v>274.64801</v>
      </c>
      <c r="F971" s="1">
        <v>274.36599699999999</v>
      </c>
      <c r="K971" s="39">
        <f>DefaultValues!$B$4</f>
        <v>5</v>
      </c>
      <c r="L971" s="1">
        <f>DefaultValues!$C$4</f>
        <v>0.5</v>
      </c>
      <c r="M971" s="1" t="str">
        <f>DefaultValues!$D$4</f>
        <v xml:space="preserve">- Within interchange - </v>
      </c>
      <c r="N971" s="1">
        <v>725.35199</v>
      </c>
      <c r="O971" s="1">
        <f>ABS(Table4[[#This Row],[EndMP]]-Table4[[#This Row],[StartMP]])</f>
        <v>0.28201300000000629</v>
      </c>
      <c r="P971" s="1" t="str">
        <f>IF( AND( Table4[[#This Row],[Route]]=ClosureLocation!$B$3, ClosureLocation!$B$6 &gt;= Table4[[#This Row],[StartMP]], ClosureLocation!$B$6 &lt;= Table4[[#This Row],[EndMP]]), "Yes", "")</f>
        <v/>
      </c>
      <c r="Q971" s="1" t="str">
        <f>IF( AND( Table4[[#This Row],[Route]]=ClosureLocation!$B$3, ClosureLocation!$B$6 &lt;= Table4[[#This Row],[StartMP]], ClosureLocation!$B$6 &gt;= Table4[[#This Row],[EndMP]]), "Yes", "")</f>
        <v/>
      </c>
      <c r="R971" s="1" t="str">
        <f>IF( OR( Table4[[#This Row],[PrimaryMatch]]="Yes", Table4[[#This Row],[SecondaryMatch]]="Yes"), "Yes", "")</f>
        <v/>
      </c>
    </row>
    <row r="972" spans="1:18" hidden="1" x14ac:dyDescent="0.25">
      <c r="A972" t="s">
        <v>65</v>
      </c>
      <c r="B972" t="s">
        <v>3209</v>
      </c>
      <c r="C972" t="s">
        <v>3226</v>
      </c>
      <c r="D972" t="s">
        <v>3247</v>
      </c>
      <c r="E972" s="1">
        <v>257.28298999999998</v>
      </c>
      <c r="F972" s="1">
        <v>257.07900999999998</v>
      </c>
      <c r="K972" s="39">
        <f>DefaultValues!$B$4</f>
        <v>5</v>
      </c>
      <c r="L972" s="1">
        <f>DefaultValues!$C$4</f>
        <v>0.5</v>
      </c>
      <c r="M972" s="1" t="str">
        <f>DefaultValues!$D$4</f>
        <v xml:space="preserve">- Within interchange - </v>
      </c>
      <c r="N972" s="1">
        <v>742.71698000000004</v>
      </c>
      <c r="O972" s="1">
        <f>ABS(Table4[[#This Row],[EndMP]]-Table4[[#This Row],[StartMP]])</f>
        <v>0.20398000000000138</v>
      </c>
      <c r="P972" s="1" t="str">
        <f>IF( AND( Table4[[#This Row],[Route]]=ClosureLocation!$B$3, ClosureLocation!$B$6 &gt;= Table4[[#This Row],[StartMP]], ClosureLocation!$B$6 &lt;= Table4[[#This Row],[EndMP]]), "Yes", "")</f>
        <v/>
      </c>
      <c r="Q972" s="1" t="str">
        <f>IF( AND( Table4[[#This Row],[Route]]=ClosureLocation!$B$3, ClosureLocation!$B$6 &lt;= Table4[[#This Row],[StartMP]], ClosureLocation!$B$6 &gt;= Table4[[#This Row],[EndMP]]), "Yes", "")</f>
        <v/>
      </c>
      <c r="R972" s="1" t="str">
        <f>IF( OR( Table4[[#This Row],[PrimaryMatch]]="Yes", Table4[[#This Row],[SecondaryMatch]]="Yes"), "Yes", "")</f>
        <v/>
      </c>
    </row>
    <row r="973" spans="1:18" hidden="1" x14ac:dyDescent="0.25">
      <c r="A973" t="s">
        <v>81</v>
      </c>
      <c r="B973" t="s">
        <v>3205</v>
      </c>
      <c r="C973" t="s">
        <v>3222</v>
      </c>
      <c r="D973" t="s">
        <v>3256</v>
      </c>
      <c r="E973" s="1">
        <v>290.98001099999999</v>
      </c>
      <c r="F973" s="1">
        <v>291.10000600000001</v>
      </c>
      <c r="K973" s="39">
        <f>DefaultValues!$B$4</f>
        <v>5</v>
      </c>
      <c r="L973" s="1">
        <f>DefaultValues!$C$4</f>
        <v>0.5</v>
      </c>
      <c r="M973" s="1" t="str">
        <f>DefaultValues!$D$4</f>
        <v xml:space="preserve">- Within interchange - </v>
      </c>
      <c r="N973" s="1">
        <v>290.98001099999999</v>
      </c>
      <c r="O973" s="1">
        <f>ABS(Table4[[#This Row],[EndMP]]-Table4[[#This Row],[StartMP]])</f>
        <v>0.11999500000001717</v>
      </c>
      <c r="P973" s="1" t="str">
        <f>IF( AND( Table4[[#This Row],[Route]]=ClosureLocation!$B$3, ClosureLocation!$B$6 &gt;= Table4[[#This Row],[StartMP]], ClosureLocation!$B$6 &lt;= Table4[[#This Row],[EndMP]]), "Yes", "")</f>
        <v/>
      </c>
      <c r="Q973" s="1" t="str">
        <f>IF( AND( Table4[[#This Row],[Route]]=ClosureLocation!$B$3, ClosureLocation!$B$6 &lt;= Table4[[#This Row],[StartMP]], ClosureLocation!$B$6 &gt;= Table4[[#This Row],[EndMP]]), "Yes", "")</f>
        <v/>
      </c>
      <c r="R973" s="1" t="str">
        <f>IF( OR( Table4[[#This Row],[PrimaryMatch]]="Yes", Table4[[#This Row],[SecondaryMatch]]="Yes"), "Yes", "")</f>
        <v/>
      </c>
    </row>
    <row r="974" spans="1:18" hidden="1" x14ac:dyDescent="0.25">
      <c r="A974" t="s">
        <v>81</v>
      </c>
      <c r="B974" t="s">
        <v>3205</v>
      </c>
      <c r="C974" t="s">
        <v>3222</v>
      </c>
      <c r="D974" t="s">
        <v>3256</v>
      </c>
      <c r="E974" s="1">
        <v>292.56698599999999</v>
      </c>
      <c r="F974" s="1">
        <v>292.88900799999999</v>
      </c>
      <c r="K974" s="39">
        <f>DefaultValues!$B$4</f>
        <v>5</v>
      </c>
      <c r="L974" s="1">
        <f>DefaultValues!$C$4</f>
        <v>0.5</v>
      </c>
      <c r="M974" s="1" t="str">
        <f>DefaultValues!$D$4</f>
        <v xml:space="preserve">- Within interchange - </v>
      </c>
      <c r="N974" s="1">
        <v>292.56698599999999</v>
      </c>
      <c r="O974" s="1">
        <f>ABS(Table4[[#This Row],[EndMP]]-Table4[[#This Row],[StartMP]])</f>
        <v>0.32202200000000403</v>
      </c>
      <c r="P974" s="1" t="str">
        <f>IF( AND( Table4[[#This Row],[Route]]=ClosureLocation!$B$3, ClosureLocation!$B$6 &gt;= Table4[[#This Row],[StartMP]], ClosureLocation!$B$6 &lt;= Table4[[#This Row],[EndMP]]), "Yes", "")</f>
        <v/>
      </c>
      <c r="Q974" s="1" t="str">
        <f>IF( AND( Table4[[#This Row],[Route]]=ClosureLocation!$B$3, ClosureLocation!$B$6 &lt;= Table4[[#This Row],[StartMP]], ClosureLocation!$B$6 &gt;= Table4[[#This Row],[EndMP]]), "Yes", "")</f>
        <v/>
      </c>
      <c r="R974" s="1" t="str">
        <f>IF( OR( Table4[[#This Row],[PrimaryMatch]]="Yes", Table4[[#This Row],[SecondaryMatch]]="Yes"), "Yes", "")</f>
        <v/>
      </c>
    </row>
    <row r="975" spans="1:18" hidden="1" x14ac:dyDescent="0.25">
      <c r="A975" t="s">
        <v>81</v>
      </c>
      <c r="B975" t="s">
        <v>3205</v>
      </c>
      <c r="C975" t="s">
        <v>3222</v>
      </c>
      <c r="D975" t="s">
        <v>3256</v>
      </c>
      <c r="E975" s="1">
        <v>295.58099399999998</v>
      </c>
      <c r="F975" s="1">
        <v>296.32000699999998</v>
      </c>
      <c r="K975" s="39">
        <f>DefaultValues!$B$4</f>
        <v>5</v>
      </c>
      <c r="L975" s="1">
        <f>DefaultValues!$C$4</f>
        <v>0.5</v>
      </c>
      <c r="M975" s="1" t="str">
        <f>DefaultValues!$D$4</f>
        <v xml:space="preserve">- Within interchange - </v>
      </c>
      <c r="N975" s="1">
        <v>295.58099399999998</v>
      </c>
      <c r="O975" s="1">
        <f>ABS(Table4[[#This Row],[EndMP]]-Table4[[#This Row],[StartMP]])</f>
        <v>0.73901299999999992</v>
      </c>
      <c r="P975" s="1" t="str">
        <f>IF( AND( Table4[[#This Row],[Route]]=ClosureLocation!$B$3, ClosureLocation!$B$6 &gt;= Table4[[#This Row],[StartMP]], ClosureLocation!$B$6 &lt;= Table4[[#This Row],[EndMP]]), "Yes", "")</f>
        <v/>
      </c>
      <c r="Q975" s="1" t="str">
        <f>IF( AND( Table4[[#This Row],[Route]]=ClosureLocation!$B$3, ClosureLocation!$B$6 &lt;= Table4[[#This Row],[StartMP]], ClosureLocation!$B$6 &gt;= Table4[[#This Row],[EndMP]]), "Yes", "")</f>
        <v/>
      </c>
      <c r="R975" s="1" t="str">
        <f>IF( OR( Table4[[#This Row],[PrimaryMatch]]="Yes", Table4[[#This Row],[SecondaryMatch]]="Yes"), "Yes", "")</f>
        <v/>
      </c>
    </row>
    <row r="976" spans="1:18" hidden="1" x14ac:dyDescent="0.25">
      <c r="A976" t="s">
        <v>81</v>
      </c>
      <c r="B976" t="s">
        <v>3209</v>
      </c>
      <c r="C976" t="s">
        <v>3226</v>
      </c>
      <c r="D976" t="s">
        <v>3260</v>
      </c>
      <c r="E976" s="1">
        <v>296.32000699999998</v>
      </c>
      <c r="F976" s="1">
        <v>295.58099399999998</v>
      </c>
      <c r="K976" s="39">
        <f>DefaultValues!$B$4</f>
        <v>5</v>
      </c>
      <c r="L976" s="1">
        <f>DefaultValues!$C$4</f>
        <v>0.5</v>
      </c>
      <c r="M976" s="1" t="str">
        <f>DefaultValues!$D$4</f>
        <v xml:space="preserve">- Within interchange - </v>
      </c>
      <c r="N976" s="1">
        <v>703.67999299999997</v>
      </c>
      <c r="O976" s="1">
        <f>ABS(Table4[[#This Row],[EndMP]]-Table4[[#This Row],[StartMP]])</f>
        <v>0.73901299999999992</v>
      </c>
      <c r="P976" s="1" t="str">
        <f>IF( AND( Table4[[#This Row],[Route]]=ClosureLocation!$B$3, ClosureLocation!$B$6 &gt;= Table4[[#This Row],[StartMP]], ClosureLocation!$B$6 &lt;= Table4[[#This Row],[EndMP]]), "Yes", "")</f>
        <v/>
      </c>
      <c r="Q976" s="1" t="str">
        <f>IF( AND( Table4[[#This Row],[Route]]=ClosureLocation!$B$3, ClosureLocation!$B$6 &lt;= Table4[[#This Row],[StartMP]], ClosureLocation!$B$6 &gt;= Table4[[#This Row],[EndMP]]), "Yes", "")</f>
        <v/>
      </c>
      <c r="R976" s="1" t="str">
        <f>IF( OR( Table4[[#This Row],[PrimaryMatch]]="Yes", Table4[[#This Row],[SecondaryMatch]]="Yes"), "Yes", "")</f>
        <v/>
      </c>
    </row>
    <row r="977" spans="1:18" hidden="1" x14ac:dyDescent="0.25">
      <c r="A977" t="s">
        <v>81</v>
      </c>
      <c r="B977" t="s">
        <v>3209</v>
      </c>
      <c r="C977" t="s">
        <v>3226</v>
      </c>
      <c r="D977" t="s">
        <v>3260</v>
      </c>
      <c r="E977" s="1">
        <v>292.88900799999999</v>
      </c>
      <c r="F977" s="1">
        <v>292.56698599999999</v>
      </c>
      <c r="K977" s="39">
        <f>DefaultValues!$B$4</f>
        <v>5</v>
      </c>
      <c r="L977" s="1">
        <f>DefaultValues!$C$4</f>
        <v>0.5</v>
      </c>
      <c r="M977" s="1" t="str">
        <f>DefaultValues!$D$4</f>
        <v xml:space="preserve">- Within interchange - </v>
      </c>
      <c r="N977" s="1">
        <v>707.11102300000005</v>
      </c>
      <c r="O977" s="1">
        <f>ABS(Table4[[#This Row],[EndMP]]-Table4[[#This Row],[StartMP]])</f>
        <v>0.32202200000000403</v>
      </c>
      <c r="P977" s="1" t="str">
        <f>IF( AND( Table4[[#This Row],[Route]]=ClosureLocation!$B$3, ClosureLocation!$B$6 &gt;= Table4[[#This Row],[StartMP]], ClosureLocation!$B$6 &lt;= Table4[[#This Row],[EndMP]]), "Yes", "")</f>
        <v/>
      </c>
      <c r="Q977" s="1" t="str">
        <f>IF( AND( Table4[[#This Row],[Route]]=ClosureLocation!$B$3, ClosureLocation!$B$6 &lt;= Table4[[#This Row],[StartMP]], ClosureLocation!$B$6 &gt;= Table4[[#This Row],[EndMP]]), "Yes", "")</f>
        <v/>
      </c>
      <c r="R977" s="1" t="str">
        <f>IF( OR( Table4[[#This Row],[PrimaryMatch]]="Yes", Table4[[#This Row],[SecondaryMatch]]="Yes"), "Yes", "")</f>
        <v/>
      </c>
    </row>
    <row r="978" spans="1:18" hidden="1" x14ac:dyDescent="0.25">
      <c r="A978" t="s">
        <v>81</v>
      </c>
      <c r="B978" t="s">
        <v>3209</v>
      </c>
      <c r="C978" t="s">
        <v>3226</v>
      </c>
      <c r="D978" t="s">
        <v>3260</v>
      </c>
      <c r="E978" s="1">
        <v>291.10000600000001</v>
      </c>
      <c r="F978" s="1">
        <v>290.98001099999999</v>
      </c>
      <c r="K978" s="39">
        <f>DefaultValues!$B$4</f>
        <v>5</v>
      </c>
      <c r="L978" s="1">
        <f>DefaultValues!$C$4</f>
        <v>0.5</v>
      </c>
      <c r="M978" s="1" t="str">
        <f>DefaultValues!$D$4</f>
        <v xml:space="preserve">- Within interchange - </v>
      </c>
      <c r="N978" s="1">
        <v>708.90002400000003</v>
      </c>
      <c r="O978" s="1">
        <f>ABS(Table4[[#This Row],[EndMP]]-Table4[[#This Row],[StartMP]])</f>
        <v>0.11999500000001717</v>
      </c>
      <c r="P978" s="1" t="str">
        <f>IF( AND( Table4[[#This Row],[Route]]=ClosureLocation!$B$3, ClosureLocation!$B$6 &gt;= Table4[[#This Row],[StartMP]], ClosureLocation!$B$6 &lt;= Table4[[#This Row],[EndMP]]), "Yes", "")</f>
        <v/>
      </c>
      <c r="Q978" s="1" t="str">
        <f>IF( AND( Table4[[#This Row],[Route]]=ClosureLocation!$B$3, ClosureLocation!$B$6 &lt;= Table4[[#This Row],[StartMP]], ClosureLocation!$B$6 &gt;= Table4[[#This Row],[EndMP]]), "Yes", "")</f>
        <v/>
      </c>
      <c r="R978" s="1" t="str">
        <f>IF( OR( Table4[[#This Row],[PrimaryMatch]]="Yes", Table4[[#This Row],[SecondaryMatch]]="Yes"), "Yes", "")</f>
        <v/>
      </c>
    </row>
    <row r="979" spans="1:18" hidden="1" x14ac:dyDescent="0.25">
      <c r="A979" t="s">
        <v>89</v>
      </c>
      <c r="B979" t="s">
        <v>3205</v>
      </c>
      <c r="C979" t="s">
        <v>3222</v>
      </c>
      <c r="D979" t="s">
        <v>4644</v>
      </c>
      <c r="E979" s="1">
        <v>343.51901199999998</v>
      </c>
      <c r="F979" s="1">
        <v>343.70001200000002</v>
      </c>
      <c r="K979" s="39">
        <f>DefaultValues!$B$4</f>
        <v>5</v>
      </c>
      <c r="L979" s="1">
        <f>DefaultValues!$C$4</f>
        <v>0.5</v>
      </c>
      <c r="M979" s="1" t="str">
        <f>DefaultValues!$D$4</f>
        <v xml:space="preserve">- Within interchange - </v>
      </c>
      <c r="N979" s="1">
        <v>343.51901199999998</v>
      </c>
      <c r="O979" s="1">
        <f>ABS(Table4[[#This Row],[EndMP]]-Table4[[#This Row],[StartMP]])</f>
        <v>0.18100000000004002</v>
      </c>
      <c r="P979" s="1" t="str">
        <f>IF( AND( Table4[[#This Row],[Route]]=ClosureLocation!$B$3, ClosureLocation!$B$6 &gt;= Table4[[#This Row],[StartMP]], ClosureLocation!$B$6 &lt;= Table4[[#This Row],[EndMP]]), "Yes", "")</f>
        <v/>
      </c>
      <c r="Q979" s="1" t="str">
        <f>IF( AND( Table4[[#This Row],[Route]]=ClosureLocation!$B$3, ClosureLocation!$B$6 &lt;= Table4[[#This Row],[StartMP]], ClosureLocation!$B$6 &gt;= Table4[[#This Row],[EndMP]]), "Yes", "")</f>
        <v/>
      </c>
      <c r="R979" s="1" t="str">
        <f>IF( OR( Table4[[#This Row],[PrimaryMatch]]="Yes", Table4[[#This Row],[SecondaryMatch]]="Yes"), "Yes", "")</f>
        <v/>
      </c>
    </row>
    <row r="980" spans="1:18" hidden="1" x14ac:dyDescent="0.25">
      <c r="A980" t="s">
        <v>89</v>
      </c>
      <c r="B980" t="s">
        <v>3205</v>
      </c>
      <c r="C980" t="s">
        <v>3222</v>
      </c>
      <c r="D980" t="s">
        <v>4644</v>
      </c>
      <c r="E980" s="1">
        <v>345.92800899999997</v>
      </c>
      <c r="F980" s="1">
        <v>346.69699100000003</v>
      </c>
      <c r="K980" s="39">
        <f>DefaultValues!$B$4</f>
        <v>5</v>
      </c>
      <c r="L980" s="1">
        <f>DefaultValues!$C$4</f>
        <v>0.5</v>
      </c>
      <c r="M980" s="1" t="str">
        <f>DefaultValues!$D$4</f>
        <v xml:space="preserve">- Within interchange - </v>
      </c>
      <c r="N980" s="1">
        <v>345.92800899999997</v>
      </c>
      <c r="O980" s="1">
        <f>ABS(Table4[[#This Row],[EndMP]]-Table4[[#This Row],[StartMP]])</f>
        <v>0.7689820000000509</v>
      </c>
      <c r="P980" s="1" t="str">
        <f>IF( AND( Table4[[#This Row],[Route]]=ClosureLocation!$B$3, ClosureLocation!$B$6 &gt;= Table4[[#This Row],[StartMP]], ClosureLocation!$B$6 &lt;= Table4[[#This Row],[EndMP]]), "Yes", "")</f>
        <v/>
      </c>
      <c r="Q980" s="1" t="str">
        <f>IF( AND( Table4[[#This Row],[Route]]=ClosureLocation!$B$3, ClosureLocation!$B$6 &lt;= Table4[[#This Row],[StartMP]], ClosureLocation!$B$6 &gt;= Table4[[#This Row],[EndMP]]), "Yes", "")</f>
        <v/>
      </c>
      <c r="R980" s="1" t="str">
        <f>IF( OR( Table4[[#This Row],[PrimaryMatch]]="Yes", Table4[[#This Row],[SecondaryMatch]]="Yes"), "Yes", "")</f>
        <v/>
      </c>
    </row>
    <row r="981" spans="1:18" hidden="1" x14ac:dyDescent="0.25">
      <c r="A981" t="s">
        <v>89</v>
      </c>
      <c r="B981" t="s">
        <v>3209</v>
      </c>
      <c r="C981" t="s">
        <v>3226</v>
      </c>
      <c r="D981" t="s">
        <v>4645</v>
      </c>
      <c r="E981" s="1">
        <v>346.42498799999998</v>
      </c>
      <c r="F981" s="1">
        <v>345.92800899999997</v>
      </c>
      <c r="K981" s="39">
        <f>DefaultValues!$B$4</f>
        <v>5</v>
      </c>
      <c r="L981" s="1">
        <f>DefaultValues!$C$4</f>
        <v>0.5</v>
      </c>
      <c r="M981" s="1" t="str">
        <f>DefaultValues!$D$4</f>
        <v xml:space="preserve">- Within interchange - </v>
      </c>
      <c r="N981" s="1">
        <v>653.57501200000002</v>
      </c>
      <c r="O981" s="1">
        <f>ABS(Table4[[#This Row],[EndMP]]-Table4[[#This Row],[StartMP]])</f>
        <v>0.49697900000001027</v>
      </c>
      <c r="P981" s="1" t="str">
        <f>IF( AND( Table4[[#This Row],[Route]]=ClosureLocation!$B$3, ClosureLocation!$B$6 &gt;= Table4[[#This Row],[StartMP]], ClosureLocation!$B$6 &lt;= Table4[[#This Row],[EndMP]]), "Yes", "")</f>
        <v/>
      </c>
      <c r="Q981" s="1" t="str">
        <f>IF( AND( Table4[[#This Row],[Route]]=ClosureLocation!$B$3, ClosureLocation!$B$6 &lt;= Table4[[#This Row],[StartMP]], ClosureLocation!$B$6 &gt;= Table4[[#This Row],[EndMP]]), "Yes", "")</f>
        <v/>
      </c>
      <c r="R981" s="1" t="str">
        <f>IF( OR( Table4[[#This Row],[PrimaryMatch]]="Yes", Table4[[#This Row],[SecondaryMatch]]="Yes"), "Yes", "")</f>
        <v/>
      </c>
    </row>
    <row r="982" spans="1:18" hidden="1" x14ac:dyDescent="0.25">
      <c r="A982" t="s">
        <v>93</v>
      </c>
      <c r="B982" t="s">
        <v>3205</v>
      </c>
      <c r="C982" t="s">
        <v>3222</v>
      </c>
      <c r="D982" t="s">
        <v>3264</v>
      </c>
      <c r="E982" s="1">
        <v>371.69000199999999</v>
      </c>
      <c r="F982" s="1">
        <v>371.83599900000002</v>
      </c>
      <c r="K982" s="39">
        <f>DefaultValues!$B$4</f>
        <v>5</v>
      </c>
      <c r="L982" s="1">
        <f>DefaultValues!$C$4</f>
        <v>0.5</v>
      </c>
      <c r="M982" s="1" t="str">
        <f>DefaultValues!$D$4</f>
        <v xml:space="preserve">- Within interchange - </v>
      </c>
      <c r="N982" s="1">
        <v>371.69000199999999</v>
      </c>
      <c r="O982" s="1">
        <f>ABS(Table4[[#This Row],[EndMP]]-Table4[[#This Row],[StartMP]])</f>
        <v>0.14599700000002258</v>
      </c>
      <c r="P982" s="1" t="str">
        <f>IF( AND( Table4[[#This Row],[Route]]=ClosureLocation!$B$3, ClosureLocation!$B$6 &gt;= Table4[[#This Row],[StartMP]], ClosureLocation!$B$6 &lt;= Table4[[#This Row],[EndMP]]), "Yes", "")</f>
        <v/>
      </c>
      <c r="Q982" s="1" t="str">
        <f>IF( AND( Table4[[#This Row],[Route]]=ClosureLocation!$B$3, ClosureLocation!$B$6 &lt;= Table4[[#This Row],[StartMP]], ClosureLocation!$B$6 &gt;= Table4[[#This Row],[EndMP]]), "Yes", "")</f>
        <v/>
      </c>
      <c r="R982" s="1" t="str">
        <f>IF( OR( Table4[[#This Row],[PrimaryMatch]]="Yes", Table4[[#This Row],[SecondaryMatch]]="Yes"), "Yes", "")</f>
        <v/>
      </c>
    </row>
    <row r="983" spans="1:18" hidden="1" x14ac:dyDescent="0.25">
      <c r="A983" t="s">
        <v>93</v>
      </c>
      <c r="B983" t="s">
        <v>3205</v>
      </c>
      <c r="C983" t="s">
        <v>3222</v>
      </c>
      <c r="D983" t="s">
        <v>3264</v>
      </c>
      <c r="E983" s="1">
        <v>406.27700800000002</v>
      </c>
      <c r="F983" s="1">
        <v>406.67001299999998</v>
      </c>
      <c r="K983" s="39">
        <f>DefaultValues!$B$4</f>
        <v>5</v>
      </c>
      <c r="L983" s="1">
        <f>DefaultValues!$C$4</f>
        <v>0.5</v>
      </c>
      <c r="M983" s="1" t="str">
        <f>DefaultValues!$D$4</f>
        <v xml:space="preserve">- Within interchange - </v>
      </c>
      <c r="N983" s="1">
        <v>406.27700800000002</v>
      </c>
      <c r="O983" s="1">
        <f>ABS(Table4[[#This Row],[EndMP]]-Table4[[#This Row],[StartMP]])</f>
        <v>0.39300499999995964</v>
      </c>
      <c r="P983" s="1" t="str">
        <f>IF( AND( Table4[[#This Row],[Route]]=ClosureLocation!$B$3, ClosureLocation!$B$6 &gt;= Table4[[#This Row],[StartMP]], ClosureLocation!$B$6 &lt;= Table4[[#This Row],[EndMP]]), "Yes", "")</f>
        <v/>
      </c>
      <c r="Q983" s="1" t="str">
        <f>IF( AND( Table4[[#This Row],[Route]]=ClosureLocation!$B$3, ClosureLocation!$B$6 &lt;= Table4[[#This Row],[StartMP]], ClosureLocation!$B$6 &gt;= Table4[[#This Row],[EndMP]]), "Yes", "")</f>
        <v/>
      </c>
      <c r="R983" s="1" t="str">
        <f>IF( OR( Table4[[#This Row],[PrimaryMatch]]="Yes", Table4[[#This Row],[SecondaryMatch]]="Yes"), "Yes", "")</f>
        <v/>
      </c>
    </row>
    <row r="984" spans="1:18" hidden="1" x14ac:dyDescent="0.25">
      <c r="A984" t="s">
        <v>93</v>
      </c>
      <c r="B984" t="s">
        <v>3209</v>
      </c>
      <c r="C984" t="s">
        <v>3226</v>
      </c>
      <c r="D984" t="s">
        <v>3267</v>
      </c>
      <c r="E984" s="1">
        <v>406.67001299999998</v>
      </c>
      <c r="F984" s="1">
        <v>406.27700800000002</v>
      </c>
      <c r="K984" s="39">
        <f>DefaultValues!$B$4</f>
        <v>5</v>
      </c>
      <c r="L984" s="1">
        <f>DefaultValues!$C$4</f>
        <v>0.5</v>
      </c>
      <c r="M984" s="1" t="str">
        <f>DefaultValues!$D$4</f>
        <v xml:space="preserve">- Within interchange - </v>
      </c>
      <c r="N984" s="1">
        <v>593.330017</v>
      </c>
      <c r="O984" s="1">
        <f>ABS(Table4[[#This Row],[EndMP]]-Table4[[#This Row],[StartMP]])</f>
        <v>0.39300499999995964</v>
      </c>
      <c r="P984" s="1" t="str">
        <f>IF( AND( Table4[[#This Row],[Route]]=ClosureLocation!$B$3, ClosureLocation!$B$6 &gt;= Table4[[#This Row],[StartMP]], ClosureLocation!$B$6 &lt;= Table4[[#This Row],[EndMP]]), "Yes", "")</f>
        <v/>
      </c>
      <c r="Q984" s="1" t="str">
        <f>IF( AND( Table4[[#This Row],[Route]]=ClosureLocation!$B$3, ClosureLocation!$B$6 &lt;= Table4[[#This Row],[StartMP]], ClosureLocation!$B$6 &gt;= Table4[[#This Row],[EndMP]]), "Yes", "")</f>
        <v/>
      </c>
      <c r="R984" s="1" t="str">
        <f>IF( OR( Table4[[#This Row],[PrimaryMatch]]="Yes", Table4[[#This Row],[SecondaryMatch]]="Yes"), "Yes", "")</f>
        <v/>
      </c>
    </row>
    <row r="985" spans="1:18" hidden="1" x14ac:dyDescent="0.25">
      <c r="A985" t="s">
        <v>93</v>
      </c>
      <c r="B985" t="s">
        <v>3209</v>
      </c>
      <c r="C985" t="s">
        <v>3226</v>
      </c>
      <c r="D985" t="s">
        <v>3267</v>
      </c>
      <c r="E985" s="1">
        <v>371.83599900000002</v>
      </c>
      <c r="F985" s="1">
        <v>371.69000199999999</v>
      </c>
      <c r="K985" s="39">
        <f>DefaultValues!$B$4</f>
        <v>5</v>
      </c>
      <c r="L985" s="1">
        <f>DefaultValues!$C$4</f>
        <v>0.5</v>
      </c>
      <c r="M985" s="1" t="str">
        <f>DefaultValues!$D$4</f>
        <v xml:space="preserve">- Within interchange - </v>
      </c>
      <c r="N985" s="1">
        <v>628.16400099999998</v>
      </c>
      <c r="O985" s="1">
        <f>ABS(Table4[[#This Row],[EndMP]]-Table4[[#This Row],[StartMP]])</f>
        <v>0.14599700000002258</v>
      </c>
      <c r="P985" s="1" t="str">
        <f>IF( AND( Table4[[#This Row],[Route]]=ClosureLocation!$B$3, ClosureLocation!$B$6 &gt;= Table4[[#This Row],[StartMP]], ClosureLocation!$B$6 &lt;= Table4[[#This Row],[EndMP]]), "Yes", "")</f>
        <v/>
      </c>
      <c r="Q985" s="1" t="str">
        <f>IF( AND( Table4[[#This Row],[Route]]=ClosureLocation!$B$3, ClosureLocation!$B$6 &lt;= Table4[[#This Row],[StartMP]], ClosureLocation!$B$6 &gt;= Table4[[#This Row],[EndMP]]), "Yes", "")</f>
        <v/>
      </c>
      <c r="R985" s="1" t="str">
        <f>IF( OR( Table4[[#This Row],[PrimaryMatch]]="Yes", Table4[[#This Row],[SecondaryMatch]]="Yes"), "Yes", "")</f>
        <v/>
      </c>
    </row>
    <row r="986" spans="1:18" hidden="1" x14ac:dyDescent="0.25">
      <c r="A986" t="s">
        <v>108</v>
      </c>
      <c r="B986" t="s">
        <v>3205</v>
      </c>
      <c r="C986" t="s">
        <v>3222</v>
      </c>
      <c r="D986" t="s">
        <v>3271</v>
      </c>
      <c r="E986" s="1">
        <v>88.894997000000004</v>
      </c>
      <c r="F986" s="1">
        <v>88.995002999999997</v>
      </c>
      <c r="K986" s="39">
        <f>DefaultValues!$B$4</f>
        <v>5</v>
      </c>
      <c r="L986" s="1">
        <f>DefaultValues!$C$4</f>
        <v>0.5</v>
      </c>
      <c r="M986" s="1" t="str">
        <f>DefaultValues!$D$4</f>
        <v xml:space="preserve">- Within interchange - </v>
      </c>
      <c r="N986" s="1">
        <v>88.894997000000004</v>
      </c>
      <c r="O986" s="1">
        <f>ABS(Table4[[#This Row],[EndMP]]-Table4[[#This Row],[StartMP]])</f>
        <v>0.10000599999999338</v>
      </c>
      <c r="P986" s="1" t="str">
        <f>IF( AND( Table4[[#This Row],[Route]]=ClosureLocation!$B$3, ClosureLocation!$B$6 &gt;= Table4[[#This Row],[StartMP]], ClosureLocation!$B$6 &lt;= Table4[[#This Row],[EndMP]]), "Yes", "")</f>
        <v/>
      </c>
      <c r="Q986" s="1" t="str">
        <f>IF( AND( Table4[[#This Row],[Route]]=ClosureLocation!$B$3, ClosureLocation!$B$6 &lt;= Table4[[#This Row],[StartMP]], ClosureLocation!$B$6 &gt;= Table4[[#This Row],[EndMP]]), "Yes", "")</f>
        <v/>
      </c>
      <c r="R986" s="1" t="str">
        <f>IF( OR( Table4[[#This Row],[PrimaryMatch]]="Yes", Table4[[#This Row],[SecondaryMatch]]="Yes"), "Yes", "")</f>
        <v/>
      </c>
    </row>
    <row r="987" spans="1:18" hidden="1" x14ac:dyDescent="0.25">
      <c r="A987" t="s">
        <v>108</v>
      </c>
      <c r="B987" t="s">
        <v>3209</v>
      </c>
      <c r="C987" t="s">
        <v>3226</v>
      </c>
      <c r="D987" t="s">
        <v>3273</v>
      </c>
      <c r="E987" s="1">
        <v>88.995002999999997</v>
      </c>
      <c r="F987" s="1">
        <v>88.894997000000004</v>
      </c>
      <c r="K987" s="39">
        <f>DefaultValues!$B$4</f>
        <v>5</v>
      </c>
      <c r="L987" s="1">
        <f>DefaultValues!$C$4</f>
        <v>0.5</v>
      </c>
      <c r="M987" s="1" t="str">
        <f>DefaultValues!$D$4</f>
        <v xml:space="preserve">- Within interchange - </v>
      </c>
      <c r="N987" s="1">
        <v>911.00500499999998</v>
      </c>
      <c r="O987" s="1">
        <f>ABS(Table4[[#This Row],[EndMP]]-Table4[[#This Row],[StartMP]])</f>
        <v>0.10000599999999338</v>
      </c>
      <c r="P987" s="1" t="str">
        <f>IF( AND( Table4[[#This Row],[Route]]=ClosureLocation!$B$3, ClosureLocation!$B$6 &gt;= Table4[[#This Row],[StartMP]], ClosureLocation!$B$6 &lt;= Table4[[#This Row],[EndMP]]), "Yes", "")</f>
        <v/>
      </c>
      <c r="Q987" s="1" t="str">
        <f>IF( AND( Table4[[#This Row],[Route]]=ClosureLocation!$B$3, ClosureLocation!$B$6 &lt;= Table4[[#This Row],[StartMP]], ClosureLocation!$B$6 &gt;= Table4[[#This Row],[EndMP]]), "Yes", "")</f>
        <v/>
      </c>
      <c r="R987" s="1" t="str">
        <f>IF( OR( Table4[[#This Row],[PrimaryMatch]]="Yes", Table4[[#This Row],[SecondaryMatch]]="Yes"), "Yes", "")</f>
        <v/>
      </c>
    </row>
    <row r="988" spans="1:18" hidden="1" x14ac:dyDescent="0.25">
      <c r="A988" t="s">
        <v>107</v>
      </c>
      <c r="B988" t="s">
        <v>3205</v>
      </c>
      <c r="C988" t="s">
        <v>3222</v>
      </c>
      <c r="D988" t="s">
        <v>4646</v>
      </c>
      <c r="E988" s="1">
        <v>88.794998000000007</v>
      </c>
      <c r="F988" s="1">
        <v>88.894997000000004</v>
      </c>
      <c r="K988" s="39">
        <f>DefaultValues!$B$4</f>
        <v>5</v>
      </c>
      <c r="L988" s="1">
        <f>DefaultValues!$C$4</f>
        <v>0.5</v>
      </c>
      <c r="M988" s="1" t="str">
        <f>DefaultValues!$D$4</f>
        <v xml:space="preserve">- Within interchange - </v>
      </c>
      <c r="N988" s="1">
        <v>88.794998000000007</v>
      </c>
      <c r="O988" s="1">
        <f>ABS(Table4[[#This Row],[EndMP]]-Table4[[#This Row],[StartMP]])</f>
        <v>9.999899999999684E-2</v>
      </c>
      <c r="P988" s="1" t="str">
        <f>IF( AND( Table4[[#This Row],[Route]]=ClosureLocation!$B$3, ClosureLocation!$B$6 &gt;= Table4[[#This Row],[StartMP]], ClosureLocation!$B$6 &lt;= Table4[[#This Row],[EndMP]]), "Yes", "")</f>
        <v/>
      </c>
      <c r="Q988" s="1" t="str">
        <f>IF( AND( Table4[[#This Row],[Route]]=ClosureLocation!$B$3, ClosureLocation!$B$6 &lt;= Table4[[#This Row],[StartMP]], ClosureLocation!$B$6 &gt;= Table4[[#This Row],[EndMP]]), "Yes", "")</f>
        <v/>
      </c>
      <c r="R988" s="1" t="str">
        <f>IF( OR( Table4[[#This Row],[PrimaryMatch]]="Yes", Table4[[#This Row],[SecondaryMatch]]="Yes"), "Yes", "")</f>
        <v/>
      </c>
    </row>
    <row r="989" spans="1:18" hidden="1" x14ac:dyDescent="0.25">
      <c r="A989" t="s">
        <v>107</v>
      </c>
      <c r="B989" t="s">
        <v>3209</v>
      </c>
      <c r="C989" t="s">
        <v>3226</v>
      </c>
      <c r="D989" t="s">
        <v>4647</v>
      </c>
      <c r="E989" s="1">
        <v>88.894997000000004</v>
      </c>
      <c r="F989" s="1">
        <v>88.794998000000007</v>
      </c>
      <c r="K989" s="39">
        <f>DefaultValues!$B$4</f>
        <v>5</v>
      </c>
      <c r="L989" s="1">
        <f>DefaultValues!$C$4</f>
        <v>0.5</v>
      </c>
      <c r="M989" s="1" t="str">
        <f>DefaultValues!$D$4</f>
        <v xml:space="preserve">- Within interchange - </v>
      </c>
      <c r="N989" s="1">
        <v>911.10497999999995</v>
      </c>
      <c r="O989" s="1">
        <f>ABS(Table4[[#This Row],[EndMP]]-Table4[[#This Row],[StartMP]])</f>
        <v>9.999899999999684E-2</v>
      </c>
      <c r="P989" s="1" t="str">
        <f>IF( AND( Table4[[#This Row],[Route]]=ClosureLocation!$B$3, ClosureLocation!$B$6 &gt;= Table4[[#This Row],[StartMP]], ClosureLocation!$B$6 &lt;= Table4[[#This Row],[EndMP]]), "Yes", "")</f>
        <v/>
      </c>
      <c r="Q989" s="1" t="str">
        <f>IF( AND( Table4[[#This Row],[Route]]=ClosureLocation!$B$3, ClosureLocation!$B$6 &lt;= Table4[[#This Row],[StartMP]], ClosureLocation!$B$6 &gt;= Table4[[#This Row],[EndMP]]), "Yes", "")</f>
        <v/>
      </c>
      <c r="R989" s="1" t="str">
        <f>IF( OR( Table4[[#This Row],[PrimaryMatch]]="Yes", Table4[[#This Row],[SecondaryMatch]]="Yes"), "Yes", "")</f>
        <v/>
      </c>
    </row>
    <row r="990" spans="1:18" hidden="1" x14ac:dyDescent="0.25">
      <c r="A990" t="s">
        <v>119</v>
      </c>
      <c r="B990" t="s">
        <v>3205</v>
      </c>
      <c r="C990" t="s">
        <v>3222</v>
      </c>
      <c r="D990" t="s">
        <v>4648</v>
      </c>
      <c r="E990" s="1">
        <v>141.817993</v>
      </c>
      <c r="F990" s="1">
        <v>141.99299600000001</v>
      </c>
      <c r="K990" s="39">
        <f>DefaultValues!$B$4</f>
        <v>5</v>
      </c>
      <c r="L990" s="1">
        <f>DefaultValues!$C$4</f>
        <v>0.5</v>
      </c>
      <c r="M990" s="1" t="str">
        <f>DefaultValues!$D$4</f>
        <v xml:space="preserve">- Within interchange - </v>
      </c>
      <c r="N990" s="1">
        <v>141.817993</v>
      </c>
      <c r="O990" s="1">
        <f>ABS(Table4[[#This Row],[EndMP]]-Table4[[#This Row],[StartMP]])</f>
        <v>0.17500300000000379</v>
      </c>
      <c r="P990" s="1" t="str">
        <f>IF( AND( Table4[[#This Row],[Route]]=ClosureLocation!$B$3, ClosureLocation!$B$6 &gt;= Table4[[#This Row],[StartMP]], ClosureLocation!$B$6 &lt;= Table4[[#This Row],[EndMP]]), "Yes", "")</f>
        <v/>
      </c>
      <c r="Q990" s="1" t="str">
        <f>IF( AND( Table4[[#This Row],[Route]]=ClosureLocation!$B$3, ClosureLocation!$B$6 &lt;= Table4[[#This Row],[StartMP]], ClosureLocation!$B$6 &gt;= Table4[[#This Row],[EndMP]]), "Yes", "")</f>
        <v/>
      </c>
      <c r="R990" s="1" t="str">
        <f>IF( OR( Table4[[#This Row],[PrimaryMatch]]="Yes", Table4[[#This Row],[SecondaryMatch]]="Yes"), "Yes", "")</f>
        <v/>
      </c>
    </row>
    <row r="991" spans="1:18" hidden="1" x14ac:dyDescent="0.25">
      <c r="A991" t="s">
        <v>119</v>
      </c>
      <c r="B991" t="s">
        <v>3209</v>
      </c>
      <c r="C991" t="s">
        <v>3226</v>
      </c>
      <c r="D991" t="s">
        <v>4649</v>
      </c>
      <c r="E991" s="1">
        <v>141.99299600000001</v>
      </c>
      <c r="F991" s="1">
        <v>141.817993</v>
      </c>
      <c r="K991" s="39">
        <f>DefaultValues!$B$4</f>
        <v>5</v>
      </c>
      <c r="L991" s="1">
        <f>DefaultValues!$C$4</f>
        <v>0.5</v>
      </c>
      <c r="M991" s="1" t="str">
        <f>DefaultValues!$D$4</f>
        <v xml:space="preserve">- Within interchange - </v>
      </c>
      <c r="N991" s="1">
        <v>858.00701900000001</v>
      </c>
      <c r="O991" s="1">
        <f>ABS(Table4[[#This Row],[EndMP]]-Table4[[#This Row],[StartMP]])</f>
        <v>0.17500300000000379</v>
      </c>
      <c r="P991" s="1" t="str">
        <f>IF( AND( Table4[[#This Row],[Route]]=ClosureLocation!$B$3, ClosureLocation!$B$6 &gt;= Table4[[#This Row],[StartMP]], ClosureLocation!$B$6 &lt;= Table4[[#This Row],[EndMP]]), "Yes", "")</f>
        <v/>
      </c>
      <c r="Q991" s="1" t="str">
        <f>IF( AND( Table4[[#This Row],[Route]]=ClosureLocation!$B$3, ClosureLocation!$B$6 &lt;= Table4[[#This Row],[StartMP]], ClosureLocation!$B$6 &gt;= Table4[[#This Row],[EndMP]]), "Yes", "")</f>
        <v/>
      </c>
      <c r="R991" s="1" t="str">
        <f>IF( OR( Table4[[#This Row],[PrimaryMatch]]="Yes", Table4[[#This Row],[SecondaryMatch]]="Yes"), "Yes", "")</f>
        <v/>
      </c>
    </row>
    <row r="992" spans="1:18" hidden="1" x14ac:dyDescent="0.25">
      <c r="A992" t="s">
        <v>143</v>
      </c>
      <c r="B992" t="s">
        <v>3205</v>
      </c>
      <c r="C992" t="s">
        <v>3222</v>
      </c>
      <c r="D992" t="s">
        <v>3287</v>
      </c>
      <c r="E992" s="1">
        <v>68.319999999999993</v>
      </c>
      <c r="F992" s="1">
        <v>68.432998999999995</v>
      </c>
      <c r="K992" s="39">
        <f>DefaultValues!$B$4</f>
        <v>5</v>
      </c>
      <c r="L992" s="1">
        <f>DefaultValues!$C$4</f>
        <v>0.5</v>
      </c>
      <c r="M992" s="1" t="str">
        <f>DefaultValues!$D$4</f>
        <v xml:space="preserve">- Within interchange - </v>
      </c>
      <c r="N992" s="1">
        <v>68.319999999999993</v>
      </c>
      <c r="O992" s="1">
        <f>ABS(Table4[[#This Row],[EndMP]]-Table4[[#This Row],[StartMP]])</f>
        <v>0.11299900000000207</v>
      </c>
      <c r="P992" s="1" t="str">
        <f>IF( AND( Table4[[#This Row],[Route]]=ClosureLocation!$B$3, ClosureLocation!$B$6 &gt;= Table4[[#This Row],[StartMP]], ClosureLocation!$B$6 &lt;= Table4[[#This Row],[EndMP]]), "Yes", "")</f>
        <v/>
      </c>
      <c r="Q992" s="1" t="str">
        <f>IF( AND( Table4[[#This Row],[Route]]=ClosureLocation!$B$3, ClosureLocation!$B$6 &lt;= Table4[[#This Row],[StartMP]], ClosureLocation!$B$6 &gt;= Table4[[#This Row],[EndMP]]), "Yes", "")</f>
        <v/>
      </c>
      <c r="R992" s="1" t="str">
        <f>IF( OR( Table4[[#This Row],[PrimaryMatch]]="Yes", Table4[[#This Row],[SecondaryMatch]]="Yes"), "Yes", "")</f>
        <v/>
      </c>
    </row>
    <row r="993" spans="1:18" hidden="1" x14ac:dyDescent="0.25">
      <c r="A993" t="s">
        <v>143</v>
      </c>
      <c r="B993" t="s">
        <v>3205</v>
      </c>
      <c r="C993" t="s">
        <v>3222</v>
      </c>
      <c r="D993" t="s">
        <v>3287</v>
      </c>
      <c r="E993" s="1">
        <v>76.957001000000005</v>
      </c>
      <c r="F993" s="1">
        <v>77.052002000000002</v>
      </c>
      <c r="K993" s="39">
        <f>DefaultValues!$B$4</f>
        <v>5</v>
      </c>
      <c r="L993" s="1">
        <f>DefaultValues!$C$4</f>
        <v>0.5</v>
      </c>
      <c r="M993" s="1" t="str">
        <f>DefaultValues!$D$4</f>
        <v xml:space="preserve">- Within interchange - </v>
      </c>
      <c r="N993" s="1">
        <v>76.957001000000005</v>
      </c>
      <c r="O993" s="1">
        <f>ABS(Table4[[#This Row],[EndMP]]-Table4[[#This Row],[StartMP]])</f>
        <v>9.5000999999996338E-2</v>
      </c>
      <c r="P993" s="1" t="str">
        <f>IF( AND( Table4[[#This Row],[Route]]=ClosureLocation!$B$3, ClosureLocation!$B$6 &gt;= Table4[[#This Row],[StartMP]], ClosureLocation!$B$6 &lt;= Table4[[#This Row],[EndMP]]), "Yes", "")</f>
        <v/>
      </c>
      <c r="Q993" s="1" t="str">
        <f>IF( AND( Table4[[#This Row],[Route]]=ClosureLocation!$B$3, ClosureLocation!$B$6 &lt;= Table4[[#This Row],[StartMP]], ClosureLocation!$B$6 &gt;= Table4[[#This Row],[EndMP]]), "Yes", "")</f>
        <v/>
      </c>
      <c r="R993" s="1" t="str">
        <f>IF( OR( Table4[[#This Row],[PrimaryMatch]]="Yes", Table4[[#This Row],[SecondaryMatch]]="Yes"), "Yes", "")</f>
        <v/>
      </c>
    </row>
    <row r="994" spans="1:18" hidden="1" x14ac:dyDescent="0.25">
      <c r="A994" t="s">
        <v>143</v>
      </c>
      <c r="B994" t="s">
        <v>3209</v>
      </c>
      <c r="C994" t="s">
        <v>3226</v>
      </c>
      <c r="D994" t="s">
        <v>3289</v>
      </c>
      <c r="E994" s="1">
        <v>77.052002000000002</v>
      </c>
      <c r="F994" s="1">
        <v>76.957001000000005</v>
      </c>
      <c r="K994" s="39">
        <f>DefaultValues!$B$4</f>
        <v>5</v>
      </c>
      <c r="L994" s="1">
        <f>DefaultValues!$C$4</f>
        <v>0.5</v>
      </c>
      <c r="M994" s="1" t="str">
        <f>DefaultValues!$D$4</f>
        <v xml:space="preserve">- Within interchange - </v>
      </c>
      <c r="N994" s="1">
        <v>922.94799799999998</v>
      </c>
      <c r="O994" s="1">
        <f>ABS(Table4[[#This Row],[EndMP]]-Table4[[#This Row],[StartMP]])</f>
        <v>9.5000999999996338E-2</v>
      </c>
      <c r="P994" s="1" t="str">
        <f>IF( AND( Table4[[#This Row],[Route]]=ClosureLocation!$B$3, ClosureLocation!$B$6 &gt;= Table4[[#This Row],[StartMP]], ClosureLocation!$B$6 &lt;= Table4[[#This Row],[EndMP]]), "Yes", "")</f>
        <v/>
      </c>
      <c r="Q994" s="1" t="str">
        <f>IF( AND( Table4[[#This Row],[Route]]=ClosureLocation!$B$3, ClosureLocation!$B$6 &lt;= Table4[[#This Row],[StartMP]], ClosureLocation!$B$6 &gt;= Table4[[#This Row],[EndMP]]), "Yes", "")</f>
        <v/>
      </c>
      <c r="R994" s="1" t="str">
        <f>IF( OR( Table4[[#This Row],[PrimaryMatch]]="Yes", Table4[[#This Row],[SecondaryMatch]]="Yes"), "Yes", "")</f>
        <v/>
      </c>
    </row>
    <row r="995" spans="1:18" hidden="1" x14ac:dyDescent="0.25">
      <c r="A995" t="s">
        <v>143</v>
      </c>
      <c r="B995" t="s">
        <v>3209</v>
      </c>
      <c r="C995" t="s">
        <v>3226</v>
      </c>
      <c r="D995" t="s">
        <v>3289</v>
      </c>
      <c r="E995" s="1">
        <v>68.432998999999995</v>
      </c>
      <c r="F995" s="1">
        <v>68.319999999999993</v>
      </c>
      <c r="K995" s="39">
        <f>DefaultValues!$B$4</f>
        <v>5</v>
      </c>
      <c r="L995" s="1">
        <f>DefaultValues!$C$4</f>
        <v>0.5</v>
      </c>
      <c r="M995" s="1" t="str">
        <f>DefaultValues!$D$4</f>
        <v xml:space="preserve">- Within interchange - </v>
      </c>
      <c r="N995" s="1">
        <v>931.56701699999996</v>
      </c>
      <c r="O995" s="1">
        <f>ABS(Table4[[#This Row],[EndMP]]-Table4[[#This Row],[StartMP]])</f>
        <v>0.11299900000000207</v>
      </c>
      <c r="P995" s="1" t="str">
        <f>IF( AND( Table4[[#This Row],[Route]]=ClosureLocation!$B$3, ClosureLocation!$B$6 &gt;= Table4[[#This Row],[StartMP]], ClosureLocation!$B$6 &lt;= Table4[[#This Row],[EndMP]]), "Yes", "")</f>
        <v/>
      </c>
      <c r="Q995" s="1" t="str">
        <f>IF( AND( Table4[[#This Row],[Route]]=ClosureLocation!$B$3, ClosureLocation!$B$6 &lt;= Table4[[#This Row],[StartMP]], ClosureLocation!$B$6 &gt;= Table4[[#This Row],[EndMP]]), "Yes", "")</f>
        <v/>
      </c>
      <c r="R995" s="1" t="str">
        <f>IF( OR( Table4[[#This Row],[PrimaryMatch]]="Yes", Table4[[#This Row],[SecondaryMatch]]="Yes"), "Yes", "")</f>
        <v/>
      </c>
    </row>
    <row r="996" spans="1:18" hidden="1" x14ac:dyDescent="0.25">
      <c r="A996" t="s">
        <v>149</v>
      </c>
      <c r="B996" t="s">
        <v>3205</v>
      </c>
      <c r="C996" t="s">
        <v>3222</v>
      </c>
      <c r="D996" t="s">
        <v>3291</v>
      </c>
      <c r="E996" s="1">
        <v>0</v>
      </c>
      <c r="F996" s="1">
        <v>0.24</v>
      </c>
      <c r="K996" s="39">
        <f>DefaultValues!$B$4</f>
        <v>5</v>
      </c>
      <c r="L996" s="1">
        <f>DefaultValues!$C$4</f>
        <v>0.5</v>
      </c>
      <c r="M996" s="1" t="str">
        <f>DefaultValues!$D$4</f>
        <v xml:space="preserve">- Within interchange - </v>
      </c>
      <c r="N996" s="1">
        <v>0</v>
      </c>
      <c r="O996" s="1">
        <f>ABS(Table4[[#This Row],[EndMP]]-Table4[[#This Row],[StartMP]])</f>
        <v>0.24</v>
      </c>
      <c r="P996" s="1" t="str">
        <f>IF( AND( Table4[[#This Row],[Route]]=ClosureLocation!$B$3, ClosureLocation!$B$6 &gt;= Table4[[#This Row],[StartMP]], ClosureLocation!$B$6 &lt;= Table4[[#This Row],[EndMP]]), "Yes", "")</f>
        <v/>
      </c>
      <c r="Q996" s="1" t="str">
        <f>IF( AND( Table4[[#This Row],[Route]]=ClosureLocation!$B$3, ClosureLocation!$B$6 &lt;= Table4[[#This Row],[StartMP]], ClosureLocation!$B$6 &gt;= Table4[[#This Row],[EndMP]]), "Yes", "")</f>
        <v/>
      </c>
      <c r="R996" s="1" t="str">
        <f>IF( OR( Table4[[#This Row],[PrimaryMatch]]="Yes", Table4[[#This Row],[SecondaryMatch]]="Yes"), "Yes", "")</f>
        <v/>
      </c>
    </row>
    <row r="997" spans="1:18" hidden="1" x14ac:dyDescent="0.25">
      <c r="A997" t="s">
        <v>149</v>
      </c>
      <c r="B997" t="s">
        <v>3205</v>
      </c>
      <c r="C997" t="s">
        <v>3222</v>
      </c>
      <c r="D997" t="s">
        <v>3291</v>
      </c>
      <c r="E997" s="1">
        <v>2.7839999999999998</v>
      </c>
      <c r="F997" s="1">
        <v>2.9020000000000001</v>
      </c>
      <c r="K997" s="39">
        <f>DefaultValues!$B$4</f>
        <v>5</v>
      </c>
      <c r="L997" s="1">
        <f>DefaultValues!$C$4</f>
        <v>0.5</v>
      </c>
      <c r="M997" s="1" t="str">
        <f>DefaultValues!$D$4</f>
        <v xml:space="preserve">- Within interchange - </v>
      </c>
      <c r="N997" s="1">
        <v>2.7839999999999998</v>
      </c>
      <c r="O997" s="1">
        <f>ABS(Table4[[#This Row],[EndMP]]-Table4[[#This Row],[StartMP]])</f>
        <v>0.11800000000000033</v>
      </c>
      <c r="P997" s="1" t="str">
        <f>IF( AND( Table4[[#This Row],[Route]]=ClosureLocation!$B$3, ClosureLocation!$B$6 &gt;= Table4[[#This Row],[StartMP]], ClosureLocation!$B$6 &lt;= Table4[[#This Row],[EndMP]]), "Yes", "")</f>
        <v/>
      </c>
      <c r="Q997" s="1" t="str">
        <f>IF( AND( Table4[[#This Row],[Route]]=ClosureLocation!$B$3, ClosureLocation!$B$6 &lt;= Table4[[#This Row],[StartMP]], ClosureLocation!$B$6 &gt;= Table4[[#This Row],[EndMP]]), "Yes", "")</f>
        <v/>
      </c>
      <c r="R997" s="1" t="str">
        <f>IF( OR( Table4[[#This Row],[PrimaryMatch]]="Yes", Table4[[#This Row],[SecondaryMatch]]="Yes"), "Yes", "")</f>
        <v/>
      </c>
    </row>
    <row r="998" spans="1:18" hidden="1" x14ac:dyDescent="0.25">
      <c r="A998" t="s">
        <v>149</v>
      </c>
      <c r="B998" t="s">
        <v>3209</v>
      </c>
      <c r="C998" t="s">
        <v>3226</v>
      </c>
      <c r="D998" t="s">
        <v>3295</v>
      </c>
      <c r="E998" s="1">
        <v>2.9020000000000001</v>
      </c>
      <c r="F998" s="1">
        <v>2.7839999999999998</v>
      </c>
      <c r="K998" s="39">
        <f>DefaultValues!$B$4</f>
        <v>5</v>
      </c>
      <c r="L998" s="1">
        <f>DefaultValues!$C$4</f>
        <v>0.5</v>
      </c>
      <c r="M998" s="1" t="str">
        <f>DefaultValues!$D$4</f>
        <v xml:space="preserve">- Within interchange - </v>
      </c>
      <c r="N998" s="1">
        <v>997.09802200000001</v>
      </c>
      <c r="O998" s="1">
        <f>ABS(Table4[[#This Row],[EndMP]]-Table4[[#This Row],[StartMP]])</f>
        <v>0.11800000000000033</v>
      </c>
      <c r="P998" s="1" t="str">
        <f>IF( AND( Table4[[#This Row],[Route]]=ClosureLocation!$B$3, ClosureLocation!$B$6 &gt;= Table4[[#This Row],[StartMP]], ClosureLocation!$B$6 &lt;= Table4[[#This Row],[EndMP]]), "Yes", "")</f>
        <v/>
      </c>
      <c r="Q998" s="1" t="str">
        <f>IF( AND( Table4[[#This Row],[Route]]=ClosureLocation!$B$3, ClosureLocation!$B$6 &lt;= Table4[[#This Row],[StartMP]], ClosureLocation!$B$6 &gt;= Table4[[#This Row],[EndMP]]), "Yes", "")</f>
        <v/>
      </c>
      <c r="R998" s="1" t="str">
        <f>IF( OR( Table4[[#This Row],[PrimaryMatch]]="Yes", Table4[[#This Row],[SecondaryMatch]]="Yes"), "Yes", "")</f>
        <v/>
      </c>
    </row>
    <row r="999" spans="1:18" hidden="1" x14ac:dyDescent="0.25">
      <c r="A999" t="s">
        <v>163</v>
      </c>
      <c r="B999" t="s">
        <v>3205</v>
      </c>
      <c r="C999" t="s">
        <v>3206</v>
      </c>
      <c r="D999" t="s">
        <v>3307</v>
      </c>
      <c r="E999" s="1">
        <v>87.189003</v>
      </c>
      <c r="F999" s="1">
        <v>87.269997000000004</v>
      </c>
      <c r="K999" s="39">
        <f>DefaultValues!$B$4</f>
        <v>5</v>
      </c>
      <c r="L999" s="1">
        <f>DefaultValues!$C$4</f>
        <v>0.5</v>
      </c>
      <c r="M999" s="1" t="str">
        <f>DefaultValues!$D$4</f>
        <v xml:space="preserve">- Within interchange - </v>
      </c>
      <c r="N999" s="1">
        <v>87.189003</v>
      </c>
      <c r="O999" s="1">
        <f>ABS(Table4[[#This Row],[EndMP]]-Table4[[#This Row],[StartMP]])</f>
        <v>8.0994000000004007E-2</v>
      </c>
      <c r="P999" s="1" t="str">
        <f>IF( AND( Table4[[#This Row],[Route]]=ClosureLocation!$B$3, ClosureLocation!$B$6 &gt;= Table4[[#This Row],[StartMP]], ClosureLocation!$B$6 &lt;= Table4[[#This Row],[EndMP]]), "Yes", "")</f>
        <v/>
      </c>
      <c r="Q999" s="1" t="str">
        <f>IF( AND( Table4[[#This Row],[Route]]=ClosureLocation!$B$3, ClosureLocation!$B$6 &lt;= Table4[[#This Row],[StartMP]], ClosureLocation!$B$6 &gt;= Table4[[#This Row],[EndMP]]), "Yes", "")</f>
        <v/>
      </c>
      <c r="R999" s="1" t="str">
        <f>IF( OR( Table4[[#This Row],[PrimaryMatch]]="Yes", Table4[[#This Row],[SecondaryMatch]]="Yes"), "Yes", "")</f>
        <v/>
      </c>
    </row>
    <row r="1000" spans="1:18" hidden="1" x14ac:dyDescent="0.25">
      <c r="A1000" t="s">
        <v>163</v>
      </c>
      <c r="B1000" t="s">
        <v>3205</v>
      </c>
      <c r="C1000" t="s">
        <v>3206</v>
      </c>
      <c r="D1000" t="s">
        <v>3307</v>
      </c>
      <c r="E1000" s="1">
        <v>97.085999000000001</v>
      </c>
      <c r="F1000" s="1">
        <v>97.230002999999996</v>
      </c>
      <c r="K1000" s="39">
        <f>DefaultValues!$B$4</f>
        <v>5</v>
      </c>
      <c r="L1000" s="1">
        <f>DefaultValues!$C$4</f>
        <v>0.5</v>
      </c>
      <c r="M1000" s="1" t="str">
        <f>DefaultValues!$D$4</f>
        <v xml:space="preserve">- Within interchange - </v>
      </c>
      <c r="N1000" s="1">
        <v>97.085999000000001</v>
      </c>
      <c r="O1000" s="1">
        <f>ABS(Table4[[#This Row],[EndMP]]-Table4[[#This Row],[StartMP]])</f>
        <v>0.14400399999999536</v>
      </c>
      <c r="P1000" s="1" t="str">
        <f>IF( AND( Table4[[#This Row],[Route]]=ClosureLocation!$B$3, ClosureLocation!$B$6 &gt;= Table4[[#This Row],[StartMP]], ClosureLocation!$B$6 &lt;= Table4[[#This Row],[EndMP]]), "Yes", "")</f>
        <v/>
      </c>
      <c r="Q1000" s="1" t="str">
        <f>IF( AND( Table4[[#This Row],[Route]]=ClosureLocation!$B$3, ClosureLocation!$B$6 &lt;= Table4[[#This Row],[StartMP]], ClosureLocation!$B$6 &gt;= Table4[[#This Row],[EndMP]]), "Yes", "")</f>
        <v/>
      </c>
      <c r="R1000" s="1" t="str">
        <f>IF( OR( Table4[[#This Row],[PrimaryMatch]]="Yes", Table4[[#This Row],[SecondaryMatch]]="Yes"), "Yes", "")</f>
        <v/>
      </c>
    </row>
    <row r="1001" spans="1:18" hidden="1" x14ac:dyDescent="0.25">
      <c r="A1001" t="s">
        <v>163</v>
      </c>
      <c r="B1001" t="s">
        <v>3209</v>
      </c>
      <c r="C1001" t="s">
        <v>3210</v>
      </c>
      <c r="D1001" t="s">
        <v>3309</v>
      </c>
      <c r="E1001" s="1">
        <v>97.230002999999996</v>
      </c>
      <c r="F1001" s="1">
        <v>97.085999000000001</v>
      </c>
      <c r="K1001" s="39">
        <f>DefaultValues!$B$4</f>
        <v>5</v>
      </c>
      <c r="L1001" s="1">
        <f>DefaultValues!$C$4</f>
        <v>0.5</v>
      </c>
      <c r="M1001" s="1" t="str">
        <f>DefaultValues!$D$4</f>
        <v xml:space="preserve">- Within interchange - </v>
      </c>
      <c r="N1001" s="1">
        <v>902.77002000000005</v>
      </c>
      <c r="O1001" s="1">
        <f>ABS(Table4[[#This Row],[EndMP]]-Table4[[#This Row],[StartMP]])</f>
        <v>0.14400399999999536</v>
      </c>
      <c r="P1001" s="1" t="str">
        <f>IF( AND( Table4[[#This Row],[Route]]=ClosureLocation!$B$3, ClosureLocation!$B$6 &gt;= Table4[[#This Row],[StartMP]], ClosureLocation!$B$6 &lt;= Table4[[#This Row],[EndMP]]), "Yes", "")</f>
        <v/>
      </c>
      <c r="Q1001" s="1" t="str">
        <f>IF( AND( Table4[[#This Row],[Route]]=ClosureLocation!$B$3, ClosureLocation!$B$6 &lt;= Table4[[#This Row],[StartMP]], ClosureLocation!$B$6 &gt;= Table4[[#This Row],[EndMP]]), "Yes", "")</f>
        <v/>
      </c>
      <c r="R1001" s="1" t="str">
        <f>IF( OR( Table4[[#This Row],[PrimaryMatch]]="Yes", Table4[[#This Row],[SecondaryMatch]]="Yes"), "Yes", "")</f>
        <v/>
      </c>
    </row>
    <row r="1002" spans="1:18" hidden="1" x14ac:dyDescent="0.25">
      <c r="A1002" t="s">
        <v>163</v>
      </c>
      <c r="B1002" t="s">
        <v>3209</v>
      </c>
      <c r="C1002" t="s">
        <v>3210</v>
      </c>
      <c r="D1002" t="s">
        <v>3309</v>
      </c>
      <c r="E1002" s="1">
        <v>87.269997000000004</v>
      </c>
      <c r="F1002" s="1">
        <v>87.189003</v>
      </c>
      <c r="K1002" s="39">
        <f>DefaultValues!$B$4</f>
        <v>5</v>
      </c>
      <c r="L1002" s="1">
        <f>DefaultValues!$C$4</f>
        <v>0.5</v>
      </c>
      <c r="M1002" s="1" t="str">
        <f>DefaultValues!$D$4</f>
        <v xml:space="preserve">- Within interchange - </v>
      </c>
      <c r="N1002" s="1">
        <v>912.72997999999995</v>
      </c>
      <c r="O1002" s="1">
        <f>ABS(Table4[[#This Row],[EndMP]]-Table4[[#This Row],[StartMP]])</f>
        <v>8.0994000000004007E-2</v>
      </c>
      <c r="P1002" s="1" t="str">
        <f>IF( AND( Table4[[#This Row],[Route]]=ClosureLocation!$B$3, ClosureLocation!$B$6 &gt;= Table4[[#This Row],[StartMP]], ClosureLocation!$B$6 &lt;= Table4[[#This Row],[EndMP]]), "Yes", "")</f>
        <v/>
      </c>
      <c r="Q1002" s="1" t="str">
        <f>IF( AND( Table4[[#This Row],[Route]]=ClosureLocation!$B$3, ClosureLocation!$B$6 &lt;= Table4[[#This Row],[StartMP]], ClosureLocation!$B$6 &gt;= Table4[[#This Row],[EndMP]]), "Yes", "")</f>
        <v/>
      </c>
      <c r="R1002" s="1" t="str">
        <f>IF( OR( Table4[[#This Row],[PrimaryMatch]]="Yes", Table4[[#This Row],[SecondaryMatch]]="Yes"), "Yes", "")</f>
        <v/>
      </c>
    </row>
    <row r="1003" spans="1:18" hidden="1" x14ac:dyDescent="0.25">
      <c r="A1003" t="s">
        <v>167</v>
      </c>
      <c r="B1003" t="s">
        <v>3205</v>
      </c>
      <c r="C1003" t="s">
        <v>3206</v>
      </c>
      <c r="D1003" t="s">
        <v>3311</v>
      </c>
      <c r="E1003" s="1">
        <v>101.56199599999999</v>
      </c>
      <c r="F1003" s="1">
        <v>101.63200399999999</v>
      </c>
      <c r="K1003" s="39">
        <f>DefaultValues!$B$4</f>
        <v>5</v>
      </c>
      <c r="L1003" s="1">
        <f>DefaultValues!$C$4</f>
        <v>0.5</v>
      </c>
      <c r="M1003" s="1" t="str">
        <f>DefaultValues!$D$4</f>
        <v xml:space="preserve">- Within interchange - </v>
      </c>
      <c r="N1003" s="1">
        <v>101.56199599999999</v>
      </c>
      <c r="O1003" s="1">
        <f>ABS(Table4[[#This Row],[EndMP]]-Table4[[#This Row],[StartMP]])</f>
        <v>7.0008000000001402E-2</v>
      </c>
      <c r="P1003" s="1" t="str">
        <f>IF( AND( Table4[[#This Row],[Route]]=ClosureLocation!$B$3, ClosureLocation!$B$6 &gt;= Table4[[#This Row],[StartMP]], ClosureLocation!$B$6 &lt;= Table4[[#This Row],[EndMP]]), "Yes", "")</f>
        <v/>
      </c>
      <c r="Q1003" s="1" t="str">
        <f>IF( AND( Table4[[#This Row],[Route]]=ClosureLocation!$B$3, ClosureLocation!$B$6 &lt;= Table4[[#This Row],[StartMP]], ClosureLocation!$B$6 &gt;= Table4[[#This Row],[EndMP]]), "Yes", "")</f>
        <v/>
      </c>
      <c r="R1003" s="1" t="str">
        <f>IF( OR( Table4[[#This Row],[PrimaryMatch]]="Yes", Table4[[#This Row],[SecondaryMatch]]="Yes"), "Yes", "")</f>
        <v/>
      </c>
    </row>
    <row r="1004" spans="1:18" hidden="1" x14ac:dyDescent="0.25">
      <c r="A1004" t="s">
        <v>167</v>
      </c>
      <c r="B1004" t="s">
        <v>3209</v>
      </c>
      <c r="C1004" t="s">
        <v>3210</v>
      </c>
      <c r="D1004" t="s">
        <v>3313</v>
      </c>
      <c r="E1004" s="1">
        <v>101.63200399999999</v>
      </c>
      <c r="F1004" s="1">
        <v>101.56199599999999</v>
      </c>
      <c r="K1004" s="39">
        <f>DefaultValues!$B$4</f>
        <v>5</v>
      </c>
      <c r="L1004" s="1">
        <f>DefaultValues!$C$4</f>
        <v>0.5</v>
      </c>
      <c r="M1004" s="1" t="str">
        <f>DefaultValues!$D$4</f>
        <v xml:space="preserve">- Within interchange - </v>
      </c>
      <c r="N1004" s="1">
        <v>898.36798099999999</v>
      </c>
      <c r="O1004" s="1">
        <f>ABS(Table4[[#This Row],[EndMP]]-Table4[[#This Row],[StartMP]])</f>
        <v>7.0008000000001402E-2</v>
      </c>
      <c r="P1004" s="1" t="str">
        <f>IF( AND( Table4[[#This Row],[Route]]=ClosureLocation!$B$3, ClosureLocation!$B$6 &gt;= Table4[[#This Row],[StartMP]], ClosureLocation!$B$6 &lt;= Table4[[#This Row],[EndMP]]), "Yes", "")</f>
        <v/>
      </c>
      <c r="Q1004" s="1" t="str">
        <f>IF( AND( Table4[[#This Row],[Route]]=ClosureLocation!$B$3, ClosureLocation!$B$6 &lt;= Table4[[#This Row],[StartMP]], ClosureLocation!$B$6 &gt;= Table4[[#This Row],[EndMP]]), "Yes", "")</f>
        <v/>
      </c>
      <c r="R1004" s="1" t="str">
        <f>IF( OR( Table4[[#This Row],[PrimaryMatch]]="Yes", Table4[[#This Row],[SecondaryMatch]]="Yes"), "Yes", "")</f>
        <v/>
      </c>
    </row>
    <row r="1005" spans="1:18" hidden="1" x14ac:dyDescent="0.25">
      <c r="A1005" t="s">
        <v>170</v>
      </c>
      <c r="B1005" t="s">
        <v>3205</v>
      </c>
      <c r="C1005" t="s">
        <v>3222</v>
      </c>
      <c r="D1005" t="s">
        <v>3315</v>
      </c>
      <c r="E1005" s="1">
        <v>6.4000000000000001E-2</v>
      </c>
      <c r="F1005" s="1">
        <v>6.4000000000000001E-2</v>
      </c>
      <c r="K1005" s="39">
        <f>DefaultValues!$B$4</f>
        <v>5</v>
      </c>
      <c r="L1005" s="1">
        <f>DefaultValues!$C$4</f>
        <v>0.5</v>
      </c>
      <c r="M1005" s="1" t="str">
        <f>DefaultValues!$D$4</f>
        <v xml:space="preserve">- Within interchange - </v>
      </c>
      <c r="N1005" s="1">
        <v>6.4000000000000001E-2</v>
      </c>
      <c r="O1005" s="1">
        <f>ABS(Table4[[#This Row],[EndMP]]-Table4[[#This Row],[StartMP]])</f>
        <v>0</v>
      </c>
      <c r="P1005" s="1" t="str">
        <f>IF( AND( Table4[[#This Row],[Route]]=ClosureLocation!$B$3, ClosureLocation!$B$6 &gt;= Table4[[#This Row],[StartMP]], ClosureLocation!$B$6 &lt;= Table4[[#This Row],[EndMP]]), "Yes", "")</f>
        <v/>
      </c>
      <c r="Q1005" s="1" t="str">
        <f>IF( AND( Table4[[#This Row],[Route]]=ClosureLocation!$B$3, ClosureLocation!$B$6 &lt;= Table4[[#This Row],[StartMP]], ClosureLocation!$B$6 &gt;= Table4[[#This Row],[EndMP]]), "Yes", "")</f>
        <v/>
      </c>
      <c r="R1005" s="1" t="str">
        <f>IF( OR( Table4[[#This Row],[PrimaryMatch]]="Yes", Table4[[#This Row],[SecondaryMatch]]="Yes"), "Yes", "")</f>
        <v/>
      </c>
    </row>
    <row r="1006" spans="1:18" hidden="1" x14ac:dyDescent="0.25">
      <c r="A1006" t="s">
        <v>170</v>
      </c>
      <c r="B1006" t="s">
        <v>3209</v>
      </c>
      <c r="C1006" t="s">
        <v>3226</v>
      </c>
      <c r="D1006" t="s">
        <v>3319</v>
      </c>
      <c r="E1006" s="1">
        <v>6.4000000000000001E-2</v>
      </c>
      <c r="F1006" s="1">
        <v>6.4000000000000001E-2</v>
      </c>
      <c r="K1006" s="39">
        <f>DefaultValues!$B$4</f>
        <v>5</v>
      </c>
      <c r="L1006" s="1">
        <f>DefaultValues!$C$4</f>
        <v>0.5</v>
      </c>
      <c r="M1006" s="1" t="str">
        <f>DefaultValues!$D$4</f>
        <v xml:space="preserve">- Within interchange - </v>
      </c>
      <c r="N1006" s="1">
        <v>999.93597399999999</v>
      </c>
      <c r="O1006" s="1">
        <f>ABS(Table4[[#This Row],[EndMP]]-Table4[[#This Row],[StartMP]])</f>
        <v>0</v>
      </c>
      <c r="P1006" s="1" t="str">
        <f>IF( AND( Table4[[#This Row],[Route]]=ClosureLocation!$B$3, ClosureLocation!$B$6 &gt;= Table4[[#This Row],[StartMP]], ClosureLocation!$B$6 &lt;= Table4[[#This Row],[EndMP]]), "Yes", "")</f>
        <v/>
      </c>
      <c r="Q1006" s="1" t="str">
        <f>IF( AND( Table4[[#This Row],[Route]]=ClosureLocation!$B$3, ClosureLocation!$B$6 &lt;= Table4[[#This Row],[StartMP]], ClosureLocation!$B$6 &gt;= Table4[[#This Row],[EndMP]]), "Yes", "")</f>
        <v/>
      </c>
      <c r="R1006" s="1" t="str">
        <f>IF( OR( Table4[[#This Row],[PrimaryMatch]]="Yes", Table4[[#This Row],[SecondaryMatch]]="Yes"), "Yes", "")</f>
        <v/>
      </c>
    </row>
    <row r="1007" spans="1:18" hidden="1" x14ac:dyDescent="0.25">
      <c r="A1007" t="s">
        <v>178</v>
      </c>
      <c r="B1007" t="s">
        <v>3205</v>
      </c>
      <c r="C1007" t="s">
        <v>3222</v>
      </c>
      <c r="D1007" t="s">
        <v>4650</v>
      </c>
      <c r="E1007" s="1">
        <v>70.778000000000006</v>
      </c>
      <c r="F1007" s="1">
        <v>70.832999999999998</v>
      </c>
      <c r="K1007" s="39">
        <f>DefaultValues!$B$4</f>
        <v>5</v>
      </c>
      <c r="L1007" s="1">
        <f>DefaultValues!$C$4</f>
        <v>0.5</v>
      </c>
      <c r="M1007" s="1" t="str">
        <f>DefaultValues!$D$4</f>
        <v xml:space="preserve">- Within interchange - </v>
      </c>
      <c r="N1007" s="1">
        <v>70.778000000000006</v>
      </c>
      <c r="O1007" s="1">
        <f>ABS(Table4[[#This Row],[EndMP]]-Table4[[#This Row],[StartMP]])</f>
        <v>5.499999999999261E-2</v>
      </c>
      <c r="P1007" s="1" t="str">
        <f>IF( AND( Table4[[#This Row],[Route]]=ClosureLocation!$B$3, ClosureLocation!$B$6 &gt;= Table4[[#This Row],[StartMP]], ClosureLocation!$B$6 &lt;= Table4[[#This Row],[EndMP]]), "Yes", "")</f>
        <v/>
      </c>
      <c r="Q1007" s="1" t="str">
        <f>IF( AND( Table4[[#This Row],[Route]]=ClosureLocation!$B$3, ClosureLocation!$B$6 &lt;= Table4[[#This Row],[StartMP]], ClosureLocation!$B$6 &gt;= Table4[[#This Row],[EndMP]]), "Yes", "")</f>
        <v/>
      </c>
      <c r="R1007" s="1" t="str">
        <f>IF( OR( Table4[[#This Row],[PrimaryMatch]]="Yes", Table4[[#This Row],[SecondaryMatch]]="Yes"), "Yes", "")</f>
        <v/>
      </c>
    </row>
    <row r="1008" spans="1:18" hidden="1" x14ac:dyDescent="0.25">
      <c r="A1008" t="s">
        <v>178</v>
      </c>
      <c r="B1008" t="s">
        <v>3209</v>
      </c>
      <c r="C1008" t="s">
        <v>3226</v>
      </c>
      <c r="D1008" t="s">
        <v>4651</v>
      </c>
      <c r="E1008" s="1">
        <v>70.832999999999998</v>
      </c>
      <c r="F1008" s="1">
        <v>70.778000000000006</v>
      </c>
      <c r="K1008" s="39">
        <f>DefaultValues!$B$4</f>
        <v>5</v>
      </c>
      <c r="L1008" s="1">
        <f>DefaultValues!$C$4</f>
        <v>0.5</v>
      </c>
      <c r="M1008" s="1" t="str">
        <f>DefaultValues!$D$4</f>
        <v xml:space="preserve">- Within interchange - </v>
      </c>
      <c r="N1008" s="1">
        <v>929.16699200000005</v>
      </c>
      <c r="O1008" s="1">
        <f>ABS(Table4[[#This Row],[EndMP]]-Table4[[#This Row],[StartMP]])</f>
        <v>5.499999999999261E-2</v>
      </c>
      <c r="P1008" s="1" t="str">
        <f>IF( AND( Table4[[#This Row],[Route]]=ClosureLocation!$B$3, ClosureLocation!$B$6 &gt;= Table4[[#This Row],[StartMP]], ClosureLocation!$B$6 &lt;= Table4[[#This Row],[EndMP]]), "Yes", "")</f>
        <v/>
      </c>
      <c r="Q1008" s="1" t="str">
        <f>IF( AND( Table4[[#This Row],[Route]]=ClosureLocation!$B$3, ClosureLocation!$B$6 &lt;= Table4[[#This Row],[StartMP]], ClosureLocation!$B$6 &gt;= Table4[[#This Row],[EndMP]]), "Yes", "")</f>
        <v/>
      </c>
      <c r="R1008" s="1" t="str">
        <f>IF( OR( Table4[[#This Row],[PrimaryMatch]]="Yes", Table4[[#This Row],[SecondaryMatch]]="Yes"), "Yes", "")</f>
        <v/>
      </c>
    </row>
    <row r="1009" spans="1:18" hidden="1" x14ac:dyDescent="0.25">
      <c r="A1009" t="s">
        <v>194</v>
      </c>
      <c r="B1009" t="s">
        <v>3205</v>
      </c>
      <c r="C1009" t="s">
        <v>3206</v>
      </c>
      <c r="D1009" t="s">
        <v>4652</v>
      </c>
      <c r="E1009" s="1">
        <v>5.2999999999999999E-2</v>
      </c>
      <c r="F1009" s="1">
        <v>0.222</v>
      </c>
      <c r="K1009" s="39">
        <f>DefaultValues!$B$4</f>
        <v>5</v>
      </c>
      <c r="L1009" s="1">
        <f>DefaultValues!$C$4</f>
        <v>0.5</v>
      </c>
      <c r="M1009" s="1" t="str">
        <f>DefaultValues!$D$4</f>
        <v xml:space="preserve">- Within interchange - </v>
      </c>
      <c r="N1009" s="1">
        <v>5.2999999999999999E-2</v>
      </c>
      <c r="O1009" s="1">
        <f>ABS(Table4[[#This Row],[EndMP]]-Table4[[#This Row],[StartMP]])</f>
        <v>0.16900000000000001</v>
      </c>
      <c r="P1009" s="1" t="str">
        <f>IF( AND( Table4[[#This Row],[Route]]=ClosureLocation!$B$3, ClosureLocation!$B$6 &gt;= Table4[[#This Row],[StartMP]], ClosureLocation!$B$6 &lt;= Table4[[#This Row],[EndMP]]), "Yes", "")</f>
        <v/>
      </c>
      <c r="Q1009" s="1" t="str">
        <f>IF( AND( Table4[[#This Row],[Route]]=ClosureLocation!$B$3, ClosureLocation!$B$6 &lt;= Table4[[#This Row],[StartMP]], ClosureLocation!$B$6 &gt;= Table4[[#This Row],[EndMP]]), "Yes", "")</f>
        <v/>
      </c>
      <c r="R1009" s="1" t="str">
        <f>IF( OR( Table4[[#This Row],[PrimaryMatch]]="Yes", Table4[[#This Row],[SecondaryMatch]]="Yes"), "Yes", "")</f>
        <v/>
      </c>
    </row>
    <row r="1010" spans="1:18" hidden="1" x14ac:dyDescent="0.25">
      <c r="A1010" t="s">
        <v>194</v>
      </c>
      <c r="B1010" t="s">
        <v>3209</v>
      </c>
      <c r="C1010" t="s">
        <v>3210</v>
      </c>
      <c r="D1010" t="s">
        <v>4653</v>
      </c>
      <c r="E1010" s="1">
        <v>0.222</v>
      </c>
      <c r="F1010" s="1">
        <v>5.2999999999999999E-2</v>
      </c>
      <c r="K1010" s="39">
        <f>DefaultValues!$B$4</f>
        <v>5</v>
      </c>
      <c r="L1010" s="1">
        <f>DefaultValues!$C$4</f>
        <v>0.5</v>
      </c>
      <c r="M1010" s="1" t="str">
        <f>DefaultValues!$D$4</f>
        <v xml:space="preserve">- Within interchange - </v>
      </c>
      <c r="N1010" s="1">
        <v>999.77801499999998</v>
      </c>
      <c r="O1010" s="1">
        <f>ABS(Table4[[#This Row],[EndMP]]-Table4[[#This Row],[StartMP]])</f>
        <v>0.16900000000000001</v>
      </c>
      <c r="P1010" s="1" t="str">
        <f>IF( AND( Table4[[#This Row],[Route]]=ClosureLocation!$B$3, ClosureLocation!$B$6 &gt;= Table4[[#This Row],[StartMP]], ClosureLocation!$B$6 &lt;= Table4[[#This Row],[EndMP]]), "Yes", "")</f>
        <v/>
      </c>
      <c r="Q1010" s="1" t="str">
        <f>IF( AND( Table4[[#This Row],[Route]]=ClosureLocation!$B$3, ClosureLocation!$B$6 &lt;= Table4[[#This Row],[StartMP]], ClosureLocation!$B$6 &gt;= Table4[[#This Row],[EndMP]]), "Yes", "")</f>
        <v/>
      </c>
      <c r="R1010" s="1" t="str">
        <f>IF( OR( Table4[[#This Row],[PrimaryMatch]]="Yes", Table4[[#This Row],[SecondaryMatch]]="Yes"), "Yes", "")</f>
        <v/>
      </c>
    </row>
    <row r="1011" spans="1:18" hidden="1" x14ac:dyDescent="0.25">
      <c r="A1011" t="s">
        <v>206</v>
      </c>
      <c r="B1011" t="s">
        <v>3205</v>
      </c>
      <c r="C1011" t="s">
        <v>3222</v>
      </c>
      <c r="D1011" t="s">
        <v>3343</v>
      </c>
      <c r="E1011" s="1">
        <v>138.74899300000001</v>
      </c>
      <c r="F1011" s="1">
        <v>139.212006</v>
      </c>
      <c r="K1011" s="39">
        <f>DefaultValues!$B$4</f>
        <v>5</v>
      </c>
      <c r="L1011" s="1">
        <f>DefaultValues!$C$4</f>
        <v>0.5</v>
      </c>
      <c r="M1011" s="1" t="str">
        <f>DefaultValues!$D$4</f>
        <v xml:space="preserve">- Within interchange - </v>
      </c>
      <c r="N1011" s="1">
        <v>138.74899300000001</v>
      </c>
      <c r="O1011" s="1">
        <f>ABS(Table4[[#This Row],[EndMP]]-Table4[[#This Row],[StartMP]])</f>
        <v>0.46301299999998946</v>
      </c>
      <c r="P1011" s="1" t="str">
        <f>IF( AND( Table4[[#This Row],[Route]]=ClosureLocation!$B$3, ClosureLocation!$B$6 &gt;= Table4[[#This Row],[StartMP]], ClosureLocation!$B$6 &lt;= Table4[[#This Row],[EndMP]]), "Yes", "")</f>
        <v/>
      </c>
      <c r="Q1011" s="1" t="str">
        <f>IF( AND( Table4[[#This Row],[Route]]=ClosureLocation!$B$3, ClosureLocation!$B$6 &lt;= Table4[[#This Row],[StartMP]], ClosureLocation!$B$6 &gt;= Table4[[#This Row],[EndMP]]), "Yes", "")</f>
        <v/>
      </c>
      <c r="R1011" s="1" t="str">
        <f>IF( OR( Table4[[#This Row],[PrimaryMatch]]="Yes", Table4[[#This Row],[SecondaryMatch]]="Yes"), "Yes", "")</f>
        <v/>
      </c>
    </row>
    <row r="1012" spans="1:18" hidden="1" x14ac:dyDescent="0.25">
      <c r="A1012" t="s">
        <v>206</v>
      </c>
      <c r="B1012" t="s">
        <v>3209</v>
      </c>
      <c r="C1012" t="s">
        <v>3226</v>
      </c>
      <c r="D1012" t="s">
        <v>3351</v>
      </c>
      <c r="E1012" s="1">
        <v>139.212006</v>
      </c>
      <c r="F1012" s="1">
        <v>138.74899300000001</v>
      </c>
      <c r="K1012" s="39">
        <f>DefaultValues!$B$4</f>
        <v>5</v>
      </c>
      <c r="L1012" s="1">
        <f>DefaultValues!$C$4</f>
        <v>0.5</v>
      </c>
      <c r="M1012" s="1" t="str">
        <f>DefaultValues!$D$4</f>
        <v xml:space="preserve">- Within interchange - </v>
      </c>
      <c r="N1012" s="1">
        <v>860.78802499999995</v>
      </c>
      <c r="O1012" s="1">
        <f>ABS(Table4[[#This Row],[EndMP]]-Table4[[#This Row],[StartMP]])</f>
        <v>0.46301299999998946</v>
      </c>
      <c r="P1012" s="1" t="str">
        <f>IF( AND( Table4[[#This Row],[Route]]=ClosureLocation!$B$3, ClosureLocation!$B$6 &gt;= Table4[[#This Row],[StartMP]], ClosureLocation!$B$6 &lt;= Table4[[#This Row],[EndMP]]), "Yes", "")</f>
        <v/>
      </c>
      <c r="Q1012" s="1" t="str">
        <f>IF( AND( Table4[[#This Row],[Route]]=ClosureLocation!$B$3, ClosureLocation!$B$6 &lt;= Table4[[#This Row],[StartMP]], ClosureLocation!$B$6 &gt;= Table4[[#This Row],[EndMP]]), "Yes", "")</f>
        <v/>
      </c>
      <c r="R1012" s="1" t="str">
        <f>IF( OR( Table4[[#This Row],[PrimaryMatch]]="Yes", Table4[[#This Row],[SecondaryMatch]]="Yes"), "Yes", "")</f>
        <v/>
      </c>
    </row>
    <row r="1013" spans="1:18" hidden="1" x14ac:dyDescent="0.25">
      <c r="A1013" t="s">
        <v>225</v>
      </c>
      <c r="B1013" t="s">
        <v>3205</v>
      </c>
      <c r="C1013" t="s">
        <v>3222</v>
      </c>
      <c r="D1013" t="s">
        <v>3367</v>
      </c>
      <c r="E1013" s="1">
        <v>0</v>
      </c>
      <c r="F1013" s="1">
        <v>0.186</v>
      </c>
      <c r="K1013" s="39">
        <f>DefaultValues!$B$4</f>
        <v>5</v>
      </c>
      <c r="L1013" s="1">
        <f>DefaultValues!$C$4</f>
        <v>0.5</v>
      </c>
      <c r="M1013" s="1" t="str">
        <f>DefaultValues!$D$4</f>
        <v xml:space="preserve">- Within interchange - </v>
      </c>
      <c r="N1013" s="1">
        <v>0</v>
      </c>
      <c r="O1013" s="1">
        <f>ABS(Table4[[#This Row],[EndMP]]-Table4[[#This Row],[StartMP]])</f>
        <v>0.186</v>
      </c>
      <c r="P1013" s="1" t="str">
        <f>IF( AND( Table4[[#This Row],[Route]]=ClosureLocation!$B$3, ClosureLocation!$B$6 &gt;= Table4[[#This Row],[StartMP]], ClosureLocation!$B$6 &lt;= Table4[[#This Row],[EndMP]]), "Yes", "")</f>
        <v/>
      </c>
      <c r="Q1013" s="1" t="str">
        <f>IF( AND( Table4[[#This Row],[Route]]=ClosureLocation!$B$3, ClosureLocation!$B$6 &lt;= Table4[[#This Row],[StartMP]], ClosureLocation!$B$6 &gt;= Table4[[#This Row],[EndMP]]), "Yes", "")</f>
        <v/>
      </c>
      <c r="R1013" s="1" t="str">
        <f>IF( OR( Table4[[#This Row],[PrimaryMatch]]="Yes", Table4[[#This Row],[SecondaryMatch]]="Yes"), "Yes", "")</f>
        <v/>
      </c>
    </row>
    <row r="1014" spans="1:18" hidden="1" x14ac:dyDescent="0.25">
      <c r="A1014" t="s">
        <v>225</v>
      </c>
      <c r="B1014" t="s">
        <v>3205</v>
      </c>
      <c r="C1014" t="s">
        <v>3222</v>
      </c>
      <c r="D1014" t="s">
        <v>3367</v>
      </c>
      <c r="E1014" s="1">
        <v>0.67900000000000005</v>
      </c>
      <c r="F1014" s="1">
        <v>0.93400000000000005</v>
      </c>
      <c r="K1014" s="39">
        <f>DefaultValues!$B$4</f>
        <v>5</v>
      </c>
      <c r="L1014" s="1">
        <f>DefaultValues!$C$4</f>
        <v>0.5</v>
      </c>
      <c r="M1014" s="1" t="str">
        <f>DefaultValues!$D$4</f>
        <v xml:space="preserve">- Within interchange - </v>
      </c>
      <c r="N1014" s="1">
        <v>0.67900000000000005</v>
      </c>
      <c r="O1014" s="1">
        <f>ABS(Table4[[#This Row],[EndMP]]-Table4[[#This Row],[StartMP]])</f>
        <v>0.255</v>
      </c>
      <c r="P1014" s="1" t="str">
        <f>IF( AND( Table4[[#This Row],[Route]]=ClosureLocation!$B$3, ClosureLocation!$B$6 &gt;= Table4[[#This Row],[StartMP]], ClosureLocation!$B$6 &lt;= Table4[[#This Row],[EndMP]]), "Yes", "")</f>
        <v/>
      </c>
      <c r="Q1014" s="1" t="str">
        <f>IF( AND( Table4[[#This Row],[Route]]=ClosureLocation!$B$3, ClosureLocation!$B$6 &lt;= Table4[[#This Row],[StartMP]], ClosureLocation!$B$6 &gt;= Table4[[#This Row],[EndMP]]), "Yes", "")</f>
        <v/>
      </c>
      <c r="R1014" s="1" t="str">
        <f>IF( OR( Table4[[#This Row],[PrimaryMatch]]="Yes", Table4[[#This Row],[SecondaryMatch]]="Yes"), "Yes", "")</f>
        <v/>
      </c>
    </row>
    <row r="1015" spans="1:18" hidden="1" x14ac:dyDescent="0.25">
      <c r="A1015" t="s">
        <v>225</v>
      </c>
      <c r="B1015" t="s">
        <v>3209</v>
      </c>
      <c r="C1015" t="s">
        <v>3226</v>
      </c>
      <c r="D1015" t="s">
        <v>3370</v>
      </c>
      <c r="E1015" s="1">
        <v>0.93400000000000005</v>
      </c>
      <c r="F1015" s="1">
        <v>0.67900000000000005</v>
      </c>
      <c r="K1015" s="39">
        <f>DefaultValues!$B$4</f>
        <v>5</v>
      </c>
      <c r="L1015" s="1">
        <f>DefaultValues!$C$4</f>
        <v>0.5</v>
      </c>
      <c r="M1015" s="1" t="str">
        <f>DefaultValues!$D$4</f>
        <v xml:space="preserve">- Within interchange - </v>
      </c>
      <c r="N1015" s="1">
        <v>999.06597899999997</v>
      </c>
      <c r="O1015" s="1">
        <f>ABS(Table4[[#This Row],[EndMP]]-Table4[[#This Row],[StartMP]])</f>
        <v>0.255</v>
      </c>
      <c r="P1015" s="1" t="str">
        <f>IF( AND( Table4[[#This Row],[Route]]=ClosureLocation!$B$3, ClosureLocation!$B$6 &gt;= Table4[[#This Row],[StartMP]], ClosureLocation!$B$6 &lt;= Table4[[#This Row],[EndMP]]), "Yes", "")</f>
        <v/>
      </c>
      <c r="Q1015" s="1" t="str">
        <f>IF( AND( Table4[[#This Row],[Route]]=ClosureLocation!$B$3, ClosureLocation!$B$6 &lt;= Table4[[#This Row],[StartMP]], ClosureLocation!$B$6 &gt;= Table4[[#This Row],[EndMP]]), "Yes", "")</f>
        <v/>
      </c>
      <c r="R1015" s="1" t="str">
        <f>IF( OR( Table4[[#This Row],[PrimaryMatch]]="Yes", Table4[[#This Row],[SecondaryMatch]]="Yes"), "Yes", "")</f>
        <v/>
      </c>
    </row>
    <row r="1016" spans="1:18" hidden="1" x14ac:dyDescent="0.25">
      <c r="A1016" t="s">
        <v>225</v>
      </c>
      <c r="B1016" t="s">
        <v>3209</v>
      </c>
      <c r="C1016" t="s">
        <v>3226</v>
      </c>
      <c r="D1016" t="s">
        <v>3370</v>
      </c>
      <c r="E1016" s="1">
        <v>0.186</v>
      </c>
      <c r="F1016" s="1">
        <v>0</v>
      </c>
      <c r="K1016" s="39">
        <f>DefaultValues!$B$4</f>
        <v>5</v>
      </c>
      <c r="L1016" s="1">
        <f>DefaultValues!$C$4</f>
        <v>0.5</v>
      </c>
      <c r="M1016" s="1" t="str">
        <f>DefaultValues!$D$4</f>
        <v xml:space="preserve">- Within interchange - </v>
      </c>
      <c r="N1016" s="1">
        <v>999.81402600000001</v>
      </c>
      <c r="O1016" s="1">
        <f>ABS(Table4[[#This Row],[EndMP]]-Table4[[#This Row],[StartMP]])</f>
        <v>0.186</v>
      </c>
      <c r="P1016" s="1" t="str">
        <f>IF( AND( Table4[[#This Row],[Route]]=ClosureLocation!$B$3, ClosureLocation!$B$6 &gt;= Table4[[#This Row],[StartMP]], ClosureLocation!$B$6 &lt;= Table4[[#This Row],[EndMP]]), "Yes", "")</f>
        <v/>
      </c>
      <c r="Q1016" s="1" t="str">
        <f>IF( AND( Table4[[#This Row],[Route]]=ClosureLocation!$B$3, ClosureLocation!$B$6 &lt;= Table4[[#This Row],[StartMP]], ClosureLocation!$B$6 &gt;= Table4[[#This Row],[EndMP]]), "Yes", "")</f>
        <v/>
      </c>
      <c r="R1016" s="1" t="str">
        <f>IF( OR( Table4[[#This Row],[PrimaryMatch]]="Yes", Table4[[#This Row],[SecondaryMatch]]="Yes"), "Yes", "")</f>
        <v/>
      </c>
    </row>
    <row r="1017" spans="1:18" hidden="1" x14ac:dyDescent="0.25">
      <c r="A1017" t="s">
        <v>240</v>
      </c>
      <c r="B1017" t="s">
        <v>3205</v>
      </c>
      <c r="C1017" t="s">
        <v>3206</v>
      </c>
      <c r="D1017" t="s">
        <v>3385</v>
      </c>
      <c r="E1017" s="1">
        <v>141.73800700000001</v>
      </c>
      <c r="F1017" s="1">
        <v>142.033997</v>
      </c>
      <c r="K1017" s="39">
        <f>DefaultValues!$B$4</f>
        <v>5</v>
      </c>
      <c r="L1017" s="1">
        <f>DefaultValues!$C$4</f>
        <v>0.5</v>
      </c>
      <c r="M1017" s="1" t="str">
        <f>DefaultValues!$D$4</f>
        <v xml:space="preserve">- Within interchange - </v>
      </c>
      <c r="N1017" s="1">
        <v>141.73800700000001</v>
      </c>
      <c r="O1017" s="1">
        <f>ABS(Table4[[#This Row],[EndMP]]-Table4[[#This Row],[StartMP]])</f>
        <v>0.2959899999999891</v>
      </c>
      <c r="P1017" s="1" t="str">
        <f>IF( AND( Table4[[#This Row],[Route]]=ClosureLocation!$B$3, ClosureLocation!$B$6 &gt;= Table4[[#This Row],[StartMP]], ClosureLocation!$B$6 &lt;= Table4[[#This Row],[EndMP]]), "Yes", "")</f>
        <v/>
      </c>
      <c r="Q1017" s="1" t="str">
        <f>IF( AND( Table4[[#This Row],[Route]]=ClosureLocation!$B$3, ClosureLocation!$B$6 &lt;= Table4[[#This Row],[StartMP]], ClosureLocation!$B$6 &gt;= Table4[[#This Row],[EndMP]]), "Yes", "")</f>
        <v/>
      </c>
      <c r="R1017" s="1" t="str">
        <f>IF( OR( Table4[[#This Row],[PrimaryMatch]]="Yes", Table4[[#This Row],[SecondaryMatch]]="Yes"), "Yes", "")</f>
        <v/>
      </c>
    </row>
    <row r="1018" spans="1:18" hidden="1" x14ac:dyDescent="0.25">
      <c r="A1018" t="s">
        <v>240</v>
      </c>
      <c r="B1018" t="s">
        <v>3205</v>
      </c>
      <c r="C1018" t="s">
        <v>3206</v>
      </c>
      <c r="D1018" t="s">
        <v>3385</v>
      </c>
      <c r="E1018" s="1">
        <v>148.490005</v>
      </c>
      <c r="F1018" s="1">
        <v>149.01400799999999</v>
      </c>
      <c r="K1018" s="39">
        <f>DefaultValues!$B$4</f>
        <v>5</v>
      </c>
      <c r="L1018" s="1">
        <f>DefaultValues!$C$4</f>
        <v>0.5</v>
      </c>
      <c r="M1018" s="1" t="str">
        <f>DefaultValues!$D$4</f>
        <v xml:space="preserve">- Within interchange - </v>
      </c>
      <c r="N1018" s="1">
        <v>148.490005</v>
      </c>
      <c r="O1018" s="1">
        <f>ABS(Table4[[#This Row],[EndMP]]-Table4[[#This Row],[StartMP]])</f>
        <v>0.52400299999999334</v>
      </c>
      <c r="P1018" s="1" t="str">
        <f>IF( AND( Table4[[#This Row],[Route]]=ClosureLocation!$B$3, ClosureLocation!$B$6 &gt;= Table4[[#This Row],[StartMP]], ClosureLocation!$B$6 &lt;= Table4[[#This Row],[EndMP]]), "Yes", "")</f>
        <v/>
      </c>
      <c r="Q1018" s="1" t="str">
        <f>IF( AND( Table4[[#This Row],[Route]]=ClosureLocation!$B$3, ClosureLocation!$B$6 &lt;= Table4[[#This Row],[StartMP]], ClosureLocation!$B$6 &gt;= Table4[[#This Row],[EndMP]]), "Yes", "")</f>
        <v/>
      </c>
      <c r="R1018" s="1" t="str">
        <f>IF( OR( Table4[[#This Row],[PrimaryMatch]]="Yes", Table4[[#This Row],[SecondaryMatch]]="Yes"), "Yes", "")</f>
        <v/>
      </c>
    </row>
    <row r="1019" spans="1:18" hidden="1" x14ac:dyDescent="0.25">
      <c r="A1019" t="s">
        <v>240</v>
      </c>
      <c r="B1019" t="s">
        <v>3205</v>
      </c>
      <c r="C1019" t="s">
        <v>3206</v>
      </c>
      <c r="D1019" t="s">
        <v>3385</v>
      </c>
      <c r="E1019" s="1">
        <v>150</v>
      </c>
      <c r="F1019" s="1">
        <v>150.024002</v>
      </c>
      <c r="K1019" s="39">
        <f>DefaultValues!$B$4</f>
        <v>5</v>
      </c>
      <c r="L1019" s="1">
        <f>DefaultValues!$C$4</f>
        <v>0.5</v>
      </c>
      <c r="M1019" s="1" t="str">
        <f>DefaultValues!$D$4</f>
        <v xml:space="preserve">- Within interchange - </v>
      </c>
      <c r="N1019" s="1">
        <v>150</v>
      </c>
      <c r="O1019" s="1">
        <f>ABS(Table4[[#This Row],[EndMP]]-Table4[[#This Row],[StartMP]])</f>
        <v>2.400199999999586E-2</v>
      </c>
      <c r="P1019" s="1" t="str">
        <f>IF( AND( Table4[[#This Row],[Route]]=ClosureLocation!$B$3, ClosureLocation!$B$6 &gt;= Table4[[#This Row],[StartMP]], ClosureLocation!$B$6 &lt;= Table4[[#This Row],[EndMP]]), "Yes", "")</f>
        <v/>
      </c>
      <c r="Q1019" s="1" t="str">
        <f>IF( AND( Table4[[#This Row],[Route]]=ClosureLocation!$B$3, ClosureLocation!$B$6 &lt;= Table4[[#This Row],[StartMP]], ClosureLocation!$B$6 &gt;= Table4[[#This Row],[EndMP]]), "Yes", "")</f>
        <v/>
      </c>
      <c r="R1019" s="1" t="str">
        <f>IF( OR( Table4[[#This Row],[PrimaryMatch]]="Yes", Table4[[#This Row],[SecondaryMatch]]="Yes"), "Yes", "")</f>
        <v/>
      </c>
    </row>
    <row r="1020" spans="1:18" hidden="1" x14ac:dyDescent="0.25">
      <c r="A1020" t="s">
        <v>240</v>
      </c>
      <c r="B1020" t="s">
        <v>3205</v>
      </c>
      <c r="C1020" t="s">
        <v>3206</v>
      </c>
      <c r="D1020" t="s">
        <v>3385</v>
      </c>
      <c r="E1020" s="1">
        <v>150.820007</v>
      </c>
      <c r="F1020" s="1">
        <v>152</v>
      </c>
      <c r="K1020" s="39">
        <f>DefaultValues!$B$4</f>
        <v>5</v>
      </c>
      <c r="L1020" s="1">
        <f>DefaultValues!$C$4</f>
        <v>0.5</v>
      </c>
      <c r="M1020" s="1" t="str">
        <f>DefaultValues!$D$4</f>
        <v xml:space="preserve">- Within interchange - </v>
      </c>
      <c r="N1020" s="1">
        <v>150.820007</v>
      </c>
      <c r="O1020" s="1">
        <f>ABS(Table4[[#This Row],[EndMP]]-Table4[[#This Row],[StartMP]])</f>
        <v>1.1799929999999961</v>
      </c>
      <c r="P1020" s="1" t="str">
        <f>IF( AND( Table4[[#This Row],[Route]]=ClosureLocation!$B$3, ClosureLocation!$B$6 &gt;= Table4[[#This Row],[StartMP]], ClosureLocation!$B$6 &lt;= Table4[[#This Row],[EndMP]]), "Yes", "")</f>
        <v/>
      </c>
      <c r="Q1020" s="1" t="str">
        <f>IF( AND( Table4[[#This Row],[Route]]=ClosureLocation!$B$3, ClosureLocation!$B$6 &lt;= Table4[[#This Row],[StartMP]], ClosureLocation!$B$6 &gt;= Table4[[#This Row],[EndMP]]), "Yes", "")</f>
        <v/>
      </c>
      <c r="R1020" s="1" t="str">
        <f>IF( OR( Table4[[#This Row],[PrimaryMatch]]="Yes", Table4[[#This Row],[SecondaryMatch]]="Yes"), "Yes", "")</f>
        <v/>
      </c>
    </row>
    <row r="1021" spans="1:18" hidden="1" x14ac:dyDescent="0.25">
      <c r="A1021" t="s">
        <v>240</v>
      </c>
      <c r="B1021" t="s">
        <v>3205</v>
      </c>
      <c r="C1021" t="s">
        <v>3206</v>
      </c>
      <c r="D1021" t="s">
        <v>3385</v>
      </c>
      <c r="E1021" s="1">
        <v>152.399002</v>
      </c>
      <c r="F1021" s="1">
        <v>153.067993</v>
      </c>
      <c r="K1021" s="39">
        <f>DefaultValues!$B$4</f>
        <v>5</v>
      </c>
      <c r="L1021" s="1">
        <f>DefaultValues!$C$4</f>
        <v>0.5</v>
      </c>
      <c r="M1021" s="1" t="str">
        <f>DefaultValues!$D$4</f>
        <v xml:space="preserve">- Within interchange - </v>
      </c>
      <c r="N1021" s="1">
        <v>152.399002</v>
      </c>
      <c r="O1021" s="1">
        <f>ABS(Table4[[#This Row],[EndMP]]-Table4[[#This Row],[StartMP]])</f>
        <v>0.66899100000000544</v>
      </c>
      <c r="P1021" s="1" t="str">
        <f>IF( AND( Table4[[#This Row],[Route]]=ClosureLocation!$B$3, ClosureLocation!$B$6 &gt;= Table4[[#This Row],[StartMP]], ClosureLocation!$B$6 &lt;= Table4[[#This Row],[EndMP]]), "Yes", "")</f>
        <v/>
      </c>
      <c r="Q1021" s="1" t="str">
        <f>IF( AND( Table4[[#This Row],[Route]]=ClosureLocation!$B$3, ClosureLocation!$B$6 &lt;= Table4[[#This Row],[StartMP]], ClosureLocation!$B$6 &gt;= Table4[[#This Row],[EndMP]]), "Yes", "")</f>
        <v/>
      </c>
      <c r="R1021" s="1" t="str">
        <f>IF( OR( Table4[[#This Row],[PrimaryMatch]]="Yes", Table4[[#This Row],[SecondaryMatch]]="Yes"), "Yes", "")</f>
        <v/>
      </c>
    </row>
    <row r="1022" spans="1:18" hidden="1" x14ac:dyDescent="0.25">
      <c r="A1022" t="s">
        <v>240</v>
      </c>
      <c r="B1022" t="s">
        <v>3209</v>
      </c>
      <c r="C1022" t="s">
        <v>3210</v>
      </c>
      <c r="D1022" t="s">
        <v>3387</v>
      </c>
      <c r="E1022" s="1">
        <v>153.067993</v>
      </c>
      <c r="F1022" s="1">
        <v>152.399002</v>
      </c>
      <c r="K1022" s="39">
        <f>DefaultValues!$B$4</f>
        <v>5</v>
      </c>
      <c r="L1022" s="1">
        <f>DefaultValues!$C$4</f>
        <v>0.5</v>
      </c>
      <c r="M1022" s="1" t="str">
        <f>DefaultValues!$D$4</f>
        <v xml:space="preserve">- Within interchange - </v>
      </c>
      <c r="N1022" s="1">
        <v>846.932007</v>
      </c>
      <c r="O1022" s="1">
        <f>ABS(Table4[[#This Row],[EndMP]]-Table4[[#This Row],[StartMP]])</f>
        <v>0.66899100000000544</v>
      </c>
      <c r="P1022" s="1" t="str">
        <f>IF( AND( Table4[[#This Row],[Route]]=ClosureLocation!$B$3, ClosureLocation!$B$6 &gt;= Table4[[#This Row],[StartMP]], ClosureLocation!$B$6 &lt;= Table4[[#This Row],[EndMP]]), "Yes", "")</f>
        <v/>
      </c>
      <c r="Q1022" s="1" t="str">
        <f>IF( AND( Table4[[#This Row],[Route]]=ClosureLocation!$B$3, ClosureLocation!$B$6 &lt;= Table4[[#This Row],[StartMP]], ClosureLocation!$B$6 &gt;= Table4[[#This Row],[EndMP]]), "Yes", "")</f>
        <v/>
      </c>
      <c r="R1022" s="1" t="str">
        <f>IF( OR( Table4[[#This Row],[PrimaryMatch]]="Yes", Table4[[#This Row],[SecondaryMatch]]="Yes"), "Yes", "")</f>
        <v/>
      </c>
    </row>
    <row r="1023" spans="1:18" hidden="1" x14ac:dyDescent="0.25">
      <c r="A1023" t="s">
        <v>240</v>
      </c>
      <c r="B1023" t="s">
        <v>3209</v>
      </c>
      <c r="C1023" t="s">
        <v>3210</v>
      </c>
      <c r="D1023" t="s">
        <v>3387</v>
      </c>
      <c r="E1023" s="1">
        <v>152</v>
      </c>
      <c r="F1023" s="1">
        <v>150.820007</v>
      </c>
      <c r="K1023" s="39">
        <f>DefaultValues!$B$4</f>
        <v>5</v>
      </c>
      <c r="L1023" s="1">
        <f>DefaultValues!$C$4</f>
        <v>0.5</v>
      </c>
      <c r="M1023" s="1" t="str">
        <f>DefaultValues!$D$4</f>
        <v xml:space="preserve">- Within interchange - </v>
      </c>
      <c r="N1023" s="1">
        <v>848</v>
      </c>
      <c r="O1023" s="1">
        <f>ABS(Table4[[#This Row],[EndMP]]-Table4[[#This Row],[StartMP]])</f>
        <v>1.1799929999999961</v>
      </c>
      <c r="P1023" s="1" t="str">
        <f>IF( AND( Table4[[#This Row],[Route]]=ClosureLocation!$B$3, ClosureLocation!$B$6 &gt;= Table4[[#This Row],[StartMP]], ClosureLocation!$B$6 &lt;= Table4[[#This Row],[EndMP]]), "Yes", "")</f>
        <v/>
      </c>
      <c r="Q1023" s="1" t="str">
        <f>IF( AND( Table4[[#This Row],[Route]]=ClosureLocation!$B$3, ClosureLocation!$B$6 &lt;= Table4[[#This Row],[StartMP]], ClosureLocation!$B$6 &gt;= Table4[[#This Row],[EndMP]]), "Yes", "")</f>
        <v/>
      </c>
      <c r="R1023" s="1" t="str">
        <f>IF( OR( Table4[[#This Row],[PrimaryMatch]]="Yes", Table4[[#This Row],[SecondaryMatch]]="Yes"), "Yes", "")</f>
        <v/>
      </c>
    </row>
    <row r="1024" spans="1:18" hidden="1" x14ac:dyDescent="0.25">
      <c r="A1024" t="s">
        <v>240</v>
      </c>
      <c r="B1024" t="s">
        <v>3209</v>
      </c>
      <c r="C1024" t="s">
        <v>3210</v>
      </c>
      <c r="D1024" t="s">
        <v>3387</v>
      </c>
      <c r="E1024" s="1">
        <v>150.024002</v>
      </c>
      <c r="F1024" s="1">
        <v>150</v>
      </c>
      <c r="K1024" s="39">
        <f>DefaultValues!$B$4</f>
        <v>5</v>
      </c>
      <c r="L1024" s="1">
        <f>DefaultValues!$C$4</f>
        <v>0.5</v>
      </c>
      <c r="M1024" s="1" t="str">
        <f>DefaultValues!$D$4</f>
        <v xml:space="preserve">- Within interchange - </v>
      </c>
      <c r="N1024" s="1">
        <v>849.97601299999997</v>
      </c>
      <c r="O1024" s="1">
        <f>ABS(Table4[[#This Row],[EndMP]]-Table4[[#This Row],[StartMP]])</f>
        <v>2.400199999999586E-2</v>
      </c>
      <c r="P1024" s="1" t="str">
        <f>IF( AND( Table4[[#This Row],[Route]]=ClosureLocation!$B$3, ClosureLocation!$B$6 &gt;= Table4[[#This Row],[StartMP]], ClosureLocation!$B$6 &lt;= Table4[[#This Row],[EndMP]]), "Yes", "")</f>
        <v/>
      </c>
      <c r="Q1024" s="1" t="str">
        <f>IF( AND( Table4[[#This Row],[Route]]=ClosureLocation!$B$3, ClosureLocation!$B$6 &lt;= Table4[[#This Row],[StartMP]], ClosureLocation!$B$6 &gt;= Table4[[#This Row],[EndMP]]), "Yes", "")</f>
        <v/>
      </c>
      <c r="R1024" s="1" t="str">
        <f>IF( OR( Table4[[#This Row],[PrimaryMatch]]="Yes", Table4[[#This Row],[SecondaryMatch]]="Yes"), "Yes", "")</f>
        <v/>
      </c>
    </row>
    <row r="1025" spans="1:18" hidden="1" x14ac:dyDescent="0.25">
      <c r="A1025" t="s">
        <v>240</v>
      </c>
      <c r="B1025" t="s">
        <v>3209</v>
      </c>
      <c r="C1025" t="s">
        <v>3210</v>
      </c>
      <c r="D1025" t="s">
        <v>3387</v>
      </c>
      <c r="E1025" s="1">
        <v>149.01400799999999</v>
      </c>
      <c r="F1025" s="1">
        <v>148.490005</v>
      </c>
      <c r="K1025" s="39">
        <f>DefaultValues!$B$4</f>
        <v>5</v>
      </c>
      <c r="L1025" s="1">
        <f>DefaultValues!$C$4</f>
        <v>0.5</v>
      </c>
      <c r="M1025" s="1" t="str">
        <f>DefaultValues!$D$4</f>
        <v xml:space="preserve">- Within interchange - </v>
      </c>
      <c r="N1025" s="1">
        <v>850.98602300000005</v>
      </c>
      <c r="O1025" s="1">
        <f>ABS(Table4[[#This Row],[EndMP]]-Table4[[#This Row],[StartMP]])</f>
        <v>0.52400299999999334</v>
      </c>
      <c r="P1025" s="1" t="str">
        <f>IF( AND( Table4[[#This Row],[Route]]=ClosureLocation!$B$3, ClosureLocation!$B$6 &gt;= Table4[[#This Row],[StartMP]], ClosureLocation!$B$6 &lt;= Table4[[#This Row],[EndMP]]), "Yes", "")</f>
        <v/>
      </c>
      <c r="Q1025" s="1" t="str">
        <f>IF( AND( Table4[[#This Row],[Route]]=ClosureLocation!$B$3, ClosureLocation!$B$6 &lt;= Table4[[#This Row],[StartMP]], ClosureLocation!$B$6 &gt;= Table4[[#This Row],[EndMP]]), "Yes", "")</f>
        <v/>
      </c>
      <c r="R1025" s="1" t="str">
        <f>IF( OR( Table4[[#This Row],[PrimaryMatch]]="Yes", Table4[[#This Row],[SecondaryMatch]]="Yes"), "Yes", "")</f>
        <v/>
      </c>
    </row>
    <row r="1026" spans="1:18" hidden="1" x14ac:dyDescent="0.25">
      <c r="A1026" t="s">
        <v>240</v>
      </c>
      <c r="B1026" t="s">
        <v>3209</v>
      </c>
      <c r="C1026" t="s">
        <v>3210</v>
      </c>
      <c r="D1026" t="s">
        <v>3387</v>
      </c>
      <c r="E1026" s="1">
        <v>142.033997</v>
      </c>
      <c r="F1026" s="1">
        <v>141.73800700000001</v>
      </c>
      <c r="K1026" s="39">
        <f>DefaultValues!$B$4</f>
        <v>5</v>
      </c>
      <c r="L1026" s="1">
        <f>DefaultValues!$C$4</f>
        <v>0.5</v>
      </c>
      <c r="M1026" s="1" t="str">
        <f>DefaultValues!$D$4</f>
        <v xml:space="preserve">- Within interchange - </v>
      </c>
      <c r="N1026" s="1">
        <v>857.966003</v>
      </c>
      <c r="O1026" s="1">
        <f>ABS(Table4[[#This Row],[EndMP]]-Table4[[#This Row],[StartMP]])</f>
        <v>0.2959899999999891</v>
      </c>
      <c r="P1026" s="1" t="str">
        <f>IF( AND( Table4[[#This Row],[Route]]=ClosureLocation!$B$3, ClosureLocation!$B$6 &gt;= Table4[[#This Row],[StartMP]], ClosureLocation!$B$6 &lt;= Table4[[#This Row],[EndMP]]), "Yes", "")</f>
        <v/>
      </c>
      <c r="Q1026" s="1" t="str">
        <f>IF( AND( Table4[[#This Row],[Route]]=ClosureLocation!$B$3, ClosureLocation!$B$6 &lt;= Table4[[#This Row],[StartMP]], ClosureLocation!$B$6 &gt;= Table4[[#This Row],[EndMP]]), "Yes", "")</f>
        <v/>
      </c>
      <c r="R1026" s="1" t="str">
        <f>IF( OR( Table4[[#This Row],[PrimaryMatch]]="Yes", Table4[[#This Row],[SecondaryMatch]]="Yes"), "Yes", "")</f>
        <v/>
      </c>
    </row>
    <row r="1027" spans="1:18" hidden="1" x14ac:dyDescent="0.25">
      <c r="A1027" t="s">
        <v>252</v>
      </c>
      <c r="B1027" t="s">
        <v>3205</v>
      </c>
      <c r="C1027" t="s">
        <v>3222</v>
      </c>
      <c r="D1027" t="s">
        <v>3393</v>
      </c>
      <c r="E1027" s="1">
        <v>143.39999399999999</v>
      </c>
      <c r="F1027" s="1">
        <v>143.5</v>
      </c>
      <c r="K1027" s="39">
        <f>DefaultValues!$B$4</f>
        <v>5</v>
      </c>
      <c r="L1027" s="1">
        <f>DefaultValues!$C$4</f>
        <v>0.5</v>
      </c>
      <c r="M1027" s="1" t="str">
        <f>DefaultValues!$D$4</f>
        <v xml:space="preserve">- Within interchange - </v>
      </c>
      <c r="N1027" s="1">
        <v>143.39999399999999</v>
      </c>
      <c r="O1027" s="1">
        <f>ABS(Table4[[#This Row],[EndMP]]-Table4[[#This Row],[StartMP]])</f>
        <v>0.10000600000000759</v>
      </c>
      <c r="P1027" s="1" t="str">
        <f>IF( AND( Table4[[#This Row],[Route]]=ClosureLocation!$B$3, ClosureLocation!$B$6 &gt;= Table4[[#This Row],[StartMP]], ClosureLocation!$B$6 &lt;= Table4[[#This Row],[EndMP]]), "Yes", "")</f>
        <v/>
      </c>
      <c r="Q1027" s="1" t="str">
        <f>IF( AND( Table4[[#This Row],[Route]]=ClosureLocation!$B$3, ClosureLocation!$B$6 &lt;= Table4[[#This Row],[StartMP]], ClosureLocation!$B$6 &gt;= Table4[[#This Row],[EndMP]]), "Yes", "")</f>
        <v/>
      </c>
      <c r="R1027" s="1" t="str">
        <f>IF( OR( Table4[[#This Row],[PrimaryMatch]]="Yes", Table4[[#This Row],[SecondaryMatch]]="Yes"), "Yes", "")</f>
        <v/>
      </c>
    </row>
    <row r="1028" spans="1:18" hidden="1" x14ac:dyDescent="0.25">
      <c r="A1028" t="s">
        <v>252</v>
      </c>
      <c r="B1028" t="s">
        <v>3205</v>
      </c>
      <c r="C1028" t="s">
        <v>3222</v>
      </c>
      <c r="D1028" t="s">
        <v>3393</v>
      </c>
      <c r="E1028" s="1">
        <v>212.70700099999999</v>
      </c>
      <c r="F1028" s="1">
        <v>212.96800200000001</v>
      </c>
      <c r="K1028" s="39">
        <f>DefaultValues!$B$4</f>
        <v>5</v>
      </c>
      <c r="L1028" s="1">
        <f>DefaultValues!$C$4</f>
        <v>0.5</v>
      </c>
      <c r="M1028" s="1" t="str">
        <f>DefaultValues!$D$4</f>
        <v xml:space="preserve">- Within interchange - </v>
      </c>
      <c r="N1028" s="1">
        <v>212.70700099999999</v>
      </c>
      <c r="O1028" s="1">
        <f>ABS(Table4[[#This Row],[EndMP]]-Table4[[#This Row],[StartMP]])</f>
        <v>0.26100100000002158</v>
      </c>
      <c r="P1028" s="1" t="str">
        <f>IF( AND( Table4[[#This Row],[Route]]=ClosureLocation!$B$3, ClosureLocation!$B$6 &gt;= Table4[[#This Row],[StartMP]], ClosureLocation!$B$6 &lt;= Table4[[#This Row],[EndMP]]), "Yes", "")</f>
        <v/>
      </c>
      <c r="Q1028" s="1" t="str">
        <f>IF( AND( Table4[[#This Row],[Route]]=ClosureLocation!$B$3, ClosureLocation!$B$6 &lt;= Table4[[#This Row],[StartMP]], ClosureLocation!$B$6 &gt;= Table4[[#This Row],[EndMP]]), "Yes", "")</f>
        <v/>
      </c>
      <c r="R1028" s="1" t="str">
        <f>IF( OR( Table4[[#This Row],[PrimaryMatch]]="Yes", Table4[[#This Row],[SecondaryMatch]]="Yes"), "Yes", "")</f>
        <v/>
      </c>
    </row>
    <row r="1029" spans="1:18" hidden="1" x14ac:dyDescent="0.25">
      <c r="A1029" t="s">
        <v>252</v>
      </c>
      <c r="B1029" t="s">
        <v>3205</v>
      </c>
      <c r="C1029" t="s">
        <v>3222</v>
      </c>
      <c r="D1029" t="s">
        <v>3393</v>
      </c>
      <c r="E1029" s="1">
        <v>226.371002</v>
      </c>
      <c r="F1029" s="1">
        <v>226.63000500000001</v>
      </c>
      <c r="K1029" s="39">
        <f>DefaultValues!$B$4</f>
        <v>5</v>
      </c>
      <c r="L1029" s="1">
        <f>DefaultValues!$C$4</f>
        <v>0.5</v>
      </c>
      <c r="M1029" s="1" t="str">
        <f>DefaultValues!$D$4</f>
        <v xml:space="preserve">- Within interchange - </v>
      </c>
      <c r="N1029" s="1">
        <v>226.371002</v>
      </c>
      <c r="O1029" s="1">
        <f>ABS(Table4[[#This Row],[EndMP]]-Table4[[#This Row],[StartMP]])</f>
        <v>0.25900300000000698</v>
      </c>
      <c r="P1029" s="1" t="str">
        <f>IF( AND( Table4[[#This Row],[Route]]=ClosureLocation!$B$3, ClosureLocation!$B$6 &gt;= Table4[[#This Row],[StartMP]], ClosureLocation!$B$6 &lt;= Table4[[#This Row],[EndMP]]), "Yes", "")</f>
        <v/>
      </c>
      <c r="Q1029" s="1" t="str">
        <f>IF( AND( Table4[[#This Row],[Route]]=ClosureLocation!$B$3, ClosureLocation!$B$6 &lt;= Table4[[#This Row],[StartMP]], ClosureLocation!$B$6 &gt;= Table4[[#This Row],[EndMP]]), "Yes", "")</f>
        <v/>
      </c>
      <c r="R1029" s="1" t="str">
        <f>IF( OR( Table4[[#This Row],[PrimaryMatch]]="Yes", Table4[[#This Row],[SecondaryMatch]]="Yes"), "Yes", "")</f>
        <v/>
      </c>
    </row>
    <row r="1030" spans="1:18" hidden="1" x14ac:dyDescent="0.25">
      <c r="A1030" t="s">
        <v>252</v>
      </c>
      <c r="B1030" t="s">
        <v>3205</v>
      </c>
      <c r="C1030" t="s">
        <v>3222</v>
      </c>
      <c r="D1030" t="s">
        <v>3393</v>
      </c>
      <c r="E1030" s="1">
        <v>284.82199100000003</v>
      </c>
      <c r="F1030" s="1">
        <v>284.841003</v>
      </c>
      <c r="K1030" s="39">
        <f>DefaultValues!$B$4</f>
        <v>5</v>
      </c>
      <c r="L1030" s="1">
        <f>DefaultValues!$C$4</f>
        <v>0.5</v>
      </c>
      <c r="M1030" s="1" t="str">
        <f>DefaultValues!$D$4</f>
        <v xml:space="preserve">- Within interchange - </v>
      </c>
      <c r="N1030" s="1">
        <v>284.82199100000003</v>
      </c>
      <c r="O1030" s="1">
        <f>ABS(Table4[[#This Row],[EndMP]]-Table4[[#This Row],[StartMP]])</f>
        <v>1.901199999997516E-2</v>
      </c>
      <c r="P1030" s="1" t="str">
        <f>IF( AND( Table4[[#This Row],[Route]]=ClosureLocation!$B$3, ClosureLocation!$B$6 &gt;= Table4[[#This Row],[StartMP]], ClosureLocation!$B$6 &lt;= Table4[[#This Row],[EndMP]]), "Yes", "")</f>
        <v/>
      </c>
      <c r="Q1030" s="1" t="str">
        <f>IF( AND( Table4[[#This Row],[Route]]=ClosureLocation!$B$3, ClosureLocation!$B$6 &lt;= Table4[[#This Row],[StartMP]], ClosureLocation!$B$6 &gt;= Table4[[#This Row],[EndMP]]), "Yes", "")</f>
        <v/>
      </c>
      <c r="R1030" s="1" t="str">
        <f>IF( OR( Table4[[#This Row],[PrimaryMatch]]="Yes", Table4[[#This Row],[SecondaryMatch]]="Yes"), "Yes", "")</f>
        <v/>
      </c>
    </row>
    <row r="1031" spans="1:18" hidden="1" x14ac:dyDescent="0.25">
      <c r="A1031" t="s">
        <v>252</v>
      </c>
      <c r="B1031" t="s">
        <v>3205</v>
      </c>
      <c r="C1031" t="s">
        <v>3222</v>
      </c>
      <c r="D1031" t="s">
        <v>3393</v>
      </c>
      <c r="E1031" s="1">
        <v>297.97799700000002</v>
      </c>
      <c r="F1031" s="1">
        <v>298.04699699999998</v>
      </c>
      <c r="K1031" s="39">
        <f>DefaultValues!$B$4</f>
        <v>5</v>
      </c>
      <c r="L1031" s="1">
        <f>DefaultValues!$C$4</f>
        <v>0.5</v>
      </c>
      <c r="M1031" s="1" t="str">
        <f>DefaultValues!$D$4</f>
        <v xml:space="preserve">- Within interchange - </v>
      </c>
      <c r="N1031" s="1">
        <v>297.97799700000002</v>
      </c>
      <c r="O1031" s="1">
        <f>ABS(Table4[[#This Row],[EndMP]]-Table4[[#This Row],[StartMP]])</f>
        <v>6.8999999999959982E-2</v>
      </c>
      <c r="P1031" s="1" t="str">
        <f>IF( AND( Table4[[#This Row],[Route]]=ClosureLocation!$B$3, ClosureLocation!$B$6 &gt;= Table4[[#This Row],[StartMP]], ClosureLocation!$B$6 &lt;= Table4[[#This Row],[EndMP]]), "Yes", "")</f>
        <v/>
      </c>
      <c r="Q1031" s="1" t="str">
        <f>IF( AND( Table4[[#This Row],[Route]]=ClosureLocation!$B$3, ClosureLocation!$B$6 &lt;= Table4[[#This Row],[StartMP]], ClosureLocation!$B$6 &gt;= Table4[[#This Row],[EndMP]]), "Yes", "")</f>
        <v/>
      </c>
      <c r="R1031" s="1" t="str">
        <f>IF( OR( Table4[[#This Row],[PrimaryMatch]]="Yes", Table4[[#This Row],[SecondaryMatch]]="Yes"), "Yes", "")</f>
        <v/>
      </c>
    </row>
    <row r="1032" spans="1:18" hidden="1" x14ac:dyDescent="0.25">
      <c r="A1032" t="s">
        <v>252</v>
      </c>
      <c r="B1032" t="s">
        <v>3205</v>
      </c>
      <c r="C1032" t="s">
        <v>3222</v>
      </c>
      <c r="D1032" t="s">
        <v>3393</v>
      </c>
      <c r="E1032" s="1">
        <v>298.95599399999998</v>
      </c>
      <c r="F1032" s="1">
        <v>299.21701000000002</v>
      </c>
      <c r="K1032" s="39">
        <f>DefaultValues!$B$4</f>
        <v>5</v>
      </c>
      <c r="L1032" s="1">
        <f>DefaultValues!$C$4</f>
        <v>0.5</v>
      </c>
      <c r="M1032" s="1" t="str">
        <f>DefaultValues!$D$4</f>
        <v xml:space="preserve">- Within interchange - </v>
      </c>
      <c r="N1032" s="1">
        <v>298.95599399999998</v>
      </c>
      <c r="O1032" s="1">
        <f>ABS(Table4[[#This Row],[EndMP]]-Table4[[#This Row],[StartMP]])</f>
        <v>0.26101600000004055</v>
      </c>
      <c r="P1032" s="1" t="str">
        <f>IF( AND( Table4[[#This Row],[Route]]=ClosureLocation!$B$3, ClosureLocation!$B$6 &gt;= Table4[[#This Row],[StartMP]], ClosureLocation!$B$6 &lt;= Table4[[#This Row],[EndMP]]), "Yes", "")</f>
        <v/>
      </c>
      <c r="Q1032" s="1" t="str">
        <f>IF( AND( Table4[[#This Row],[Route]]=ClosureLocation!$B$3, ClosureLocation!$B$6 &lt;= Table4[[#This Row],[StartMP]], ClosureLocation!$B$6 &gt;= Table4[[#This Row],[EndMP]]), "Yes", "")</f>
        <v/>
      </c>
      <c r="R1032" s="1" t="str">
        <f>IF( OR( Table4[[#This Row],[PrimaryMatch]]="Yes", Table4[[#This Row],[SecondaryMatch]]="Yes"), "Yes", "")</f>
        <v/>
      </c>
    </row>
    <row r="1033" spans="1:18" hidden="1" x14ac:dyDescent="0.25">
      <c r="A1033" t="s">
        <v>252</v>
      </c>
      <c r="B1033" t="s">
        <v>3205</v>
      </c>
      <c r="C1033" t="s">
        <v>3222</v>
      </c>
      <c r="D1033" t="s">
        <v>3393</v>
      </c>
      <c r="E1033" s="1">
        <v>300.43701199999998</v>
      </c>
      <c r="F1033" s="1">
        <v>300.51001000000002</v>
      </c>
      <c r="K1033" s="39">
        <f>DefaultValues!$B$4</f>
        <v>5</v>
      </c>
      <c r="L1033" s="1">
        <f>DefaultValues!$C$4</f>
        <v>0.5</v>
      </c>
      <c r="M1033" s="1" t="str">
        <f>DefaultValues!$D$4</f>
        <v xml:space="preserve">- Within interchange - </v>
      </c>
      <c r="N1033" s="1">
        <v>300.43701199999998</v>
      </c>
      <c r="O1033" s="1">
        <f>ABS(Table4[[#This Row],[EndMP]]-Table4[[#This Row],[StartMP]])</f>
        <v>7.2998000000040975E-2</v>
      </c>
      <c r="P1033" s="1" t="str">
        <f>IF( AND( Table4[[#This Row],[Route]]=ClosureLocation!$B$3, ClosureLocation!$B$6 &gt;= Table4[[#This Row],[StartMP]], ClosureLocation!$B$6 &lt;= Table4[[#This Row],[EndMP]]), "Yes", "")</f>
        <v/>
      </c>
      <c r="Q1033" s="1" t="str">
        <f>IF( AND( Table4[[#This Row],[Route]]=ClosureLocation!$B$3, ClosureLocation!$B$6 &lt;= Table4[[#This Row],[StartMP]], ClosureLocation!$B$6 &gt;= Table4[[#This Row],[EndMP]]), "Yes", "")</f>
        <v/>
      </c>
      <c r="R1033" s="1" t="str">
        <f>IF( OR( Table4[[#This Row],[PrimaryMatch]]="Yes", Table4[[#This Row],[SecondaryMatch]]="Yes"), "Yes", "")</f>
        <v/>
      </c>
    </row>
    <row r="1034" spans="1:18" hidden="1" x14ac:dyDescent="0.25">
      <c r="A1034" t="s">
        <v>252</v>
      </c>
      <c r="B1034" t="s">
        <v>3205</v>
      </c>
      <c r="C1034" t="s">
        <v>3222</v>
      </c>
      <c r="D1034" t="s">
        <v>3393</v>
      </c>
      <c r="E1034" s="1">
        <v>302</v>
      </c>
      <c r="F1034" s="1">
        <v>302.15200800000002</v>
      </c>
      <c r="K1034" s="39">
        <f>DefaultValues!$B$4</f>
        <v>5</v>
      </c>
      <c r="L1034" s="1">
        <f>DefaultValues!$C$4</f>
        <v>0.5</v>
      </c>
      <c r="M1034" s="1" t="str">
        <f>DefaultValues!$D$4</f>
        <v xml:space="preserve">- Within interchange - </v>
      </c>
      <c r="N1034" s="1">
        <v>302</v>
      </c>
      <c r="O1034" s="1">
        <f>ABS(Table4[[#This Row],[EndMP]]-Table4[[#This Row],[StartMP]])</f>
        <v>0.15200800000002346</v>
      </c>
      <c r="P1034" s="1" t="str">
        <f>IF( AND( Table4[[#This Row],[Route]]=ClosureLocation!$B$3, ClosureLocation!$B$6 &gt;= Table4[[#This Row],[StartMP]], ClosureLocation!$B$6 &lt;= Table4[[#This Row],[EndMP]]), "Yes", "")</f>
        <v/>
      </c>
      <c r="Q1034" s="1" t="str">
        <f>IF( AND( Table4[[#This Row],[Route]]=ClosureLocation!$B$3, ClosureLocation!$B$6 &lt;= Table4[[#This Row],[StartMP]], ClosureLocation!$B$6 &gt;= Table4[[#This Row],[EndMP]]), "Yes", "")</f>
        <v/>
      </c>
      <c r="R1034" s="1" t="str">
        <f>IF( OR( Table4[[#This Row],[PrimaryMatch]]="Yes", Table4[[#This Row],[SecondaryMatch]]="Yes"), "Yes", "")</f>
        <v/>
      </c>
    </row>
    <row r="1035" spans="1:18" hidden="1" x14ac:dyDescent="0.25">
      <c r="A1035" t="s">
        <v>252</v>
      </c>
      <c r="B1035" t="s">
        <v>3205</v>
      </c>
      <c r="C1035" t="s">
        <v>3222</v>
      </c>
      <c r="D1035" t="s">
        <v>3393</v>
      </c>
      <c r="E1035" s="1">
        <v>303.71200599999997</v>
      </c>
      <c r="F1035" s="1">
        <v>303.83999599999999</v>
      </c>
      <c r="K1035" s="39">
        <f>DefaultValues!$B$4</f>
        <v>5</v>
      </c>
      <c r="L1035" s="1">
        <f>DefaultValues!$C$4</f>
        <v>0.5</v>
      </c>
      <c r="M1035" s="1" t="str">
        <f>DefaultValues!$D$4</f>
        <v xml:space="preserve">- Within interchange - </v>
      </c>
      <c r="N1035" s="1">
        <v>303.71200599999997</v>
      </c>
      <c r="O1035" s="1">
        <f>ABS(Table4[[#This Row],[EndMP]]-Table4[[#This Row],[StartMP]])</f>
        <v>0.12799000000001115</v>
      </c>
      <c r="P1035" s="1" t="str">
        <f>IF( AND( Table4[[#This Row],[Route]]=ClosureLocation!$B$3, ClosureLocation!$B$6 &gt;= Table4[[#This Row],[StartMP]], ClosureLocation!$B$6 &lt;= Table4[[#This Row],[EndMP]]), "Yes", "")</f>
        <v/>
      </c>
      <c r="Q1035" s="1" t="str">
        <f>IF( AND( Table4[[#This Row],[Route]]=ClosureLocation!$B$3, ClosureLocation!$B$6 &lt;= Table4[[#This Row],[StartMP]], ClosureLocation!$B$6 &gt;= Table4[[#This Row],[EndMP]]), "Yes", "")</f>
        <v/>
      </c>
      <c r="R1035" s="1" t="str">
        <f>IF( OR( Table4[[#This Row],[PrimaryMatch]]="Yes", Table4[[#This Row],[SecondaryMatch]]="Yes"), "Yes", "")</f>
        <v/>
      </c>
    </row>
    <row r="1036" spans="1:18" hidden="1" x14ac:dyDescent="0.25">
      <c r="A1036" t="s">
        <v>252</v>
      </c>
      <c r="B1036" t="s">
        <v>3209</v>
      </c>
      <c r="C1036" t="s">
        <v>3226</v>
      </c>
      <c r="D1036" t="s">
        <v>3398</v>
      </c>
      <c r="E1036" s="1">
        <v>303.83999599999999</v>
      </c>
      <c r="F1036" s="1">
        <v>303.71200599999997</v>
      </c>
      <c r="K1036" s="39">
        <f>DefaultValues!$B$4</f>
        <v>5</v>
      </c>
      <c r="L1036" s="1">
        <f>DefaultValues!$C$4</f>
        <v>0.5</v>
      </c>
      <c r="M1036" s="1" t="str">
        <f>DefaultValues!$D$4</f>
        <v xml:space="preserve">- Within interchange - </v>
      </c>
      <c r="N1036" s="1">
        <v>696.15997300000004</v>
      </c>
      <c r="O1036" s="1">
        <f>ABS(Table4[[#This Row],[EndMP]]-Table4[[#This Row],[StartMP]])</f>
        <v>0.12799000000001115</v>
      </c>
      <c r="P1036" s="1" t="str">
        <f>IF( AND( Table4[[#This Row],[Route]]=ClosureLocation!$B$3, ClosureLocation!$B$6 &gt;= Table4[[#This Row],[StartMP]], ClosureLocation!$B$6 &lt;= Table4[[#This Row],[EndMP]]), "Yes", "")</f>
        <v/>
      </c>
      <c r="Q1036" s="1" t="str">
        <f>IF( AND( Table4[[#This Row],[Route]]=ClosureLocation!$B$3, ClosureLocation!$B$6 &lt;= Table4[[#This Row],[StartMP]], ClosureLocation!$B$6 &gt;= Table4[[#This Row],[EndMP]]), "Yes", "")</f>
        <v/>
      </c>
      <c r="R1036" s="1" t="str">
        <f>IF( OR( Table4[[#This Row],[PrimaryMatch]]="Yes", Table4[[#This Row],[SecondaryMatch]]="Yes"), "Yes", "")</f>
        <v/>
      </c>
    </row>
    <row r="1037" spans="1:18" hidden="1" x14ac:dyDescent="0.25">
      <c r="A1037" t="s">
        <v>252</v>
      </c>
      <c r="B1037" t="s">
        <v>3209</v>
      </c>
      <c r="C1037" t="s">
        <v>3226</v>
      </c>
      <c r="D1037" t="s">
        <v>3398</v>
      </c>
      <c r="E1037" s="1">
        <v>302.15200800000002</v>
      </c>
      <c r="F1037" s="1">
        <v>302</v>
      </c>
      <c r="K1037" s="39">
        <f>DefaultValues!$B$4</f>
        <v>5</v>
      </c>
      <c r="L1037" s="1">
        <f>DefaultValues!$C$4</f>
        <v>0.5</v>
      </c>
      <c r="M1037" s="1" t="str">
        <f>DefaultValues!$D$4</f>
        <v xml:space="preserve">- Within interchange - </v>
      </c>
      <c r="N1037" s="1">
        <v>697.84802200000001</v>
      </c>
      <c r="O1037" s="1">
        <f>ABS(Table4[[#This Row],[EndMP]]-Table4[[#This Row],[StartMP]])</f>
        <v>0.15200800000002346</v>
      </c>
      <c r="P1037" s="1" t="str">
        <f>IF( AND( Table4[[#This Row],[Route]]=ClosureLocation!$B$3, ClosureLocation!$B$6 &gt;= Table4[[#This Row],[StartMP]], ClosureLocation!$B$6 &lt;= Table4[[#This Row],[EndMP]]), "Yes", "")</f>
        <v/>
      </c>
      <c r="Q1037" s="1" t="str">
        <f>IF( AND( Table4[[#This Row],[Route]]=ClosureLocation!$B$3, ClosureLocation!$B$6 &lt;= Table4[[#This Row],[StartMP]], ClosureLocation!$B$6 &gt;= Table4[[#This Row],[EndMP]]), "Yes", "")</f>
        <v/>
      </c>
      <c r="R1037" s="1" t="str">
        <f>IF( OR( Table4[[#This Row],[PrimaryMatch]]="Yes", Table4[[#This Row],[SecondaryMatch]]="Yes"), "Yes", "")</f>
        <v/>
      </c>
    </row>
    <row r="1038" spans="1:18" hidden="1" x14ac:dyDescent="0.25">
      <c r="A1038" t="s">
        <v>252</v>
      </c>
      <c r="B1038" t="s">
        <v>3209</v>
      </c>
      <c r="C1038" t="s">
        <v>3226</v>
      </c>
      <c r="D1038" t="s">
        <v>3398</v>
      </c>
      <c r="E1038" s="1">
        <v>300.51001000000002</v>
      </c>
      <c r="F1038" s="1">
        <v>300.43701199999998</v>
      </c>
      <c r="K1038" s="39">
        <f>DefaultValues!$B$4</f>
        <v>5</v>
      </c>
      <c r="L1038" s="1">
        <f>DefaultValues!$C$4</f>
        <v>0.5</v>
      </c>
      <c r="M1038" s="1" t="str">
        <f>DefaultValues!$D$4</f>
        <v xml:space="preserve">- Within interchange - </v>
      </c>
      <c r="N1038" s="1">
        <v>699.48999000000003</v>
      </c>
      <c r="O1038" s="1">
        <f>ABS(Table4[[#This Row],[EndMP]]-Table4[[#This Row],[StartMP]])</f>
        <v>7.2998000000040975E-2</v>
      </c>
      <c r="P1038" s="1" t="str">
        <f>IF( AND( Table4[[#This Row],[Route]]=ClosureLocation!$B$3, ClosureLocation!$B$6 &gt;= Table4[[#This Row],[StartMP]], ClosureLocation!$B$6 &lt;= Table4[[#This Row],[EndMP]]), "Yes", "")</f>
        <v/>
      </c>
      <c r="Q1038" s="1" t="str">
        <f>IF( AND( Table4[[#This Row],[Route]]=ClosureLocation!$B$3, ClosureLocation!$B$6 &lt;= Table4[[#This Row],[StartMP]], ClosureLocation!$B$6 &gt;= Table4[[#This Row],[EndMP]]), "Yes", "")</f>
        <v/>
      </c>
      <c r="R1038" s="1" t="str">
        <f>IF( OR( Table4[[#This Row],[PrimaryMatch]]="Yes", Table4[[#This Row],[SecondaryMatch]]="Yes"), "Yes", "")</f>
        <v/>
      </c>
    </row>
    <row r="1039" spans="1:18" hidden="1" x14ac:dyDescent="0.25">
      <c r="A1039" t="s">
        <v>252</v>
      </c>
      <c r="B1039" t="s">
        <v>3209</v>
      </c>
      <c r="C1039" t="s">
        <v>3226</v>
      </c>
      <c r="D1039" t="s">
        <v>3398</v>
      </c>
      <c r="E1039" s="1">
        <v>299.21701000000002</v>
      </c>
      <c r="F1039" s="1">
        <v>298.95599399999998</v>
      </c>
      <c r="K1039" s="39">
        <f>DefaultValues!$B$4</f>
        <v>5</v>
      </c>
      <c r="L1039" s="1">
        <f>DefaultValues!$C$4</f>
        <v>0.5</v>
      </c>
      <c r="M1039" s="1" t="str">
        <f>DefaultValues!$D$4</f>
        <v xml:space="preserve">- Within interchange - </v>
      </c>
      <c r="N1039" s="1">
        <v>700.78301999999996</v>
      </c>
      <c r="O1039" s="1">
        <f>ABS(Table4[[#This Row],[EndMP]]-Table4[[#This Row],[StartMP]])</f>
        <v>0.26101600000004055</v>
      </c>
      <c r="P1039" s="1" t="str">
        <f>IF( AND( Table4[[#This Row],[Route]]=ClosureLocation!$B$3, ClosureLocation!$B$6 &gt;= Table4[[#This Row],[StartMP]], ClosureLocation!$B$6 &lt;= Table4[[#This Row],[EndMP]]), "Yes", "")</f>
        <v/>
      </c>
      <c r="Q1039" s="1" t="str">
        <f>IF( AND( Table4[[#This Row],[Route]]=ClosureLocation!$B$3, ClosureLocation!$B$6 &lt;= Table4[[#This Row],[StartMP]], ClosureLocation!$B$6 &gt;= Table4[[#This Row],[EndMP]]), "Yes", "")</f>
        <v/>
      </c>
      <c r="R1039" s="1" t="str">
        <f>IF( OR( Table4[[#This Row],[PrimaryMatch]]="Yes", Table4[[#This Row],[SecondaryMatch]]="Yes"), "Yes", "")</f>
        <v/>
      </c>
    </row>
    <row r="1040" spans="1:18" hidden="1" x14ac:dyDescent="0.25">
      <c r="A1040" t="s">
        <v>252</v>
      </c>
      <c r="B1040" t="s">
        <v>3209</v>
      </c>
      <c r="C1040" t="s">
        <v>3226</v>
      </c>
      <c r="D1040" t="s">
        <v>3398</v>
      </c>
      <c r="E1040" s="1">
        <v>298.04699699999998</v>
      </c>
      <c r="F1040" s="1">
        <v>297.97799700000002</v>
      </c>
      <c r="K1040" s="39">
        <f>DefaultValues!$B$4</f>
        <v>5</v>
      </c>
      <c r="L1040" s="1">
        <f>DefaultValues!$C$4</f>
        <v>0.5</v>
      </c>
      <c r="M1040" s="1" t="str">
        <f>DefaultValues!$D$4</f>
        <v xml:space="preserve">- Within interchange - </v>
      </c>
      <c r="N1040" s="1">
        <v>701.95300299999997</v>
      </c>
      <c r="O1040" s="1">
        <f>ABS(Table4[[#This Row],[EndMP]]-Table4[[#This Row],[StartMP]])</f>
        <v>6.8999999999959982E-2</v>
      </c>
      <c r="P1040" s="1" t="str">
        <f>IF( AND( Table4[[#This Row],[Route]]=ClosureLocation!$B$3, ClosureLocation!$B$6 &gt;= Table4[[#This Row],[StartMP]], ClosureLocation!$B$6 &lt;= Table4[[#This Row],[EndMP]]), "Yes", "")</f>
        <v/>
      </c>
      <c r="Q1040" s="1" t="str">
        <f>IF( AND( Table4[[#This Row],[Route]]=ClosureLocation!$B$3, ClosureLocation!$B$6 &lt;= Table4[[#This Row],[StartMP]], ClosureLocation!$B$6 &gt;= Table4[[#This Row],[EndMP]]), "Yes", "")</f>
        <v/>
      </c>
      <c r="R1040" s="1" t="str">
        <f>IF( OR( Table4[[#This Row],[PrimaryMatch]]="Yes", Table4[[#This Row],[SecondaryMatch]]="Yes"), "Yes", "")</f>
        <v/>
      </c>
    </row>
    <row r="1041" spans="1:18" hidden="1" x14ac:dyDescent="0.25">
      <c r="A1041" t="s">
        <v>252</v>
      </c>
      <c r="B1041" t="s">
        <v>3209</v>
      </c>
      <c r="C1041" t="s">
        <v>3226</v>
      </c>
      <c r="D1041" t="s">
        <v>3398</v>
      </c>
      <c r="E1041" s="1">
        <v>284.841003</v>
      </c>
      <c r="F1041" s="1">
        <v>284.82199100000003</v>
      </c>
      <c r="K1041" s="39">
        <f>DefaultValues!$B$4</f>
        <v>5</v>
      </c>
      <c r="L1041" s="1">
        <f>DefaultValues!$C$4</f>
        <v>0.5</v>
      </c>
      <c r="M1041" s="1" t="str">
        <f>DefaultValues!$D$4</f>
        <v xml:space="preserve">- Within interchange - </v>
      </c>
      <c r="N1041" s="1">
        <v>715.158997</v>
      </c>
      <c r="O1041" s="1">
        <f>ABS(Table4[[#This Row],[EndMP]]-Table4[[#This Row],[StartMP]])</f>
        <v>1.901199999997516E-2</v>
      </c>
      <c r="P1041" s="1" t="str">
        <f>IF( AND( Table4[[#This Row],[Route]]=ClosureLocation!$B$3, ClosureLocation!$B$6 &gt;= Table4[[#This Row],[StartMP]], ClosureLocation!$B$6 &lt;= Table4[[#This Row],[EndMP]]), "Yes", "")</f>
        <v/>
      </c>
      <c r="Q1041" s="1" t="str">
        <f>IF( AND( Table4[[#This Row],[Route]]=ClosureLocation!$B$3, ClosureLocation!$B$6 &lt;= Table4[[#This Row],[StartMP]], ClosureLocation!$B$6 &gt;= Table4[[#This Row],[EndMP]]), "Yes", "")</f>
        <v/>
      </c>
      <c r="R1041" s="1" t="str">
        <f>IF( OR( Table4[[#This Row],[PrimaryMatch]]="Yes", Table4[[#This Row],[SecondaryMatch]]="Yes"), "Yes", "")</f>
        <v/>
      </c>
    </row>
    <row r="1042" spans="1:18" hidden="1" x14ac:dyDescent="0.25">
      <c r="A1042" t="s">
        <v>252</v>
      </c>
      <c r="B1042" t="s">
        <v>3209</v>
      </c>
      <c r="C1042" t="s">
        <v>3226</v>
      </c>
      <c r="D1042" t="s">
        <v>3398</v>
      </c>
      <c r="E1042" s="1">
        <v>226.63000500000001</v>
      </c>
      <c r="F1042" s="1">
        <v>226.371002</v>
      </c>
      <c r="K1042" s="39">
        <f>DefaultValues!$B$4</f>
        <v>5</v>
      </c>
      <c r="L1042" s="1">
        <f>DefaultValues!$C$4</f>
        <v>0.5</v>
      </c>
      <c r="M1042" s="1" t="str">
        <f>DefaultValues!$D$4</f>
        <v xml:space="preserve">- Within interchange - </v>
      </c>
      <c r="N1042" s="1">
        <v>773.36999500000002</v>
      </c>
      <c r="O1042" s="1">
        <f>ABS(Table4[[#This Row],[EndMP]]-Table4[[#This Row],[StartMP]])</f>
        <v>0.25900300000000698</v>
      </c>
      <c r="P1042" s="1" t="str">
        <f>IF( AND( Table4[[#This Row],[Route]]=ClosureLocation!$B$3, ClosureLocation!$B$6 &gt;= Table4[[#This Row],[StartMP]], ClosureLocation!$B$6 &lt;= Table4[[#This Row],[EndMP]]), "Yes", "")</f>
        <v/>
      </c>
      <c r="Q1042" s="1" t="str">
        <f>IF( AND( Table4[[#This Row],[Route]]=ClosureLocation!$B$3, ClosureLocation!$B$6 &lt;= Table4[[#This Row],[StartMP]], ClosureLocation!$B$6 &gt;= Table4[[#This Row],[EndMP]]), "Yes", "")</f>
        <v/>
      </c>
      <c r="R1042" s="1" t="str">
        <f>IF( OR( Table4[[#This Row],[PrimaryMatch]]="Yes", Table4[[#This Row],[SecondaryMatch]]="Yes"), "Yes", "")</f>
        <v/>
      </c>
    </row>
    <row r="1043" spans="1:18" hidden="1" x14ac:dyDescent="0.25">
      <c r="A1043" t="s">
        <v>252</v>
      </c>
      <c r="B1043" t="s">
        <v>3209</v>
      </c>
      <c r="C1043" t="s">
        <v>3226</v>
      </c>
      <c r="D1043" t="s">
        <v>3398</v>
      </c>
      <c r="E1043" s="1">
        <v>212.96800200000001</v>
      </c>
      <c r="F1043" s="1">
        <v>212.70700099999999</v>
      </c>
      <c r="K1043" s="39">
        <f>DefaultValues!$B$4</f>
        <v>5</v>
      </c>
      <c r="L1043" s="1">
        <f>DefaultValues!$C$4</f>
        <v>0.5</v>
      </c>
      <c r="M1043" s="1" t="str">
        <f>DefaultValues!$D$4</f>
        <v xml:space="preserve">- Within interchange - </v>
      </c>
      <c r="N1043" s="1">
        <v>787.03198199999997</v>
      </c>
      <c r="O1043" s="1">
        <f>ABS(Table4[[#This Row],[EndMP]]-Table4[[#This Row],[StartMP]])</f>
        <v>0.26100100000002158</v>
      </c>
      <c r="P1043" s="1" t="str">
        <f>IF( AND( Table4[[#This Row],[Route]]=ClosureLocation!$B$3, ClosureLocation!$B$6 &gt;= Table4[[#This Row],[StartMP]], ClosureLocation!$B$6 &lt;= Table4[[#This Row],[EndMP]]), "Yes", "")</f>
        <v/>
      </c>
      <c r="Q1043" s="1" t="str">
        <f>IF( AND( Table4[[#This Row],[Route]]=ClosureLocation!$B$3, ClosureLocation!$B$6 &lt;= Table4[[#This Row],[StartMP]], ClosureLocation!$B$6 &gt;= Table4[[#This Row],[EndMP]]), "Yes", "")</f>
        <v/>
      </c>
      <c r="R1043" s="1" t="str">
        <f>IF( OR( Table4[[#This Row],[PrimaryMatch]]="Yes", Table4[[#This Row],[SecondaryMatch]]="Yes"), "Yes", "")</f>
        <v/>
      </c>
    </row>
    <row r="1044" spans="1:18" hidden="1" x14ac:dyDescent="0.25">
      <c r="A1044" t="s">
        <v>252</v>
      </c>
      <c r="B1044" t="s">
        <v>3209</v>
      </c>
      <c r="C1044" t="s">
        <v>3226</v>
      </c>
      <c r="D1044" t="s">
        <v>3398</v>
      </c>
      <c r="E1044" s="1">
        <v>143.5</v>
      </c>
      <c r="F1044" s="1">
        <v>143.39999399999999</v>
      </c>
      <c r="K1044" s="39">
        <f>DefaultValues!$B$4</f>
        <v>5</v>
      </c>
      <c r="L1044" s="1">
        <f>DefaultValues!$C$4</f>
        <v>0.5</v>
      </c>
      <c r="M1044" s="1" t="str">
        <f>DefaultValues!$D$4</f>
        <v xml:space="preserve">- Within interchange - </v>
      </c>
      <c r="N1044" s="1">
        <v>856.5</v>
      </c>
      <c r="O1044" s="1">
        <f>ABS(Table4[[#This Row],[EndMP]]-Table4[[#This Row],[StartMP]])</f>
        <v>0.10000600000000759</v>
      </c>
      <c r="P1044" s="1" t="str">
        <f>IF( AND( Table4[[#This Row],[Route]]=ClosureLocation!$B$3, ClosureLocation!$B$6 &gt;= Table4[[#This Row],[StartMP]], ClosureLocation!$B$6 &lt;= Table4[[#This Row],[EndMP]]), "Yes", "")</f>
        <v/>
      </c>
      <c r="Q1044" s="1" t="str">
        <f>IF( AND( Table4[[#This Row],[Route]]=ClosureLocation!$B$3, ClosureLocation!$B$6 &lt;= Table4[[#This Row],[StartMP]], ClosureLocation!$B$6 &gt;= Table4[[#This Row],[EndMP]]), "Yes", "")</f>
        <v/>
      </c>
      <c r="R1044" s="1" t="str">
        <f>IF( OR( Table4[[#This Row],[PrimaryMatch]]="Yes", Table4[[#This Row],[SecondaryMatch]]="Yes"), "Yes", "")</f>
        <v/>
      </c>
    </row>
    <row r="1045" spans="1:18" hidden="1" x14ac:dyDescent="0.25">
      <c r="A1045" t="s">
        <v>286</v>
      </c>
      <c r="B1045" t="s">
        <v>3205</v>
      </c>
      <c r="C1045" t="s">
        <v>3222</v>
      </c>
      <c r="D1045" t="s">
        <v>4654</v>
      </c>
      <c r="E1045" s="1">
        <v>2.7</v>
      </c>
      <c r="F1045" s="1">
        <v>2.8260000000000001</v>
      </c>
      <c r="K1045" s="39">
        <f>DefaultValues!$B$4</f>
        <v>5</v>
      </c>
      <c r="L1045" s="1">
        <f>DefaultValues!$C$4</f>
        <v>0.5</v>
      </c>
      <c r="M1045" s="1" t="str">
        <f>DefaultValues!$D$4</f>
        <v xml:space="preserve">- Within interchange - </v>
      </c>
      <c r="N1045" s="1">
        <v>2.7</v>
      </c>
      <c r="O1045" s="1">
        <f>ABS(Table4[[#This Row],[EndMP]]-Table4[[#This Row],[StartMP]])</f>
        <v>0.12599999999999989</v>
      </c>
      <c r="P1045" s="1" t="str">
        <f>IF( AND( Table4[[#This Row],[Route]]=ClosureLocation!$B$3, ClosureLocation!$B$6 &gt;= Table4[[#This Row],[StartMP]], ClosureLocation!$B$6 &lt;= Table4[[#This Row],[EndMP]]), "Yes", "")</f>
        <v/>
      </c>
      <c r="Q1045" s="1" t="str">
        <f>IF( AND( Table4[[#This Row],[Route]]=ClosureLocation!$B$3, ClosureLocation!$B$6 &lt;= Table4[[#This Row],[StartMP]], ClosureLocation!$B$6 &gt;= Table4[[#This Row],[EndMP]]), "Yes", "")</f>
        <v/>
      </c>
      <c r="R1045" s="1" t="str">
        <f>IF( OR( Table4[[#This Row],[PrimaryMatch]]="Yes", Table4[[#This Row],[SecondaryMatch]]="Yes"), "Yes", "")</f>
        <v/>
      </c>
    </row>
    <row r="1046" spans="1:18" hidden="1" x14ac:dyDescent="0.25">
      <c r="A1046" t="s">
        <v>286</v>
      </c>
      <c r="B1046" t="s">
        <v>3205</v>
      </c>
      <c r="C1046" t="s">
        <v>3222</v>
      </c>
      <c r="D1046" t="s">
        <v>4654</v>
      </c>
      <c r="E1046" s="1">
        <v>4.3079999999999998</v>
      </c>
      <c r="F1046" s="1">
        <v>4.3230000000000004</v>
      </c>
      <c r="K1046" s="39">
        <f>DefaultValues!$B$4</f>
        <v>5</v>
      </c>
      <c r="L1046" s="1">
        <f>DefaultValues!$C$4</f>
        <v>0.5</v>
      </c>
      <c r="M1046" s="1" t="str">
        <f>DefaultValues!$D$4</f>
        <v xml:space="preserve">- Within interchange - </v>
      </c>
      <c r="N1046" s="1">
        <v>4.3079999999999998</v>
      </c>
      <c r="O1046" s="1">
        <f>ABS(Table4[[#This Row],[EndMP]]-Table4[[#This Row],[StartMP]])</f>
        <v>1.5000000000000568E-2</v>
      </c>
      <c r="P1046" s="1" t="str">
        <f>IF( AND( Table4[[#This Row],[Route]]=ClosureLocation!$B$3, ClosureLocation!$B$6 &gt;= Table4[[#This Row],[StartMP]], ClosureLocation!$B$6 &lt;= Table4[[#This Row],[EndMP]]), "Yes", "")</f>
        <v/>
      </c>
      <c r="Q1046" s="1" t="str">
        <f>IF( AND( Table4[[#This Row],[Route]]=ClosureLocation!$B$3, ClosureLocation!$B$6 &lt;= Table4[[#This Row],[StartMP]], ClosureLocation!$B$6 &gt;= Table4[[#This Row],[EndMP]]), "Yes", "")</f>
        <v/>
      </c>
      <c r="R1046" s="1" t="str">
        <f>IF( OR( Table4[[#This Row],[PrimaryMatch]]="Yes", Table4[[#This Row],[SecondaryMatch]]="Yes"), "Yes", "")</f>
        <v/>
      </c>
    </row>
    <row r="1047" spans="1:18" hidden="1" x14ac:dyDescent="0.25">
      <c r="A1047" t="s">
        <v>286</v>
      </c>
      <c r="B1047" t="s">
        <v>3209</v>
      </c>
      <c r="C1047" t="s">
        <v>3226</v>
      </c>
      <c r="D1047" t="s">
        <v>4655</v>
      </c>
      <c r="E1047" s="1">
        <v>4.3230000000000004</v>
      </c>
      <c r="F1047" s="1">
        <v>4.3079999999999998</v>
      </c>
      <c r="K1047" s="39">
        <f>DefaultValues!$B$4</f>
        <v>5</v>
      </c>
      <c r="L1047" s="1">
        <f>DefaultValues!$C$4</f>
        <v>0.5</v>
      </c>
      <c r="M1047" s="1" t="str">
        <f>DefaultValues!$D$4</f>
        <v xml:space="preserve">- Within interchange - </v>
      </c>
      <c r="N1047" s="1">
        <v>995.67700200000002</v>
      </c>
      <c r="O1047" s="1">
        <f>ABS(Table4[[#This Row],[EndMP]]-Table4[[#This Row],[StartMP]])</f>
        <v>1.5000000000000568E-2</v>
      </c>
      <c r="P1047" s="1" t="str">
        <f>IF( AND( Table4[[#This Row],[Route]]=ClosureLocation!$B$3, ClosureLocation!$B$6 &gt;= Table4[[#This Row],[StartMP]], ClosureLocation!$B$6 &lt;= Table4[[#This Row],[EndMP]]), "Yes", "")</f>
        <v/>
      </c>
      <c r="Q1047" s="1" t="str">
        <f>IF( AND( Table4[[#This Row],[Route]]=ClosureLocation!$B$3, ClosureLocation!$B$6 &lt;= Table4[[#This Row],[StartMP]], ClosureLocation!$B$6 &gt;= Table4[[#This Row],[EndMP]]), "Yes", "")</f>
        <v/>
      </c>
      <c r="R1047" s="1" t="str">
        <f>IF( OR( Table4[[#This Row],[PrimaryMatch]]="Yes", Table4[[#This Row],[SecondaryMatch]]="Yes"), "Yes", "")</f>
        <v/>
      </c>
    </row>
    <row r="1048" spans="1:18" hidden="1" x14ac:dyDescent="0.25">
      <c r="A1048" t="s">
        <v>286</v>
      </c>
      <c r="B1048" t="s">
        <v>3209</v>
      </c>
      <c r="C1048" t="s">
        <v>3226</v>
      </c>
      <c r="D1048" t="s">
        <v>4655</v>
      </c>
      <c r="E1048" s="1">
        <v>2.8260000000000001</v>
      </c>
      <c r="F1048" s="1">
        <v>2.7</v>
      </c>
      <c r="K1048" s="39">
        <f>DefaultValues!$B$4</f>
        <v>5</v>
      </c>
      <c r="L1048" s="1">
        <f>DefaultValues!$C$4</f>
        <v>0.5</v>
      </c>
      <c r="M1048" s="1" t="str">
        <f>DefaultValues!$D$4</f>
        <v xml:space="preserve">- Within interchange - </v>
      </c>
      <c r="N1048" s="1">
        <v>997.17401099999995</v>
      </c>
      <c r="O1048" s="1">
        <f>ABS(Table4[[#This Row],[EndMP]]-Table4[[#This Row],[StartMP]])</f>
        <v>0.12599999999999989</v>
      </c>
      <c r="P1048" s="1" t="str">
        <f>IF( AND( Table4[[#This Row],[Route]]=ClosureLocation!$B$3, ClosureLocation!$B$6 &gt;= Table4[[#This Row],[StartMP]], ClosureLocation!$B$6 &lt;= Table4[[#This Row],[EndMP]]), "Yes", "")</f>
        <v/>
      </c>
      <c r="Q1048" s="1" t="str">
        <f>IF( AND( Table4[[#This Row],[Route]]=ClosureLocation!$B$3, ClosureLocation!$B$6 &lt;= Table4[[#This Row],[StartMP]], ClosureLocation!$B$6 &gt;= Table4[[#This Row],[EndMP]]), "Yes", "")</f>
        <v/>
      </c>
      <c r="R1048" s="1" t="str">
        <f>IF( OR( Table4[[#This Row],[PrimaryMatch]]="Yes", Table4[[#This Row],[SecondaryMatch]]="Yes"), "Yes", "")</f>
        <v/>
      </c>
    </row>
    <row r="1049" spans="1:18" hidden="1" x14ac:dyDescent="0.25">
      <c r="A1049" t="s">
        <v>289</v>
      </c>
      <c r="B1049" t="s">
        <v>3205</v>
      </c>
      <c r="C1049" t="s">
        <v>3222</v>
      </c>
      <c r="D1049" t="s">
        <v>3407</v>
      </c>
      <c r="E1049" s="1">
        <v>0.42799999999999999</v>
      </c>
      <c r="F1049" s="1">
        <v>0.54800000000000004</v>
      </c>
      <c r="K1049" s="39">
        <f>DefaultValues!$B$4</f>
        <v>5</v>
      </c>
      <c r="L1049" s="1">
        <f>DefaultValues!$C$4</f>
        <v>0.5</v>
      </c>
      <c r="M1049" s="1" t="str">
        <f>DefaultValues!$D$4</f>
        <v xml:space="preserve">- Within interchange - </v>
      </c>
      <c r="N1049" s="1">
        <v>0.42799999999999999</v>
      </c>
      <c r="O1049" s="1">
        <f>ABS(Table4[[#This Row],[EndMP]]-Table4[[#This Row],[StartMP]])</f>
        <v>0.12000000000000005</v>
      </c>
      <c r="P1049" s="1" t="str">
        <f>IF( AND( Table4[[#This Row],[Route]]=ClosureLocation!$B$3, ClosureLocation!$B$6 &gt;= Table4[[#This Row],[StartMP]], ClosureLocation!$B$6 &lt;= Table4[[#This Row],[EndMP]]), "Yes", "")</f>
        <v/>
      </c>
      <c r="Q1049" s="1" t="str">
        <f>IF( AND( Table4[[#This Row],[Route]]=ClosureLocation!$B$3, ClosureLocation!$B$6 &lt;= Table4[[#This Row],[StartMP]], ClosureLocation!$B$6 &gt;= Table4[[#This Row],[EndMP]]), "Yes", "")</f>
        <v/>
      </c>
      <c r="R1049" s="1" t="str">
        <f>IF( OR( Table4[[#This Row],[PrimaryMatch]]="Yes", Table4[[#This Row],[SecondaryMatch]]="Yes"), "Yes", "")</f>
        <v/>
      </c>
    </row>
    <row r="1050" spans="1:18" hidden="1" x14ac:dyDescent="0.25">
      <c r="A1050" t="s">
        <v>289</v>
      </c>
      <c r="B1050" t="s">
        <v>3209</v>
      </c>
      <c r="C1050" t="s">
        <v>3226</v>
      </c>
      <c r="D1050" t="s">
        <v>3409</v>
      </c>
      <c r="E1050" s="1">
        <v>0.54800000000000004</v>
      </c>
      <c r="F1050" s="1">
        <v>0.42799999999999999</v>
      </c>
      <c r="K1050" s="39">
        <f>DefaultValues!$B$4</f>
        <v>5</v>
      </c>
      <c r="L1050" s="1">
        <f>DefaultValues!$C$4</f>
        <v>0.5</v>
      </c>
      <c r="M1050" s="1" t="str">
        <f>DefaultValues!$D$4</f>
        <v xml:space="preserve">- Within interchange - </v>
      </c>
      <c r="N1050" s="1">
        <v>999.45202600000005</v>
      </c>
      <c r="O1050" s="1">
        <f>ABS(Table4[[#This Row],[EndMP]]-Table4[[#This Row],[StartMP]])</f>
        <v>0.12000000000000005</v>
      </c>
      <c r="P1050" s="1" t="str">
        <f>IF( AND( Table4[[#This Row],[Route]]=ClosureLocation!$B$3, ClosureLocation!$B$6 &gt;= Table4[[#This Row],[StartMP]], ClosureLocation!$B$6 &lt;= Table4[[#This Row],[EndMP]]), "Yes", "")</f>
        <v/>
      </c>
      <c r="Q1050" s="1" t="str">
        <f>IF( AND( Table4[[#This Row],[Route]]=ClosureLocation!$B$3, ClosureLocation!$B$6 &lt;= Table4[[#This Row],[StartMP]], ClosureLocation!$B$6 &gt;= Table4[[#This Row],[EndMP]]), "Yes", "")</f>
        <v/>
      </c>
      <c r="R1050" s="1" t="str">
        <f>IF( OR( Table4[[#This Row],[PrimaryMatch]]="Yes", Table4[[#This Row],[SecondaryMatch]]="Yes"), "Yes", "")</f>
        <v/>
      </c>
    </row>
    <row r="1051" spans="1:18" hidden="1" x14ac:dyDescent="0.25">
      <c r="A1051" t="s">
        <v>292</v>
      </c>
      <c r="B1051" t="s">
        <v>3205</v>
      </c>
      <c r="C1051" t="s">
        <v>3222</v>
      </c>
      <c r="D1051" t="s">
        <v>3411</v>
      </c>
      <c r="E1051" s="1">
        <v>310.87799100000001</v>
      </c>
      <c r="F1051" s="1">
        <v>310.983002</v>
      </c>
      <c r="K1051" s="39">
        <f>DefaultValues!$B$4</f>
        <v>5</v>
      </c>
      <c r="L1051" s="1">
        <f>DefaultValues!$C$4</f>
        <v>0.5</v>
      </c>
      <c r="M1051" s="1" t="str">
        <f>DefaultValues!$D$4</f>
        <v xml:space="preserve">- Within interchange - </v>
      </c>
      <c r="N1051" s="1">
        <v>310.87799100000001</v>
      </c>
      <c r="O1051" s="1">
        <f>ABS(Table4[[#This Row],[EndMP]]-Table4[[#This Row],[StartMP]])</f>
        <v>0.10501099999999042</v>
      </c>
      <c r="P1051" s="1" t="str">
        <f>IF( AND( Table4[[#This Row],[Route]]=ClosureLocation!$B$3, ClosureLocation!$B$6 &gt;= Table4[[#This Row],[StartMP]], ClosureLocation!$B$6 &lt;= Table4[[#This Row],[EndMP]]), "Yes", "")</f>
        <v/>
      </c>
      <c r="Q1051" s="1" t="str">
        <f>IF( AND( Table4[[#This Row],[Route]]=ClosureLocation!$B$3, ClosureLocation!$B$6 &lt;= Table4[[#This Row],[StartMP]], ClosureLocation!$B$6 &gt;= Table4[[#This Row],[EndMP]]), "Yes", "")</f>
        <v/>
      </c>
      <c r="R1051" s="1" t="str">
        <f>IF( OR( Table4[[#This Row],[PrimaryMatch]]="Yes", Table4[[#This Row],[SecondaryMatch]]="Yes"), "Yes", "")</f>
        <v/>
      </c>
    </row>
    <row r="1052" spans="1:18" hidden="1" x14ac:dyDescent="0.25">
      <c r="A1052" t="s">
        <v>292</v>
      </c>
      <c r="B1052" t="s">
        <v>3205</v>
      </c>
      <c r="C1052" t="s">
        <v>3222</v>
      </c>
      <c r="D1052" t="s">
        <v>3411</v>
      </c>
      <c r="E1052" s="1">
        <v>311.53799400000003</v>
      </c>
      <c r="F1052" s="1">
        <v>312</v>
      </c>
      <c r="K1052" s="39">
        <f>DefaultValues!$B$4</f>
        <v>5</v>
      </c>
      <c r="L1052" s="1">
        <f>DefaultValues!$C$4</f>
        <v>0.5</v>
      </c>
      <c r="M1052" s="1" t="str">
        <f>DefaultValues!$D$4</f>
        <v xml:space="preserve">- Within interchange - </v>
      </c>
      <c r="N1052" s="1">
        <v>311.53799400000003</v>
      </c>
      <c r="O1052" s="1">
        <f>ABS(Table4[[#This Row],[EndMP]]-Table4[[#This Row],[StartMP]])</f>
        <v>0.46200599999997394</v>
      </c>
      <c r="P1052" s="1" t="str">
        <f>IF( AND( Table4[[#This Row],[Route]]=ClosureLocation!$B$3, ClosureLocation!$B$6 &gt;= Table4[[#This Row],[StartMP]], ClosureLocation!$B$6 &lt;= Table4[[#This Row],[EndMP]]), "Yes", "")</f>
        <v/>
      </c>
      <c r="Q1052" s="1" t="str">
        <f>IF( AND( Table4[[#This Row],[Route]]=ClosureLocation!$B$3, ClosureLocation!$B$6 &lt;= Table4[[#This Row],[StartMP]], ClosureLocation!$B$6 &gt;= Table4[[#This Row],[EndMP]]), "Yes", "")</f>
        <v/>
      </c>
      <c r="R1052" s="1" t="str">
        <f>IF( OR( Table4[[#This Row],[PrimaryMatch]]="Yes", Table4[[#This Row],[SecondaryMatch]]="Yes"), "Yes", "")</f>
        <v/>
      </c>
    </row>
    <row r="1053" spans="1:18" hidden="1" x14ac:dyDescent="0.25">
      <c r="A1053" t="s">
        <v>292</v>
      </c>
      <c r="B1053" t="s">
        <v>3205</v>
      </c>
      <c r="C1053" t="s">
        <v>3222</v>
      </c>
      <c r="D1053" t="s">
        <v>3411</v>
      </c>
      <c r="E1053" s="1">
        <v>379.10000600000001</v>
      </c>
      <c r="F1053" s="1">
        <v>379.38299599999999</v>
      </c>
      <c r="K1053" s="39">
        <f>DefaultValues!$B$4</f>
        <v>5</v>
      </c>
      <c r="L1053" s="1">
        <f>DefaultValues!$C$4</f>
        <v>0.5</v>
      </c>
      <c r="M1053" s="1" t="str">
        <f>DefaultValues!$D$4</f>
        <v xml:space="preserve">- Within interchange - </v>
      </c>
      <c r="N1053" s="1">
        <v>379.10000600000001</v>
      </c>
      <c r="O1053" s="1">
        <f>ABS(Table4[[#This Row],[EndMP]]-Table4[[#This Row],[StartMP]])</f>
        <v>0.28298999999998387</v>
      </c>
      <c r="P1053" s="1" t="str">
        <f>IF( AND( Table4[[#This Row],[Route]]=ClosureLocation!$B$3, ClosureLocation!$B$6 &gt;= Table4[[#This Row],[StartMP]], ClosureLocation!$B$6 &lt;= Table4[[#This Row],[EndMP]]), "Yes", "")</f>
        <v/>
      </c>
      <c r="Q1053" s="1" t="str">
        <f>IF( AND( Table4[[#This Row],[Route]]=ClosureLocation!$B$3, ClosureLocation!$B$6 &lt;= Table4[[#This Row],[StartMP]], ClosureLocation!$B$6 &gt;= Table4[[#This Row],[EndMP]]), "Yes", "")</f>
        <v/>
      </c>
      <c r="R1053" s="1" t="str">
        <f>IF( OR( Table4[[#This Row],[PrimaryMatch]]="Yes", Table4[[#This Row],[SecondaryMatch]]="Yes"), "Yes", "")</f>
        <v/>
      </c>
    </row>
    <row r="1054" spans="1:18" hidden="1" x14ac:dyDescent="0.25">
      <c r="A1054" t="s">
        <v>292</v>
      </c>
      <c r="B1054" t="s">
        <v>3209</v>
      </c>
      <c r="C1054" t="s">
        <v>3226</v>
      </c>
      <c r="D1054" t="s">
        <v>3415</v>
      </c>
      <c r="E1054" s="1">
        <v>379.38299599999999</v>
      </c>
      <c r="F1054" s="1">
        <v>379.10000600000001</v>
      </c>
      <c r="K1054" s="39">
        <f>DefaultValues!$B$4</f>
        <v>5</v>
      </c>
      <c r="L1054" s="1">
        <f>DefaultValues!$C$4</f>
        <v>0.5</v>
      </c>
      <c r="M1054" s="1" t="str">
        <f>DefaultValues!$D$4</f>
        <v xml:space="preserve">- Within interchange - </v>
      </c>
      <c r="N1054" s="1">
        <v>620.61700399999995</v>
      </c>
      <c r="O1054" s="1">
        <f>ABS(Table4[[#This Row],[EndMP]]-Table4[[#This Row],[StartMP]])</f>
        <v>0.28298999999998387</v>
      </c>
      <c r="P1054" s="1" t="str">
        <f>IF( AND( Table4[[#This Row],[Route]]=ClosureLocation!$B$3, ClosureLocation!$B$6 &gt;= Table4[[#This Row],[StartMP]], ClosureLocation!$B$6 &lt;= Table4[[#This Row],[EndMP]]), "Yes", "")</f>
        <v/>
      </c>
      <c r="Q1054" s="1" t="str">
        <f>IF( AND( Table4[[#This Row],[Route]]=ClosureLocation!$B$3, ClosureLocation!$B$6 &lt;= Table4[[#This Row],[StartMP]], ClosureLocation!$B$6 &gt;= Table4[[#This Row],[EndMP]]), "Yes", "")</f>
        <v/>
      </c>
      <c r="R1054" s="1" t="str">
        <f>IF( OR( Table4[[#This Row],[PrimaryMatch]]="Yes", Table4[[#This Row],[SecondaryMatch]]="Yes"), "Yes", "")</f>
        <v/>
      </c>
    </row>
    <row r="1055" spans="1:18" hidden="1" x14ac:dyDescent="0.25">
      <c r="A1055" t="s">
        <v>292</v>
      </c>
      <c r="B1055" t="s">
        <v>3209</v>
      </c>
      <c r="C1055" t="s">
        <v>3226</v>
      </c>
      <c r="D1055" t="s">
        <v>3415</v>
      </c>
      <c r="E1055" s="1">
        <v>312</v>
      </c>
      <c r="F1055" s="1">
        <v>311.53799400000003</v>
      </c>
      <c r="K1055" s="39">
        <f>DefaultValues!$B$4</f>
        <v>5</v>
      </c>
      <c r="L1055" s="1">
        <f>DefaultValues!$C$4</f>
        <v>0.5</v>
      </c>
      <c r="M1055" s="1" t="str">
        <f>DefaultValues!$D$4</f>
        <v xml:space="preserve">- Within interchange - </v>
      </c>
      <c r="N1055" s="1">
        <v>688</v>
      </c>
      <c r="O1055" s="1">
        <f>ABS(Table4[[#This Row],[EndMP]]-Table4[[#This Row],[StartMP]])</f>
        <v>0.46200599999997394</v>
      </c>
      <c r="P1055" s="1" t="str">
        <f>IF( AND( Table4[[#This Row],[Route]]=ClosureLocation!$B$3, ClosureLocation!$B$6 &gt;= Table4[[#This Row],[StartMP]], ClosureLocation!$B$6 &lt;= Table4[[#This Row],[EndMP]]), "Yes", "")</f>
        <v/>
      </c>
      <c r="Q1055" s="1" t="str">
        <f>IF( AND( Table4[[#This Row],[Route]]=ClosureLocation!$B$3, ClosureLocation!$B$6 &lt;= Table4[[#This Row],[StartMP]], ClosureLocation!$B$6 &gt;= Table4[[#This Row],[EndMP]]), "Yes", "")</f>
        <v/>
      </c>
      <c r="R1055" s="1" t="str">
        <f>IF( OR( Table4[[#This Row],[PrimaryMatch]]="Yes", Table4[[#This Row],[SecondaryMatch]]="Yes"), "Yes", "")</f>
        <v/>
      </c>
    </row>
    <row r="1056" spans="1:18" hidden="1" x14ac:dyDescent="0.25">
      <c r="A1056" t="s">
        <v>292</v>
      </c>
      <c r="B1056" t="s">
        <v>3209</v>
      </c>
      <c r="C1056" t="s">
        <v>3226</v>
      </c>
      <c r="D1056" t="s">
        <v>3415</v>
      </c>
      <c r="E1056" s="1">
        <v>310.983002</v>
      </c>
      <c r="F1056" s="1">
        <v>310.87799100000001</v>
      </c>
      <c r="K1056" s="39">
        <f>DefaultValues!$B$4</f>
        <v>5</v>
      </c>
      <c r="L1056" s="1">
        <f>DefaultValues!$C$4</f>
        <v>0.5</v>
      </c>
      <c r="M1056" s="1" t="str">
        <f>DefaultValues!$D$4</f>
        <v xml:space="preserve">- Within interchange - </v>
      </c>
      <c r="N1056" s="1">
        <v>689.01702899999998</v>
      </c>
      <c r="O1056" s="1">
        <f>ABS(Table4[[#This Row],[EndMP]]-Table4[[#This Row],[StartMP]])</f>
        <v>0.10501099999999042</v>
      </c>
      <c r="P1056" s="1" t="str">
        <f>IF( AND( Table4[[#This Row],[Route]]=ClosureLocation!$B$3, ClosureLocation!$B$6 &gt;= Table4[[#This Row],[StartMP]], ClosureLocation!$B$6 &lt;= Table4[[#This Row],[EndMP]]), "Yes", "")</f>
        <v/>
      </c>
      <c r="Q1056" s="1" t="str">
        <f>IF( AND( Table4[[#This Row],[Route]]=ClosureLocation!$B$3, ClosureLocation!$B$6 &lt;= Table4[[#This Row],[StartMP]], ClosureLocation!$B$6 &gt;= Table4[[#This Row],[EndMP]]), "Yes", "")</f>
        <v/>
      </c>
      <c r="R1056" s="1" t="str">
        <f>IF( OR( Table4[[#This Row],[PrimaryMatch]]="Yes", Table4[[#This Row],[SecondaryMatch]]="Yes"), "Yes", "")</f>
        <v/>
      </c>
    </row>
    <row r="1057" spans="1:18" hidden="1" x14ac:dyDescent="0.25">
      <c r="A1057" t="s">
        <v>304</v>
      </c>
      <c r="B1057" t="s">
        <v>3205</v>
      </c>
      <c r="C1057" t="s">
        <v>3222</v>
      </c>
      <c r="D1057" t="s">
        <v>3419</v>
      </c>
      <c r="E1057" s="1">
        <v>303.41198700000001</v>
      </c>
      <c r="F1057" s="1">
        <v>304.12200899999999</v>
      </c>
      <c r="K1057" s="39">
        <f>DefaultValues!$B$4</f>
        <v>5</v>
      </c>
      <c r="L1057" s="1">
        <f>DefaultValues!$C$4</f>
        <v>0.5</v>
      </c>
      <c r="M1057" s="1" t="str">
        <f>DefaultValues!$D$4</f>
        <v xml:space="preserve">- Within interchange - </v>
      </c>
      <c r="N1057" s="1">
        <v>303.41198700000001</v>
      </c>
      <c r="O1057" s="1">
        <f>ABS(Table4[[#This Row],[EndMP]]-Table4[[#This Row],[StartMP]])</f>
        <v>0.71002199999998084</v>
      </c>
      <c r="P1057" s="1" t="str">
        <f>IF( AND( Table4[[#This Row],[Route]]=ClosureLocation!$B$3, ClosureLocation!$B$6 &gt;= Table4[[#This Row],[StartMP]], ClosureLocation!$B$6 &lt;= Table4[[#This Row],[EndMP]]), "Yes", "")</f>
        <v/>
      </c>
      <c r="Q1057" s="1" t="str">
        <f>IF( AND( Table4[[#This Row],[Route]]=ClosureLocation!$B$3, ClosureLocation!$B$6 &lt;= Table4[[#This Row],[StartMP]], ClosureLocation!$B$6 &gt;= Table4[[#This Row],[EndMP]]), "Yes", "")</f>
        <v/>
      </c>
      <c r="R1057" s="1" t="str">
        <f>IF( OR( Table4[[#This Row],[PrimaryMatch]]="Yes", Table4[[#This Row],[SecondaryMatch]]="Yes"), "Yes", "")</f>
        <v/>
      </c>
    </row>
    <row r="1058" spans="1:18" hidden="1" x14ac:dyDescent="0.25">
      <c r="A1058" t="s">
        <v>304</v>
      </c>
      <c r="B1058" t="s">
        <v>3205</v>
      </c>
      <c r="C1058" t="s">
        <v>3222</v>
      </c>
      <c r="D1058" t="s">
        <v>3419</v>
      </c>
      <c r="E1058" s="1">
        <v>304.48400900000001</v>
      </c>
      <c r="F1058" s="1">
        <v>304.94000199999999</v>
      </c>
      <c r="K1058" s="39">
        <f>DefaultValues!$B$4</f>
        <v>5</v>
      </c>
      <c r="L1058" s="1">
        <f>DefaultValues!$C$4</f>
        <v>0.5</v>
      </c>
      <c r="M1058" s="1" t="str">
        <f>DefaultValues!$D$4</f>
        <v xml:space="preserve">- Within interchange - </v>
      </c>
      <c r="N1058" s="1">
        <v>304.48400900000001</v>
      </c>
      <c r="O1058" s="1">
        <f>ABS(Table4[[#This Row],[EndMP]]-Table4[[#This Row],[StartMP]])</f>
        <v>0.45599299999997811</v>
      </c>
      <c r="P1058" s="1" t="str">
        <f>IF( AND( Table4[[#This Row],[Route]]=ClosureLocation!$B$3, ClosureLocation!$B$6 &gt;= Table4[[#This Row],[StartMP]], ClosureLocation!$B$6 &lt;= Table4[[#This Row],[EndMP]]), "Yes", "")</f>
        <v/>
      </c>
      <c r="Q1058" s="1" t="str">
        <f>IF( AND( Table4[[#This Row],[Route]]=ClosureLocation!$B$3, ClosureLocation!$B$6 &lt;= Table4[[#This Row],[StartMP]], ClosureLocation!$B$6 &gt;= Table4[[#This Row],[EndMP]]), "Yes", "")</f>
        <v/>
      </c>
      <c r="R1058" s="1" t="str">
        <f>IF( OR( Table4[[#This Row],[PrimaryMatch]]="Yes", Table4[[#This Row],[SecondaryMatch]]="Yes"), "Yes", "")</f>
        <v/>
      </c>
    </row>
    <row r="1059" spans="1:18" hidden="1" x14ac:dyDescent="0.25">
      <c r="A1059" t="s">
        <v>304</v>
      </c>
      <c r="B1059" t="s">
        <v>3205</v>
      </c>
      <c r="C1059" t="s">
        <v>3222</v>
      </c>
      <c r="D1059" t="s">
        <v>3419</v>
      </c>
      <c r="E1059" s="1">
        <v>310.42199699999998</v>
      </c>
      <c r="F1059" s="1">
        <v>310.87799100000001</v>
      </c>
      <c r="K1059" s="39">
        <f>DefaultValues!$B$4</f>
        <v>5</v>
      </c>
      <c r="L1059" s="1">
        <f>DefaultValues!$C$4</f>
        <v>0.5</v>
      </c>
      <c r="M1059" s="1" t="str">
        <f>DefaultValues!$D$4</f>
        <v xml:space="preserve">- Within interchange - </v>
      </c>
      <c r="N1059" s="1">
        <v>310.42199699999998</v>
      </c>
      <c r="O1059" s="1">
        <f>ABS(Table4[[#This Row],[EndMP]]-Table4[[#This Row],[StartMP]])</f>
        <v>0.45599400000003243</v>
      </c>
      <c r="P1059" s="1" t="str">
        <f>IF( AND( Table4[[#This Row],[Route]]=ClosureLocation!$B$3, ClosureLocation!$B$6 &gt;= Table4[[#This Row],[StartMP]], ClosureLocation!$B$6 &lt;= Table4[[#This Row],[EndMP]]), "Yes", "")</f>
        <v/>
      </c>
      <c r="Q1059" s="1" t="str">
        <f>IF( AND( Table4[[#This Row],[Route]]=ClosureLocation!$B$3, ClosureLocation!$B$6 &lt;= Table4[[#This Row],[StartMP]], ClosureLocation!$B$6 &gt;= Table4[[#This Row],[EndMP]]), "Yes", "")</f>
        <v/>
      </c>
      <c r="R1059" s="1" t="str">
        <f>IF( OR( Table4[[#This Row],[PrimaryMatch]]="Yes", Table4[[#This Row],[SecondaryMatch]]="Yes"), "Yes", "")</f>
        <v/>
      </c>
    </row>
    <row r="1060" spans="1:18" hidden="1" x14ac:dyDescent="0.25">
      <c r="A1060" t="s">
        <v>304</v>
      </c>
      <c r="B1060" t="s">
        <v>3209</v>
      </c>
      <c r="C1060" t="s">
        <v>3226</v>
      </c>
      <c r="D1060" t="s">
        <v>3422</v>
      </c>
      <c r="E1060" s="1">
        <v>310.87799100000001</v>
      </c>
      <c r="F1060" s="1">
        <v>310.42199699999998</v>
      </c>
      <c r="K1060" s="39">
        <f>DefaultValues!$B$4</f>
        <v>5</v>
      </c>
      <c r="L1060" s="1">
        <f>DefaultValues!$C$4</f>
        <v>0.5</v>
      </c>
      <c r="M1060" s="1" t="str">
        <f>DefaultValues!$D$4</f>
        <v xml:space="preserve">- Within interchange - </v>
      </c>
      <c r="N1060" s="1">
        <v>689.12200900000005</v>
      </c>
      <c r="O1060" s="1">
        <f>ABS(Table4[[#This Row],[EndMP]]-Table4[[#This Row],[StartMP]])</f>
        <v>0.45599400000003243</v>
      </c>
      <c r="P1060" s="1" t="str">
        <f>IF( AND( Table4[[#This Row],[Route]]=ClosureLocation!$B$3, ClosureLocation!$B$6 &gt;= Table4[[#This Row],[StartMP]], ClosureLocation!$B$6 &lt;= Table4[[#This Row],[EndMP]]), "Yes", "")</f>
        <v/>
      </c>
      <c r="Q1060" s="1" t="str">
        <f>IF( AND( Table4[[#This Row],[Route]]=ClosureLocation!$B$3, ClosureLocation!$B$6 &lt;= Table4[[#This Row],[StartMP]], ClosureLocation!$B$6 &gt;= Table4[[#This Row],[EndMP]]), "Yes", "")</f>
        <v/>
      </c>
      <c r="R1060" s="1" t="str">
        <f>IF( OR( Table4[[#This Row],[PrimaryMatch]]="Yes", Table4[[#This Row],[SecondaryMatch]]="Yes"), "Yes", "")</f>
        <v/>
      </c>
    </row>
    <row r="1061" spans="1:18" hidden="1" x14ac:dyDescent="0.25">
      <c r="A1061" t="s">
        <v>304</v>
      </c>
      <c r="B1061" t="s">
        <v>3209</v>
      </c>
      <c r="C1061" t="s">
        <v>3226</v>
      </c>
      <c r="D1061" t="s">
        <v>3422</v>
      </c>
      <c r="E1061" s="1">
        <v>304.94000199999999</v>
      </c>
      <c r="F1061" s="1">
        <v>304.48400900000001</v>
      </c>
      <c r="K1061" s="39">
        <f>DefaultValues!$B$4</f>
        <v>5</v>
      </c>
      <c r="L1061" s="1">
        <f>DefaultValues!$C$4</f>
        <v>0.5</v>
      </c>
      <c r="M1061" s="1" t="str">
        <f>DefaultValues!$D$4</f>
        <v xml:space="preserve">- Within interchange - </v>
      </c>
      <c r="N1061" s="1">
        <v>695.05999799999995</v>
      </c>
      <c r="O1061" s="1">
        <f>ABS(Table4[[#This Row],[EndMP]]-Table4[[#This Row],[StartMP]])</f>
        <v>0.45599299999997811</v>
      </c>
      <c r="P1061" s="1" t="str">
        <f>IF( AND( Table4[[#This Row],[Route]]=ClosureLocation!$B$3, ClosureLocation!$B$6 &gt;= Table4[[#This Row],[StartMP]], ClosureLocation!$B$6 &lt;= Table4[[#This Row],[EndMP]]), "Yes", "")</f>
        <v/>
      </c>
      <c r="Q1061" s="1" t="str">
        <f>IF( AND( Table4[[#This Row],[Route]]=ClosureLocation!$B$3, ClosureLocation!$B$6 &lt;= Table4[[#This Row],[StartMP]], ClosureLocation!$B$6 &gt;= Table4[[#This Row],[EndMP]]), "Yes", "")</f>
        <v/>
      </c>
      <c r="R1061" s="1" t="str">
        <f>IF( OR( Table4[[#This Row],[PrimaryMatch]]="Yes", Table4[[#This Row],[SecondaryMatch]]="Yes"), "Yes", "")</f>
        <v/>
      </c>
    </row>
    <row r="1062" spans="1:18" hidden="1" x14ac:dyDescent="0.25">
      <c r="A1062" t="s">
        <v>304</v>
      </c>
      <c r="B1062" t="s">
        <v>3209</v>
      </c>
      <c r="C1062" t="s">
        <v>3226</v>
      </c>
      <c r="D1062" t="s">
        <v>3422</v>
      </c>
      <c r="E1062" s="1">
        <v>304.12200899999999</v>
      </c>
      <c r="F1062" s="1">
        <v>303.92498799999998</v>
      </c>
      <c r="K1062" s="39">
        <f>DefaultValues!$B$4</f>
        <v>5</v>
      </c>
      <c r="L1062" s="1">
        <f>DefaultValues!$C$4</f>
        <v>0.5</v>
      </c>
      <c r="M1062" s="1" t="str">
        <f>DefaultValues!$D$4</f>
        <v xml:space="preserve">- Within interchange - </v>
      </c>
      <c r="N1062" s="1">
        <v>695.87799099999995</v>
      </c>
      <c r="O1062" s="1">
        <f>ABS(Table4[[#This Row],[EndMP]]-Table4[[#This Row],[StartMP]])</f>
        <v>0.19702100000000655</v>
      </c>
      <c r="P1062" s="1" t="str">
        <f>IF( AND( Table4[[#This Row],[Route]]=ClosureLocation!$B$3, ClosureLocation!$B$6 &gt;= Table4[[#This Row],[StartMP]], ClosureLocation!$B$6 &lt;= Table4[[#This Row],[EndMP]]), "Yes", "")</f>
        <v/>
      </c>
      <c r="Q1062" s="1" t="str">
        <f>IF( AND( Table4[[#This Row],[Route]]=ClosureLocation!$B$3, ClosureLocation!$B$6 &lt;= Table4[[#This Row],[StartMP]], ClosureLocation!$B$6 &gt;= Table4[[#This Row],[EndMP]]), "Yes", "")</f>
        <v/>
      </c>
      <c r="R1062" s="1" t="str">
        <f>IF( OR( Table4[[#This Row],[PrimaryMatch]]="Yes", Table4[[#This Row],[SecondaryMatch]]="Yes"), "Yes", "")</f>
        <v/>
      </c>
    </row>
    <row r="1063" spans="1:18" hidden="1" x14ac:dyDescent="0.25">
      <c r="A1063" t="s">
        <v>310</v>
      </c>
      <c r="B1063" t="s">
        <v>3205</v>
      </c>
      <c r="C1063" t="s">
        <v>3206</v>
      </c>
      <c r="D1063" t="s">
        <v>3427</v>
      </c>
      <c r="E1063" s="1">
        <v>2.2330000000000001</v>
      </c>
      <c r="F1063" s="1">
        <v>2.302</v>
      </c>
      <c r="K1063" s="39">
        <f>DefaultValues!$B$4</f>
        <v>5</v>
      </c>
      <c r="L1063" s="1">
        <f>DefaultValues!$C$4</f>
        <v>0.5</v>
      </c>
      <c r="M1063" s="1" t="str">
        <f>DefaultValues!$D$4</f>
        <v xml:space="preserve">- Within interchange - </v>
      </c>
      <c r="N1063" s="1">
        <v>2.2330000000000001</v>
      </c>
      <c r="O1063" s="1">
        <f>ABS(Table4[[#This Row],[EndMP]]-Table4[[#This Row],[StartMP]])</f>
        <v>6.899999999999995E-2</v>
      </c>
      <c r="P1063" s="1" t="str">
        <f>IF( AND( Table4[[#This Row],[Route]]=ClosureLocation!$B$3, ClosureLocation!$B$6 &gt;= Table4[[#This Row],[StartMP]], ClosureLocation!$B$6 &lt;= Table4[[#This Row],[EndMP]]), "Yes", "")</f>
        <v/>
      </c>
      <c r="Q1063" s="1" t="str">
        <f>IF( AND( Table4[[#This Row],[Route]]=ClosureLocation!$B$3, ClosureLocation!$B$6 &lt;= Table4[[#This Row],[StartMP]], ClosureLocation!$B$6 &gt;= Table4[[#This Row],[EndMP]]), "Yes", "")</f>
        <v/>
      </c>
      <c r="R1063" s="1" t="str">
        <f>IF( OR( Table4[[#This Row],[PrimaryMatch]]="Yes", Table4[[#This Row],[SecondaryMatch]]="Yes"), "Yes", "")</f>
        <v/>
      </c>
    </row>
    <row r="1064" spans="1:18" hidden="1" x14ac:dyDescent="0.25">
      <c r="A1064" t="s">
        <v>310</v>
      </c>
      <c r="B1064" t="s">
        <v>3205</v>
      </c>
      <c r="C1064" t="s">
        <v>3206</v>
      </c>
      <c r="D1064" t="s">
        <v>3427</v>
      </c>
      <c r="E1064" s="1">
        <v>5.55</v>
      </c>
      <c r="F1064" s="1">
        <v>5.57</v>
      </c>
      <c r="K1064" s="39">
        <f>DefaultValues!$B$4</f>
        <v>5</v>
      </c>
      <c r="L1064" s="1">
        <f>DefaultValues!$C$4</f>
        <v>0.5</v>
      </c>
      <c r="M1064" s="1" t="str">
        <f>DefaultValues!$D$4</f>
        <v xml:space="preserve">- Within interchange - </v>
      </c>
      <c r="N1064" s="1">
        <v>5.55</v>
      </c>
      <c r="O1064" s="1">
        <f>ABS(Table4[[#This Row],[EndMP]]-Table4[[#This Row],[StartMP]])</f>
        <v>2.0000000000000462E-2</v>
      </c>
      <c r="P1064" s="1" t="str">
        <f>IF( AND( Table4[[#This Row],[Route]]=ClosureLocation!$B$3, ClosureLocation!$B$6 &gt;= Table4[[#This Row],[StartMP]], ClosureLocation!$B$6 &lt;= Table4[[#This Row],[EndMP]]), "Yes", "")</f>
        <v/>
      </c>
      <c r="Q1064" s="1" t="str">
        <f>IF( AND( Table4[[#This Row],[Route]]=ClosureLocation!$B$3, ClosureLocation!$B$6 &lt;= Table4[[#This Row],[StartMP]], ClosureLocation!$B$6 &gt;= Table4[[#This Row],[EndMP]]), "Yes", "")</f>
        <v/>
      </c>
      <c r="R1064" s="1" t="str">
        <f>IF( OR( Table4[[#This Row],[PrimaryMatch]]="Yes", Table4[[#This Row],[SecondaryMatch]]="Yes"), "Yes", "")</f>
        <v/>
      </c>
    </row>
    <row r="1065" spans="1:18" hidden="1" x14ac:dyDescent="0.25">
      <c r="A1065" t="s">
        <v>310</v>
      </c>
      <c r="B1065" t="s">
        <v>3205</v>
      </c>
      <c r="C1065" t="s">
        <v>3206</v>
      </c>
      <c r="D1065" t="s">
        <v>3427</v>
      </c>
      <c r="E1065" s="1">
        <v>7.609</v>
      </c>
      <c r="F1065" s="1">
        <v>7.6120000000000001</v>
      </c>
      <c r="K1065" s="39">
        <f>DefaultValues!$B$4</f>
        <v>5</v>
      </c>
      <c r="L1065" s="1">
        <f>DefaultValues!$C$4</f>
        <v>0.5</v>
      </c>
      <c r="M1065" s="1" t="str">
        <f>DefaultValues!$D$4</f>
        <v xml:space="preserve">- Within interchange - </v>
      </c>
      <c r="N1065" s="1">
        <v>7.609</v>
      </c>
      <c r="O1065" s="1">
        <f>ABS(Table4[[#This Row],[EndMP]]-Table4[[#This Row],[StartMP]])</f>
        <v>3.0000000000001137E-3</v>
      </c>
      <c r="P1065" s="1" t="str">
        <f>IF( AND( Table4[[#This Row],[Route]]=ClosureLocation!$B$3, ClosureLocation!$B$6 &gt;= Table4[[#This Row],[StartMP]], ClosureLocation!$B$6 &lt;= Table4[[#This Row],[EndMP]]), "Yes", "")</f>
        <v/>
      </c>
      <c r="Q1065" s="1" t="str">
        <f>IF( AND( Table4[[#This Row],[Route]]=ClosureLocation!$B$3, ClosureLocation!$B$6 &lt;= Table4[[#This Row],[StartMP]], ClosureLocation!$B$6 &gt;= Table4[[#This Row],[EndMP]]), "Yes", "")</f>
        <v/>
      </c>
      <c r="R1065" s="1" t="str">
        <f>IF( OR( Table4[[#This Row],[PrimaryMatch]]="Yes", Table4[[#This Row],[SecondaryMatch]]="Yes"), "Yes", "")</f>
        <v/>
      </c>
    </row>
    <row r="1066" spans="1:18" hidden="1" x14ac:dyDescent="0.25">
      <c r="A1066" t="s">
        <v>310</v>
      </c>
      <c r="B1066" t="s">
        <v>3205</v>
      </c>
      <c r="C1066" t="s">
        <v>3206</v>
      </c>
      <c r="D1066" t="s">
        <v>3427</v>
      </c>
      <c r="E1066" s="1">
        <v>10.853</v>
      </c>
      <c r="F1066" s="1">
        <v>11.348000000000001</v>
      </c>
      <c r="K1066" s="39">
        <f>DefaultValues!$B$4</f>
        <v>5</v>
      </c>
      <c r="L1066" s="1">
        <f>DefaultValues!$C$4</f>
        <v>0.5</v>
      </c>
      <c r="M1066" s="1" t="str">
        <f>DefaultValues!$D$4</f>
        <v xml:space="preserve">- Within interchange - </v>
      </c>
      <c r="N1066" s="1">
        <v>10.853</v>
      </c>
      <c r="O1066" s="1">
        <f>ABS(Table4[[#This Row],[EndMP]]-Table4[[#This Row],[StartMP]])</f>
        <v>0.49500000000000099</v>
      </c>
      <c r="P1066" s="1" t="str">
        <f>IF( AND( Table4[[#This Row],[Route]]=ClosureLocation!$B$3, ClosureLocation!$B$6 &gt;= Table4[[#This Row],[StartMP]], ClosureLocation!$B$6 &lt;= Table4[[#This Row],[EndMP]]), "Yes", "")</f>
        <v/>
      </c>
      <c r="Q1066" s="1" t="str">
        <f>IF( AND( Table4[[#This Row],[Route]]=ClosureLocation!$B$3, ClosureLocation!$B$6 &lt;= Table4[[#This Row],[StartMP]], ClosureLocation!$B$6 &gt;= Table4[[#This Row],[EndMP]]), "Yes", "")</f>
        <v/>
      </c>
      <c r="R1066" s="1" t="str">
        <f>IF( OR( Table4[[#This Row],[PrimaryMatch]]="Yes", Table4[[#This Row],[SecondaryMatch]]="Yes"), "Yes", "")</f>
        <v/>
      </c>
    </row>
    <row r="1067" spans="1:18" hidden="1" x14ac:dyDescent="0.25">
      <c r="A1067" t="s">
        <v>310</v>
      </c>
      <c r="B1067" t="s">
        <v>3205</v>
      </c>
      <c r="C1067" t="s">
        <v>3206</v>
      </c>
      <c r="D1067" t="s">
        <v>3427</v>
      </c>
      <c r="E1067" s="1">
        <v>13.115</v>
      </c>
      <c r="F1067" s="1">
        <v>13.545</v>
      </c>
      <c r="K1067" s="39">
        <f>DefaultValues!$B$4</f>
        <v>5</v>
      </c>
      <c r="L1067" s="1">
        <f>DefaultValues!$C$4</f>
        <v>0.5</v>
      </c>
      <c r="M1067" s="1" t="str">
        <f>DefaultValues!$D$4</f>
        <v xml:space="preserve">- Within interchange - </v>
      </c>
      <c r="N1067" s="1">
        <v>13.115</v>
      </c>
      <c r="O1067" s="1">
        <f>ABS(Table4[[#This Row],[EndMP]]-Table4[[#This Row],[StartMP]])</f>
        <v>0.42999999999999972</v>
      </c>
      <c r="P1067" s="1" t="str">
        <f>IF( AND( Table4[[#This Row],[Route]]=ClosureLocation!$B$3, ClosureLocation!$B$6 &gt;= Table4[[#This Row],[StartMP]], ClosureLocation!$B$6 &lt;= Table4[[#This Row],[EndMP]]), "Yes", "")</f>
        <v/>
      </c>
      <c r="Q1067" s="1" t="str">
        <f>IF( AND( Table4[[#This Row],[Route]]=ClosureLocation!$B$3, ClosureLocation!$B$6 &lt;= Table4[[#This Row],[StartMP]], ClosureLocation!$B$6 &gt;= Table4[[#This Row],[EndMP]]), "Yes", "")</f>
        <v/>
      </c>
      <c r="R1067" s="1" t="str">
        <f>IF( OR( Table4[[#This Row],[PrimaryMatch]]="Yes", Table4[[#This Row],[SecondaryMatch]]="Yes"), "Yes", "")</f>
        <v/>
      </c>
    </row>
    <row r="1068" spans="1:18" hidden="1" x14ac:dyDescent="0.25">
      <c r="A1068" t="s">
        <v>310</v>
      </c>
      <c r="B1068" t="s">
        <v>3205</v>
      </c>
      <c r="C1068" t="s">
        <v>3206</v>
      </c>
      <c r="D1068" t="s">
        <v>3427</v>
      </c>
      <c r="E1068" s="1">
        <v>13.765000000000001</v>
      </c>
      <c r="F1068" s="1">
        <v>14.111000000000001</v>
      </c>
      <c r="K1068" s="39">
        <f>DefaultValues!$B$4</f>
        <v>5</v>
      </c>
      <c r="L1068" s="1">
        <f>DefaultValues!$C$4</f>
        <v>0.5</v>
      </c>
      <c r="M1068" s="1" t="str">
        <f>DefaultValues!$D$4</f>
        <v xml:space="preserve">- Within interchange - </v>
      </c>
      <c r="N1068" s="1">
        <v>13.765000000000001</v>
      </c>
      <c r="O1068" s="1">
        <f>ABS(Table4[[#This Row],[EndMP]]-Table4[[#This Row],[StartMP]])</f>
        <v>0.34600000000000009</v>
      </c>
      <c r="P1068" s="1" t="str">
        <f>IF( AND( Table4[[#This Row],[Route]]=ClosureLocation!$B$3, ClosureLocation!$B$6 &gt;= Table4[[#This Row],[StartMP]], ClosureLocation!$B$6 &lt;= Table4[[#This Row],[EndMP]]), "Yes", "")</f>
        <v/>
      </c>
      <c r="Q1068" s="1" t="str">
        <f>IF( AND( Table4[[#This Row],[Route]]=ClosureLocation!$B$3, ClosureLocation!$B$6 &lt;= Table4[[#This Row],[StartMP]], ClosureLocation!$B$6 &gt;= Table4[[#This Row],[EndMP]]), "Yes", "")</f>
        <v/>
      </c>
      <c r="R1068" s="1" t="str">
        <f>IF( OR( Table4[[#This Row],[PrimaryMatch]]="Yes", Table4[[#This Row],[SecondaryMatch]]="Yes"), "Yes", "")</f>
        <v/>
      </c>
    </row>
    <row r="1069" spans="1:18" hidden="1" x14ac:dyDescent="0.25">
      <c r="A1069" t="s">
        <v>310</v>
      </c>
      <c r="B1069" t="s">
        <v>3205</v>
      </c>
      <c r="C1069" t="s">
        <v>3206</v>
      </c>
      <c r="D1069" t="s">
        <v>3427</v>
      </c>
      <c r="E1069" s="1">
        <v>14.776</v>
      </c>
      <c r="F1069" s="1">
        <v>15.285</v>
      </c>
      <c r="K1069" s="39">
        <f>DefaultValues!$B$4</f>
        <v>5</v>
      </c>
      <c r="L1069" s="1">
        <f>DefaultValues!$C$4</f>
        <v>0.5</v>
      </c>
      <c r="M1069" s="1" t="str">
        <f>DefaultValues!$D$4</f>
        <v xml:space="preserve">- Within interchange - </v>
      </c>
      <c r="N1069" s="1">
        <v>14.776</v>
      </c>
      <c r="O1069" s="1">
        <f>ABS(Table4[[#This Row],[EndMP]]-Table4[[#This Row],[StartMP]])</f>
        <v>0.50900000000000034</v>
      </c>
      <c r="P1069" s="1" t="str">
        <f>IF( AND( Table4[[#This Row],[Route]]=ClosureLocation!$B$3, ClosureLocation!$B$6 &gt;= Table4[[#This Row],[StartMP]], ClosureLocation!$B$6 &lt;= Table4[[#This Row],[EndMP]]), "Yes", "")</f>
        <v/>
      </c>
      <c r="Q1069" s="1" t="str">
        <f>IF( AND( Table4[[#This Row],[Route]]=ClosureLocation!$B$3, ClosureLocation!$B$6 &lt;= Table4[[#This Row],[StartMP]], ClosureLocation!$B$6 &gt;= Table4[[#This Row],[EndMP]]), "Yes", "")</f>
        <v/>
      </c>
      <c r="R1069" s="1" t="str">
        <f>IF( OR( Table4[[#This Row],[PrimaryMatch]]="Yes", Table4[[#This Row],[SecondaryMatch]]="Yes"), "Yes", "")</f>
        <v/>
      </c>
    </row>
    <row r="1070" spans="1:18" hidden="1" x14ac:dyDescent="0.25">
      <c r="A1070" t="s">
        <v>310</v>
      </c>
      <c r="B1070" t="s">
        <v>3205</v>
      </c>
      <c r="C1070" t="s">
        <v>3206</v>
      </c>
      <c r="D1070" t="s">
        <v>3427</v>
      </c>
      <c r="E1070" s="1">
        <v>17.540001</v>
      </c>
      <c r="F1070" s="1">
        <v>17.893000000000001</v>
      </c>
      <c r="K1070" s="39">
        <f>DefaultValues!$B$4</f>
        <v>5</v>
      </c>
      <c r="L1070" s="1">
        <f>DefaultValues!$C$4</f>
        <v>0.5</v>
      </c>
      <c r="M1070" s="1" t="str">
        <f>DefaultValues!$D$4</f>
        <v xml:space="preserve">- Within interchange - </v>
      </c>
      <c r="N1070" s="1">
        <v>17.540001</v>
      </c>
      <c r="O1070" s="1">
        <f>ABS(Table4[[#This Row],[EndMP]]-Table4[[#This Row],[StartMP]])</f>
        <v>0.35299900000000051</v>
      </c>
      <c r="P1070" s="1" t="str">
        <f>IF( AND( Table4[[#This Row],[Route]]=ClosureLocation!$B$3, ClosureLocation!$B$6 &gt;= Table4[[#This Row],[StartMP]], ClosureLocation!$B$6 &lt;= Table4[[#This Row],[EndMP]]), "Yes", "")</f>
        <v/>
      </c>
      <c r="Q1070" s="1" t="str">
        <f>IF( AND( Table4[[#This Row],[Route]]=ClosureLocation!$B$3, ClosureLocation!$B$6 &lt;= Table4[[#This Row],[StartMP]], ClosureLocation!$B$6 &gt;= Table4[[#This Row],[EndMP]]), "Yes", "")</f>
        <v/>
      </c>
      <c r="R1070" s="1" t="str">
        <f>IF( OR( Table4[[#This Row],[PrimaryMatch]]="Yes", Table4[[#This Row],[SecondaryMatch]]="Yes"), "Yes", "")</f>
        <v/>
      </c>
    </row>
    <row r="1071" spans="1:18" hidden="1" x14ac:dyDescent="0.25">
      <c r="A1071" t="s">
        <v>310</v>
      </c>
      <c r="B1071" t="s">
        <v>3205</v>
      </c>
      <c r="C1071" t="s">
        <v>3206</v>
      </c>
      <c r="D1071" t="s">
        <v>3427</v>
      </c>
      <c r="E1071" s="1">
        <v>22.681000000000001</v>
      </c>
      <c r="F1071" s="1">
        <v>23.134001000000001</v>
      </c>
      <c r="K1071" s="39">
        <f>DefaultValues!$B$4</f>
        <v>5</v>
      </c>
      <c r="L1071" s="1">
        <f>DefaultValues!$C$4</f>
        <v>0.5</v>
      </c>
      <c r="M1071" s="1" t="str">
        <f>DefaultValues!$D$4</f>
        <v xml:space="preserve">- Within interchange - </v>
      </c>
      <c r="N1071" s="1">
        <v>22.681000000000001</v>
      </c>
      <c r="O1071" s="1">
        <f>ABS(Table4[[#This Row],[EndMP]]-Table4[[#This Row],[StartMP]])</f>
        <v>0.45300100000000043</v>
      </c>
      <c r="P1071" s="1" t="str">
        <f>IF( AND( Table4[[#This Row],[Route]]=ClosureLocation!$B$3, ClosureLocation!$B$6 &gt;= Table4[[#This Row],[StartMP]], ClosureLocation!$B$6 &lt;= Table4[[#This Row],[EndMP]]), "Yes", "")</f>
        <v/>
      </c>
      <c r="Q1071" s="1" t="str">
        <f>IF( AND( Table4[[#This Row],[Route]]=ClosureLocation!$B$3, ClosureLocation!$B$6 &lt;= Table4[[#This Row],[StartMP]], ClosureLocation!$B$6 &gt;= Table4[[#This Row],[EndMP]]), "Yes", "")</f>
        <v/>
      </c>
      <c r="R1071" s="1" t="str">
        <f>IF( OR( Table4[[#This Row],[PrimaryMatch]]="Yes", Table4[[#This Row],[SecondaryMatch]]="Yes"), "Yes", "")</f>
        <v/>
      </c>
    </row>
    <row r="1072" spans="1:18" hidden="1" x14ac:dyDescent="0.25">
      <c r="A1072" t="s">
        <v>310</v>
      </c>
      <c r="B1072" t="s">
        <v>3205</v>
      </c>
      <c r="C1072" t="s">
        <v>3206</v>
      </c>
      <c r="D1072" t="s">
        <v>3427</v>
      </c>
      <c r="E1072" s="1">
        <v>26.738001000000001</v>
      </c>
      <c r="F1072" s="1">
        <v>27.018999000000001</v>
      </c>
      <c r="K1072" s="39">
        <f>DefaultValues!$B$4</f>
        <v>5</v>
      </c>
      <c r="L1072" s="1">
        <f>DefaultValues!$C$4</f>
        <v>0.5</v>
      </c>
      <c r="M1072" s="1" t="str">
        <f>DefaultValues!$D$4</f>
        <v xml:space="preserve">- Within interchange - </v>
      </c>
      <c r="N1072" s="1">
        <v>26.738001000000001</v>
      </c>
      <c r="O1072" s="1">
        <f>ABS(Table4[[#This Row],[EndMP]]-Table4[[#This Row],[StartMP]])</f>
        <v>0.2809980000000003</v>
      </c>
      <c r="P1072" s="1" t="str">
        <f>IF( AND( Table4[[#This Row],[Route]]=ClosureLocation!$B$3, ClosureLocation!$B$6 &gt;= Table4[[#This Row],[StartMP]], ClosureLocation!$B$6 &lt;= Table4[[#This Row],[EndMP]]), "Yes", "")</f>
        <v/>
      </c>
      <c r="Q1072" s="1" t="str">
        <f>IF( AND( Table4[[#This Row],[Route]]=ClosureLocation!$B$3, ClosureLocation!$B$6 &lt;= Table4[[#This Row],[StartMP]], ClosureLocation!$B$6 &gt;= Table4[[#This Row],[EndMP]]), "Yes", "")</f>
        <v/>
      </c>
      <c r="R1072" s="1" t="str">
        <f>IF( OR( Table4[[#This Row],[PrimaryMatch]]="Yes", Table4[[#This Row],[SecondaryMatch]]="Yes"), "Yes", "")</f>
        <v/>
      </c>
    </row>
    <row r="1073" spans="1:18" hidden="1" x14ac:dyDescent="0.25">
      <c r="A1073" t="s">
        <v>310</v>
      </c>
      <c r="B1073" t="s">
        <v>3205</v>
      </c>
      <c r="C1073" t="s">
        <v>3206</v>
      </c>
      <c r="D1073" t="s">
        <v>3427</v>
      </c>
      <c r="E1073" s="1">
        <v>30.309000000000001</v>
      </c>
      <c r="F1073" s="1">
        <v>30.415001</v>
      </c>
      <c r="K1073" s="39">
        <f>DefaultValues!$B$4</f>
        <v>5</v>
      </c>
      <c r="L1073" s="1">
        <f>DefaultValues!$C$4</f>
        <v>0.5</v>
      </c>
      <c r="M1073" s="1" t="str">
        <f>DefaultValues!$D$4</f>
        <v xml:space="preserve">- Within interchange - </v>
      </c>
      <c r="N1073" s="1">
        <v>30.309000000000001</v>
      </c>
      <c r="O1073" s="1">
        <f>ABS(Table4[[#This Row],[EndMP]]-Table4[[#This Row],[StartMP]])</f>
        <v>0.10600099999999912</v>
      </c>
      <c r="P1073" s="1" t="str">
        <f>IF( AND( Table4[[#This Row],[Route]]=ClosureLocation!$B$3, ClosureLocation!$B$6 &gt;= Table4[[#This Row],[StartMP]], ClosureLocation!$B$6 &lt;= Table4[[#This Row],[EndMP]]), "Yes", "")</f>
        <v/>
      </c>
      <c r="Q1073" s="1" t="str">
        <f>IF( AND( Table4[[#This Row],[Route]]=ClosureLocation!$B$3, ClosureLocation!$B$6 &lt;= Table4[[#This Row],[StartMP]], ClosureLocation!$B$6 &gt;= Table4[[#This Row],[EndMP]]), "Yes", "")</f>
        <v/>
      </c>
      <c r="R1073" s="1" t="str">
        <f>IF( OR( Table4[[#This Row],[PrimaryMatch]]="Yes", Table4[[#This Row],[SecondaryMatch]]="Yes"), "Yes", "")</f>
        <v/>
      </c>
    </row>
    <row r="1074" spans="1:18" hidden="1" x14ac:dyDescent="0.25">
      <c r="A1074" t="s">
        <v>310</v>
      </c>
      <c r="B1074" t="s">
        <v>3205</v>
      </c>
      <c r="C1074" t="s">
        <v>3206</v>
      </c>
      <c r="D1074" t="s">
        <v>3427</v>
      </c>
      <c r="E1074" s="1">
        <v>34</v>
      </c>
      <c r="F1074" s="1">
        <v>34.228999999999999</v>
      </c>
      <c r="K1074" s="39">
        <f>DefaultValues!$B$4</f>
        <v>5</v>
      </c>
      <c r="L1074" s="1">
        <f>DefaultValues!$C$4</f>
        <v>0.5</v>
      </c>
      <c r="M1074" s="1" t="str">
        <f>DefaultValues!$D$4</f>
        <v xml:space="preserve">- Within interchange - </v>
      </c>
      <c r="N1074" s="1">
        <v>34</v>
      </c>
      <c r="O1074" s="1">
        <f>ABS(Table4[[#This Row],[EndMP]]-Table4[[#This Row],[StartMP]])</f>
        <v>0.2289999999999992</v>
      </c>
      <c r="P1074" s="1" t="str">
        <f>IF( AND( Table4[[#This Row],[Route]]=ClosureLocation!$B$3, ClosureLocation!$B$6 &gt;= Table4[[#This Row],[StartMP]], ClosureLocation!$B$6 &lt;= Table4[[#This Row],[EndMP]]), "Yes", "")</f>
        <v/>
      </c>
      <c r="Q1074" s="1" t="str">
        <f>IF( AND( Table4[[#This Row],[Route]]=ClosureLocation!$B$3, ClosureLocation!$B$6 &lt;= Table4[[#This Row],[StartMP]], ClosureLocation!$B$6 &gt;= Table4[[#This Row],[EndMP]]), "Yes", "")</f>
        <v/>
      </c>
      <c r="R1074" s="1" t="str">
        <f>IF( OR( Table4[[#This Row],[PrimaryMatch]]="Yes", Table4[[#This Row],[SecondaryMatch]]="Yes"), "Yes", "")</f>
        <v/>
      </c>
    </row>
    <row r="1075" spans="1:18" hidden="1" x14ac:dyDescent="0.25">
      <c r="A1075" t="s">
        <v>310</v>
      </c>
      <c r="B1075" t="s">
        <v>3205</v>
      </c>
      <c r="C1075" t="s">
        <v>3206</v>
      </c>
      <c r="D1075" t="s">
        <v>3427</v>
      </c>
      <c r="E1075" s="1">
        <v>40.652999999999999</v>
      </c>
      <c r="F1075" s="1">
        <v>40.707999999999998</v>
      </c>
      <c r="K1075" s="39">
        <f>DefaultValues!$B$4</f>
        <v>5</v>
      </c>
      <c r="L1075" s="1">
        <f>DefaultValues!$C$4</f>
        <v>0.5</v>
      </c>
      <c r="M1075" s="1" t="str">
        <f>DefaultValues!$D$4</f>
        <v xml:space="preserve">- Within interchange - </v>
      </c>
      <c r="N1075" s="1">
        <v>40.652999999999999</v>
      </c>
      <c r="O1075" s="1">
        <f>ABS(Table4[[#This Row],[EndMP]]-Table4[[#This Row],[StartMP]])</f>
        <v>5.4999999999999716E-2</v>
      </c>
      <c r="P1075" s="1" t="str">
        <f>IF( AND( Table4[[#This Row],[Route]]=ClosureLocation!$B$3, ClosureLocation!$B$6 &gt;= Table4[[#This Row],[StartMP]], ClosureLocation!$B$6 &lt;= Table4[[#This Row],[EndMP]]), "Yes", "")</f>
        <v/>
      </c>
      <c r="Q1075" s="1" t="str">
        <f>IF( AND( Table4[[#This Row],[Route]]=ClosureLocation!$B$3, ClosureLocation!$B$6 &lt;= Table4[[#This Row],[StartMP]], ClosureLocation!$B$6 &gt;= Table4[[#This Row],[EndMP]]), "Yes", "")</f>
        <v/>
      </c>
      <c r="R1075" s="1" t="str">
        <f>IF( OR( Table4[[#This Row],[PrimaryMatch]]="Yes", Table4[[#This Row],[SecondaryMatch]]="Yes"), "Yes", "")</f>
        <v/>
      </c>
    </row>
    <row r="1076" spans="1:18" hidden="1" x14ac:dyDescent="0.25">
      <c r="A1076" t="s">
        <v>310</v>
      </c>
      <c r="B1076" t="s">
        <v>3205</v>
      </c>
      <c r="C1076" t="s">
        <v>3206</v>
      </c>
      <c r="D1076" t="s">
        <v>3427</v>
      </c>
      <c r="E1076" s="1">
        <v>41.506999999999998</v>
      </c>
      <c r="F1076" s="1">
        <v>42.145000000000003</v>
      </c>
      <c r="K1076" s="39">
        <f>DefaultValues!$B$4</f>
        <v>5</v>
      </c>
      <c r="L1076" s="1">
        <f>DefaultValues!$C$4</f>
        <v>0.5</v>
      </c>
      <c r="M1076" s="1" t="str">
        <f>DefaultValues!$D$4</f>
        <v xml:space="preserve">- Within interchange - </v>
      </c>
      <c r="N1076" s="1">
        <v>41.506999999999998</v>
      </c>
      <c r="O1076" s="1">
        <f>ABS(Table4[[#This Row],[EndMP]]-Table4[[#This Row],[StartMP]])</f>
        <v>0.63800000000000523</v>
      </c>
      <c r="P1076" s="1" t="str">
        <f>IF( AND( Table4[[#This Row],[Route]]=ClosureLocation!$B$3, ClosureLocation!$B$6 &gt;= Table4[[#This Row],[StartMP]], ClosureLocation!$B$6 &lt;= Table4[[#This Row],[EndMP]]), "Yes", "")</f>
        <v/>
      </c>
      <c r="Q1076" s="1" t="str">
        <f>IF( AND( Table4[[#This Row],[Route]]=ClosureLocation!$B$3, ClosureLocation!$B$6 &lt;= Table4[[#This Row],[StartMP]], ClosureLocation!$B$6 &gt;= Table4[[#This Row],[EndMP]]), "Yes", "")</f>
        <v/>
      </c>
      <c r="R1076" s="1" t="str">
        <f>IF( OR( Table4[[#This Row],[PrimaryMatch]]="Yes", Table4[[#This Row],[SecondaryMatch]]="Yes"), "Yes", "")</f>
        <v/>
      </c>
    </row>
    <row r="1077" spans="1:18" hidden="1" x14ac:dyDescent="0.25">
      <c r="A1077" t="s">
        <v>310</v>
      </c>
      <c r="B1077" t="s">
        <v>3205</v>
      </c>
      <c r="C1077" t="s">
        <v>3206</v>
      </c>
      <c r="D1077" t="s">
        <v>3427</v>
      </c>
      <c r="E1077" s="1">
        <v>48.789000999999999</v>
      </c>
      <c r="F1077" s="1">
        <v>49.209000000000003</v>
      </c>
      <c r="K1077" s="39">
        <f>DefaultValues!$B$4</f>
        <v>5</v>
      </c>
      <c r="L1077" s="1">
        <f>DefaultValues!$C$4</f>
        <v>0.5</v>
      </c>
      <c r="M1077" s="1" t="str">
        <f>DefaultValues!$D$4</f>
        <v xml:space="preserve">- Within interchange - </v>
      </c>
      <c r="N1077" s="1">
        <v>48.789000999999999</v>
      </c>
      <c r="O1077" s="1">
        <f>ABS(Table4[[#This Row],[EndMP]]-Table4[[#This Row],[StartMP]])</f>
        <v>0.41999900000000423</v>
      </c>
      <c r="P1077" s="1" t="str">
        <f>IF( AND( Table4[[#This Row],[Route]]=ClosureLocation!$B$3, ClosureLocation!$B$6 &gt;= Table4[[#This Row],[StartMP]], ClosureLocation!$B$6 &lt;= Table4[[#This Row],[EndMP]]), "Yes", "")</f>
        <v/>
      </c>
      <c r="Q1077" s="1" t="str">
        <f>IF( AND( Table4[[#This Row],[Route]]=ClosureLocation!$B$3, ClosureLocation!$B$6 &lt;= Table4[[#This Row],[StartMP]], ClosureLocation!$B$6 &gt;= Table4[[#This Row],[EndMP]]), "Yes", "")</f>
        <v/>
      </c>
      <c r="R1077" s="1" t="str">
        <f>IF( OR( Table4[[#This Row],[PrimaryMatch]]="Yes", Table4[[#This Row],[SecondaryMatch]]="Yes"), "Yes", "")</f>
        <v/>
      </c>
    </row>
    <row r="1078" spans="1:18" hidden="1" x14ac:dyDescent="0.25">
      <c r="A1078" t="s">
        <v>310</v>
      </c>
      <c r="B1078" t="s">
        <v>3205</v>
      </c>
      <c r="C1078" t="s">
        <v>3206</v>
      </c>
      <c r="D1078" t="s">
        <v>3427</v>
      </c>
      <c r="E1078" s="1">
        <v>49.868000000000002</v>
      </c>
      <c r="F1078" s="1">
        <v>49.918998999999999</v>
      </c>
      <c r="K1078" s="39">
        <f>DefaultValues!$B$4</f>
        <v>5</v>
      </c>
      <c r="L1078" s="1">
        <f>DefaultValues!$C$4</f>
        <v>0.5</v>
      </c>
      <c r="M1078" s="1" t="str">
        <f>DefaultValues!$D$4</f>
        <v xml:space="preserve">- Within interchange - </v>
      </c>
      <c r="N1078" s="1">
        <v>49.868000000000002</v>
      </c>
      <c r="O1078" s="1">
        <f>ABS(Table4[[#This Row],[EndMP]]-Table4[[#This Row],[StartMP]])</f>
        <v>5.0998999999997352E-2</v>
      </c>
      <c r="P1078" s="1" t="str">
        <f>IF( AND( Table4[[#This Row],[Route]]=ClosureLocation!$B$3, ClosureLocation!$B$6 &gt;= Table4[[#This Row],[StartMP]], ClosureLocation!$B$6 &lt;= Table4[[#This Row],[EndMP]]), "Yes", "")</f>
        <v/>
      </c>
      <c r="Q1078" s="1" t="str">
        <f>IF( AND( Table4[[#This Row],[Route]]=ClosureLocation!$B$3, ClosureLocation!$B$6 &lt;= Table4[[#This Row],[StartMP]], ClosureLocation!$B$6 &gt;= Table4[[#This Row],[EndMP]]), "Yes", "")</f>
        <v/>
      </c>
      <c r="R1078" s="1" t="str">
        <f>IF( OR( Table4[[#This Row],[PrimaryMatch]]="Yes", Table4[[#This Row],[SecondaryMatch]]="Yes"), "Yes", "")</f>
        <v/>
      </c>
    </row>
    <row r="1079" spans="1:18" hidden="1" x14ac:dyDescent="0.25">
      <c r="A1079" t="s">
        <v>310</v>
      </c>
      <c r="B1079" t="s">
        <v>3205</v>
      </c>
      <c r="C1079" t="s">
        <v>3206</v>
      </c>
      <c r="D1079" t="s">
        <v>3427</v>
      </c>
      <c r="E1079" s="1">
        <v>52.241000999999997</v>
      </c>
      <c r="F1079" s="1">
        <v>52.603000999999999</v>
      </c>
      <c r="K1079" s="39">
        <f>DefaultValues!$B$4</f>
        <v>5</v>
      </c>
      <c r="L1079" s="1">
        <f>DefaultValues!$C$4</f>
        <v>0.5</v>
      </c>
      <c r="M1079" s="1" t="str">
        <f>DefaultValues!$D$4</f>
        <v xml:space="preserve">- Within interchange - </v>
      </c>
      <c r="N1079" s="1">
        <v>52.241000999999997</v>
      </c>
      <c r="O1079" s="1">
        <f>ABS(Table4[[#This Row],[EndMP]]-Table4[[#This Row],[StartMP]])</f>
        <v>0.36200000000000188</v>
      </c>
      <c r="P1079" s="1" t="str">
        <f>IF( AND( Table4[[#This Row],[Route]]=ClosureLocation!$B$3, ClosureLocation!$B$6 &gt;= Table4[[#This Row],[StartMP]], ClosureLocation!$B$6 &lt;= Table4[[#This Row],[EndMP]]), "Yes", "")</f>
        <v/>
      </c>
      <c r="Q1079" s="1" t="str">
        <f>IF( AND( Table4[[#This Row],[Route]]=ClosureLocation!$B$3, ClosureLocation!$B$6 &lt;= Table4[[#This Row],[StartMP]], ClosureLocation!$B$6 &gt;= Table4[[#This Row],[EndMP]]), "Yes", "")</f>
        <v/>
      </c>
      <c r="R1079" s="1" t="str">
        <f>IF( OR( Table4[[#This Row],[PrimaryMatch]]="Yes", Table4[[#This Row],[SecondaryMatch]]="Yes"), "Yes", "")</f>
        <v/>
      </c>
    </row>
    <row r="1080" spans="1:18" hidden="1" x14ac:dyDescent="0.25">
      <c r="A1080" t="s">
        <v>310</v>
      </c>
      <c r="B1080" t="s">
        <v>3205</v>
      </c>
      <c r="C1080" t="s">
        <v>3206</v>
      </c>
      <c r="D1080" t="s">
        <v>3427</v>
      </c>
      <c r="E1080" s="1">
        <v>54.803001000000002</v>
      </c>
      <c r="F1080" s="1">
        <v>55.110999999999997</v>
      </c>
      <c r="K1080" s="39">
        <f>DefaultValues!$B$4</f>
        <v>5</v>
      </c>
      <c r="L1080" s="1">
        <f>DefaultValues!$C$4</f>
        <v>0.5</v>
      </c>
      <c r="M1080" s="1" t="str">
        <f>DefaultValues!$D$4</f>
        <v xml:space="preserve">- Within interchange - </v>
      </c>
      <c r="N1080" s="1">
        <v>54.803001000000002</v>
      </c>
      <c r="O1080" s="1">
        <f>ABS(Table4[[#This Row],[EndMP]]-Table4[[#This Row],[StartMP]])</f>
        <v>0.30799899999999525</v>
      </c>
      <c r="P1080" s="1" t="str">
        <f>IF( AND( Table4[[#This Row],[Route]]=ClosureLocation!$B$3, ClosureLocation!$B$6 &gt;= Table4[[#This Row],[StartMP]], ClosureLocation!$B$6 &lt;= Table4[[#This Row],[EndMP]]), "Yes", "")</f>
        <v/>
      </c>
      <c r="Q1080" s="1" t="str">
        <f>IF( AND( Table4[[#This Row],[Route]]=ClosureLocation!$B$3, ClosureLocation!$B$6 &lt;= Table4[[#This Row],[StartMP]], ClosureLocation!$B$6 &gt;= Table4[[#This Row],[EndMP]]), "Yes", "")</f>
        <v/>
      </c>
      <c r="R1080" s="1" t="str">
        <f>IF( OR( Table4[[#This Row],[PrimaryMatch]]="Yes", Table4[[#This Row],[SecondaryMatch]]="Yes"), "Yes", "")</f>
        <v/>
      </c>
    </row>
    <row r="1081" spans="1:18" hidden="1" x14ac:dyDescent="0.25">
      <c r="A1081" t="s">
        <v>310</v>
      </c>
      <c r="B1081" t="s">
        <v>3205</v>
      </c>
      <c r="C1081" t="s">
        <v>3206</v>
      </c>
      <c r="D1081" t="s">
        <v>3427</v>
      </c>
      <c r="E1081" s="1">
        <v>55.959999000000003</v>
      </c>
      <c r="F1081" s="1">
        <v>56.366000999999997</v>
      </c>
      <c r="K1081" s="39">
        <f>DefaultValues!$B$4</f>
        <v>5</v>
      </c>
      <c r="L1081" s="1">
        <f>DefaultValues!$C$4</f>
        <v>0.5</v>
      </c>
      <c r="M1081" s="1" t="str">
        <f>DefaultValues!$D$4</f>
        <v xml:space="preserve">- Within interchange - </v>
      </c>
      <c r="N1081" s="1">
        <v>55.959999000000003</v>
      </c>
      <c r="O1081" s="1">
        <f>ABS(Table4[[#This Row],[EndMP]]-Table4[[#This Row],[StartMP]])</f>
        <v>0.40600199999999376</v>
      </c>
      <c r="P1081" s="1" t="str">
        <f>IF( AND( Table4[[#This Row],[Route]]=ClosureLocation!$B$3, ClosureLocation!$B$6 &gt;= Table4[[#This Row],[StartMP]], ClosureLocation!$B$6 &lt;= Table4[[#This Row],[EndMP]]), "Yes", "")</f>
        <v/>
      </c>
      <c r="Q1081" s="1" t="str">
        <f>IF( AND( Table4[[#This Row],[Route]]=ClosureLocation!$B$3, ClosureLocation!$B$6 &lt;= Table4[[#This Row],[StartMP]], ClosureLocation!$B$6 &gt;= Table4[[#This Row],[EndMP]]), "Yes", "")</f>
        <v/>
      </c>
      <c r="R1081" s="1" t="str">
        <f>IF( OR( Table4[[#This Row],[PrimaryMatch]]="Yes", Table4[[#This Row],[SecondaryMatch]]="Yes"), "Yes", "")</f>
        <v/>
      </c>
    </row>
    <row r="1082" spans="1:18" hidden="1" x14ac:dyDescent="0.25">
      <c r="A1082" t="s">
        <v>310</v>
      </c>
      <c r="B1082" t="s">
        <v>3205</v>
      </c>
      <c r="C1082" t="s">
        <v>3206</v>
      </c>
      <c r="D1082" t="s">
        <v>3427</v>
      </c>
      <c r="E1082" s="1">
        <v>58.338000999999998</v>
      </c>
      <c r="F1082" s="1">
        <v>58.512999999999998</v>
      </c>
      <c r="K1082" s="39">
        <f>DefaultValues!$B$4</f>
        <v>5</v>
      </c>
      <c r="L1082" s="1">
        <f>DefaultValues!$C$4</f>
        <v>0.5</v>
      </c>
      <c r="M1082" s="1" t="str">
        <f>DefaultValues!$D$4</f>
        <v xml:space="preserve">- Within interchange - </v>
      </c>
      <c r="N1082" s="1">
        <v>58.338000999999998</v>
      </c>
      <c r="O1082" s="1">
        <f>ABS(Table4[[#This Row],[EndMP]]-Table4[[#This Row],[StartMP]])</f>
        <v>0.17499899999999968</v>
      </c>
      <c r="P1082" s="1" t="str">
        <f>IF( AND( Table4[[#This Row],[Route]]=ClosureLocation!$B$3, ClosureLocation!$B$6 &gt;= Table4[[#This Row],[StartMP]], ClosureLocation!$B$6 &lt;= Table4[[#This Row],[EndMP]]), "Yes", "")</f>
        <v/>
      </c>
      <c r="Q1082" s="1" t="str">
        <f>IF( AND( Table4[[#This Row],[Route]]=ClosureLocation!$B$3, ClosureLocation!$B$6 &lt;= Table4[[#This Row],[StartMP]], ClosureLocation!$B$6 &gt;= Table4[[#This Row],[EndMP]]), "Yes", "")</f>
        <v/>
      </c>
      <c r="R1082" s="1" t="str">
        <f>IF( OR( Table4[[#This Row],[PrimaryMatch]]="Yes", Table4[[#This Row],[SecondaryMatch]]="Yes"), "Yes", "")</f>
        <v/>
      </c>
    </row>
    <row r="1083" spans="1:18" hidden="1" x14ac:dyDescent="0.25">
      <c r="A1083" t="s">
        <v>310</v>
      </c>
      <c r="B1083" t="s">
        <v>3205</v>
      </c>
      <c r="C1083" t="s">
        <v>3206</v>
      </c>
      <c r="D1083" t="s">
        <v>3427</v>
      </c>
      <c r="E1083" s="1">
        <v>59.952998999999998</v>
      </c>
      <c r="F1083" s="1">
        <v>60.280997999999997</v>
      </c>
      <c r="K1083" s="39">
        <f>DefaultValues!$B$4</f>
        <v>5</v>
      </c>
      <c r="L1083" s="1">
        <f>DefaultValues!$C$4</f>
        <v>0.5</v>
      </c>
      <c r="M1083" s="1" t="str">
        <f>DefaultValues!$D$4</f>
        <v xml:space="preserve">- Within interchange - </v>
      </c>
      <c r="N1083" s="1">
        <v>59.952998999999998</v>
      </c>
      <c r="O1083" s="1">
        <f>ABS(Table4[[#This Row],[EndMP]]-Table4[[#This Row],[StartMP]])</f>
        <v>0.32799899999999838</v>
      </c>
      <c r="P1083" s="1" t="str">
        <f>IF( AND( Table4[[#This Row],[Route]]=ClosureLocation!$B$3, ClosureLocation!$B$6 &gt;= Table4[[#This Row],[StartMP]], ClosureLocation!$B$6 &lt;= Table4[[#This Row],[EndMP]]), "Yes", "")</f>
        <v/>
      </c>
      <c r="Q1083" s="1" t="str">
        <f>IF( AND( Table4[[#This Row],[Route]]=ClosureLocation!$B$3, ClosureLocation!$B$6 &lt;= Table4[[#This Row],[StartMP]], ClosureLocation!$B$6 &gt;= Table4[[#This Row],[EndMP]]), "Yes", "")</f>
        <v/>
      </c>
      <c r="R1083" s="1" t="str">
        <f>IF( OR( Table4[[#This Row],[PrimaryMatch]]="Yes", Table4[[#This Row],[SecondaryMatch]]="Yes"), "Yes", "")</f>
        <v/>
      </c>
    </row>
    <row r="1084" spans="1:18" hidden="1" x14ac:dyDescent="0.25">
      <c r="A1084" t="s">
        <v>310</v>
      </c>
      <c r="B1084" t="s">
        <v>3205</v>
      </c>
      <c r="C1084" t="s">
        <v>3206</v>
      </c>
      <c r="D1084" t="s">
        <v>3427</v>
      </c>
      <c r="E1084" s="1">
        <v>63.825001</v>
      </c>
      <c r="F1084" s="1">
        <v>64.217003000000005</v>
      </c>
      <c r="K1084" s="39">
        <f>DefaultValues!$B$4</f>
        <v>5</v>
      </c>
      <c r="L1084" s="1">
        <f>DefaultValues!$C$4</f>
        <v>0.5</v>
      </c>
      <c r="M1084" s="1" t="str">
        <f>DefaultValues!$D$4</f>
        <v xml:space="preserve">- Within interchange - </v>
      </c>
      <c r="N1084" s="1">
        <v>63.825001</v>
      </c>
      <c r="O1084" s="1">
        <f>ABS(Table4[[#This Row],[EndMP]]-Table4[[#This Row],[StartMP]])</f>
        <v>0.39200200000000507</v>
      </c>
      <c r="P1084" s="1" t="str">
        <f>IF( AND( Table4[[#This Row],[Route]]=ClosureLocation!$B$3, ClosureLocation!$B$6 &gt;= Table4[[#This Row],[StartMP]], ClosureLocation!$B$6 &lt;= Table4[[#This Row],[EndMP]]), "Yes", "")</f>
        <v/>
      </c>
      <c r="Q1084" s="1" t="str">
        <f>IF( AND( Table4[[#This Row],[Route]]=ClosureLocation!$B$3, ClosureLocation!$B$6 &lt;= Table4[[#This Row],[StartMP]], ClosureLocation!$B$6 &gt;= Table4[[#This Row],[EndMP]]), "Yes", "")</f>
        <v/>
      </c>
      <c r="R1084" s="1" t="str">
        <f>IF( OR( Table4[[#This Row],[PrimaryMatch]]="Yes", Table4[[#This Row],[SecondaryMatch]]="Yes"), "Yes", "")</f>
        <v/>
      </c>
    </row>
    <row r="1085" spans="1:18" hidden="1" x14ac:dyDescent="0.25">
      <c r="A1085" t="s">
        <v>310</v>
      </c>
      <c r="B1085" t="s">
        <v>3205</v>
      </c>
      <c r="C1085" t="s">
        <v>3206</v>
      </c>
      <c r="D1085" t="s">
        <v>3427</v>
      </c>
      <c r="E1085" s="1">
        <v>66.555999999999997</v>
      </c>
      <c r="F1085" s="1">
        <v>66.929001</v>
      </c>
      <c r="K1085" s="39">
        <f>DefaultValues!$B$4</f>
        <v>5</v>
      </c>
      <c r="L1085" s="1">
        <f>DefaultValues!$C$4</f>
        <v>0.5</v>
      </c>
      <c r="M1085" s="1" t="str">
        <f>DefaultValues!$D$4</f>
        <v xml:space="preserve">- Within interchange - </v>
      </c>
      <c r="N1085" s="1">
        <v>66.555999999999997</v>
      </c>
      <c r="O1085" s="1">
        <f>ABS(Table4[[#This Row],[EndMP]]-Table4[[#This Row],[StartMP]])</f>
        <v>0.37300100000000214</v>
      </c>
      <c r="P1085" s="1" t="str">
        <f>IF( AND( Table4[[#This Row],[Route]]=ClosureLocation!$B$3, ClosureLocation!$B$6 &gt;= Table4[[#This Row],[StartMP]], ClosureLocation!$B$6 &lt;= Table4[[#This Row],[EndMP]]), "Yes", "")</f>
        <v/>
      </c>
      <c r="Q1085" s="1" t="str">
        <f>IF( AND( Table4[[#This Row],[Route]]=ClosureLocation!$B$3, ClosureLocation!$B$6 &lt;= Table4[[#This Row],[StartMP]], ClosureLocation!$B$6 &gt;= Table4[[#This Row],[EndMP]]), "Yes", "")</f>
        <v/>
      </c>
      <c r="R1085" s="1" t="str">
        <f>IF( OR( Table4[[#This Row],[PrimaryMatch]]="Yes", Table4[[#This Row],[SecondaryMatch]]="Yes"), "Yes", "")</f>
        <v/>
      </c>
    </row>
    <row r="1086" spans="1:18" hidden="1" x14ac:dyDescent="0.25">
      <c r="A1086" t="s">
        <v>310</v>
      </c>
      <c r="B1086" t="s">
        <v>3205</v>
      </c>
      <c r="C1086" t="s">
        <v>3206</v>
      </c>
      <c r="D1086" t="s">
        <v>3427</v>
      </c>
      <c r="E1086" s="1">
        <v>70.920997999999997</v>
      </c>
      <c r="F1086" s="1">
        <v>71.443000999999995</v>
      </c>
      <c r="K1086" s="39">
        <f>DefaultValues!$B$4</f>
        <v>5</v>
      </c>
      <c r="L1086" s="1">
        <f>DefaultValues!$C$4</f>
        <v>0.5</v>
      </c>
      <c r="M1086" s="1" t="str">
        <f>DefaultValues!$D$4</f>
        <v xml:space="preserve">- Within interchange - </v>
      </c>
      <c r="N1086" s="1">
        <v>70.920997999999997</v>
      </c>
      <c r="O1086" s="1">
        <f>ABS(Table4[[#This Row],[EndMP]]-Table4[[#This Row],[StartMP]])</f>
        <v>0.522002999999998</v>
      </c>
      <c r="P1086" s="1" t="str">
        <f>IF( AND( Table4[[#This Row],[Route]]=ClosureLocation!$B$3, ClosureLocation!$B$6 &gt;= Table4[[#This Row],[StartMP]], ClosureLocation!$B$6 &lt;= Table4[[#This Row],[EndMP]]), "Yes", "")</f>
        <v/>
      </c>
      <c r="Q1086" s="1" t="str">
        <f>IF( AND( Table4[[#This Row],[Route]]=ClosureLocation!$B$3, ClosureLocation!$B$6 &lt;= Table4[[#This Row],[StartMP]], ClosureLocation!$B$6 &gt;= Table4[[#This Row],[EndMP]]), "Yes", "")</f>
        <v/>
      </c>
      <c r="R1086" s="1" t="str">
        <f>IF( OR( Table4[[#This Row],[PrimaryMatch]]="Yes", Table4[[#This Row],[SecondaryMatch]]="Yes"), "Yes", "")</f>
        <v/>
      </c>
    </row>
    <row r="1087" spans="1:18" hidden="1" x14ac:dyDescent="0.25">
      <c r="A1087" t="s">
        <v>310</v>
      </c>
      <c r="B1087" t="s">
        <v>3205</v>
      </c>
      <c r="C1087" t="s">
        <v>3206</v>
      </c>
      <c r="D1087" t="s">
        <v>3427</v>
      </c>
      <c r="E1087" s="1">
        <v>74.230002999999996</v>
      </c>
      <c r="F1087" s="1">
        <v>74.635002</v>
      </c>
      <c r="K1087" s="39">
        <f>DefaultValues!$B$4</f>
        <v>5</v>
      </c>
      <c r="L1087" s="1">
        <f>DefaultValues!$C$4</f>
        <v>0.5</v>
      </c>
      <c r="M1087" s="1" t="str">
        <f>DefaultValues!$D$4</f>
        <v xml:space="preserve">- Within interchange - </v>
      </c>
      <c r="N1087" s="1">
        <v>74.230002999999996</v>
      </c>
      <c r="O1087" s="1">
        <f>ABS(Table4[[#This Row],[EndMP]]-Table4[[#This Row],[StartMP]])</f>
        <v>0.40499900000000366</v>
      </c>
      <c r="P1087" s="1" t="str">
        <f>IF( AND( Table4[[#This Row],[Route]]=ClosureLocation!$B$3, ClosureLocation!$B$6 &gt;= Table4[[#This Row],[StartMP]], ClosureLocation!$B$6 &lt;= Table4[[#This Row],[EndMP]]), "Yes", "")</f>
        <v/>
      </c>
      <c r="Q1087" s="1" t="str">
        <f>IF( AND( Table4[[#This Row],[Route]]=ClosureLocation!$B$3, ClosureLocation!$B$6 &lt;= Table4[[#This Row],[StartMP]], ClosureLocation!$B$6 &gt;= Table4[[#This Row],[EndMP]]), "Yes", "")</f>
        <v/>
      </c>
      <c r="R1087" s="1" t="str">
        <f>IF( OR( Table4[[#This Row],[PrimaryMatch]]="Yes", Table4[[#This Row],[SecondaryMatch]]="Yes"), "Yes", "")</f>
        <v/>
      </c>
    </row>
    <row r="1088" spans="1:18" hidden="1" x14ac:dyDescent="0.25">
      <c r="A1088" t="s">
        <v>310</v>
      </c>
      <c r="B1088" t="s">
        <v>3205</v>
      </c>
      <c r="C1088" t="s">
        <v>3206</v>
      </c>
      <c r="D1088" t="s">
        <v>3427</v>
      </c>
      <c r="E1088" s="1">
        <v>77.047996999999995</v>
      </c>
      <c r="F1088" s="1">
        <v>77.511002000000005</v>
      </c>
      <c r="K1088" s="39">
        <f>DefaultValues!$B$4</f>
        <v>5</v>
      </c>
      <c r="L1088" s="1">
        <f>DefaultValues!$C$4</f>
        <v>0.5</v>
      </c>
      <c r="M1088" s="1" t="str">
        <f>DefaultValues!$D$4</f>
        <v xml:space="preserve">- Within interchange - </v>
      </c>
      <c r="N1088" s="1">
        <v>77.047996999999995</v>
      </c>
      <c r="O1088" s="1">
        <f>ABS(Table4[[#This Row],[EndMP]]-Table4[[#This Row],[StartMP]])</f>
        <v>0.46300500000000966</v>
      </c>
      <c r="P1088" s="1" t="str">
        <f>IF( AND( Table4[[#This Row],[Route]]=ClosureLocation!$B$3, ClosureLocation!$B$6 &gt;= Table4[[#This Row],[StartMP]], ClosureLocation!$B$6 &lt;= Table4[[#This Row],[EndMP]]), "Yes", "")</f>
        <v/>
      </c>
      <c r="Q1088" s="1" t="str">
        <f>IF( AND( Table4[[#This Row],[Route]]=ClosureLocation!$B$3, ClosureLocation!$B$6 &lt;= Table4[[#This Row],[StartMP]], ClosureLocation!$B$6 &gt;= Table4[[#This Row],[EndMP]]), "Yes", "")</f>
        <v/>
      </c>
      <c r="R1088" s="1" t="str">
        <f>IF( OR( Table4[[#This Row],[PrimaryMatch]]="Yes", Table4[[#This Row],[SecondaryMatch]]="Yes"), "Yes", "")</f>
        <v/>
      </c>
    </row>
    <row r="1089" spans="1:18" hidden="1" x14ac:dyDescent="0.25">
      <c r="A1089" t="s">
        <v>310</v>
      </c>
      <c r="B1089" t="s">
        <v>3205</v>
      </c>
      <c r="C1089" t="s">
        <v>3206</v>
      </c>
      <c r="D1089" t="s">
        <v>3427</v>
      </c>
      <c r="E1089" s="1">
        <v>83.233001999999999</v>
      </c>
      <c r="F1089" s="1">
        <v>83.703002999999995</v>
      </c>
      <c r="K1089" s="39">
        <f>DefaultValues!$B$4</f>
        <v>5</v>
      </c>
      <c r="L1089" s="1">
        <f>DefaultValues!$C$4</f>
        <v>0.5</v>
      </c>
      <c r="M1089" s="1" t="str">
        <f>DefaultValues!$D$4</f>
        <v xml:space="preserve">- Within interchange - </v>
      </c>
      <c r="N1089" s="1">
        <v>83.233001999999999</v>
      </c>
      <c r="O1089" s="1">
        <f>ABS(Table4[[#This Row],[EndMP]]-Table4[[#This Row],[StartMP]])</f>
        <v>0.47000099999999634</v>
      </c>
      <c r="P1089" s="1" t="str">
        <f>IF( AND( Table4[[#This Row],[Route]]=ClosureLocation!$B$3, ClosureLocation!$B$6 &gt;= Table4[[#This Row],[StartMP]], ClosureLocation!$B$6 &lt;= Table4[[#This Row],[EndMP]]), "Yes", "")</f>
        <v/>
      </c>
      <c r="Q1089" s="1" t="str">
        <f>IF( AND( Table4[[#This Row],[Route]]=ClosureLocation!$B$3, ClosureLocation!$B$6 &lt;= Table4[[#This Row],[StartMP]], ClosureLocation!$B$6 &gt;= Table4[[#This Row],[EndMP]]), "Yes", "")</f>
        <v/>
      </c>
      <c r="R1089" s="1" t="str">
        <f>IF( OR( Table4[[#This Row],[PrimaryMatch]]="Yes", Table4[[#This Row],[SecondaryMatch]]="Yes"), "Yes", "")</f>
        <v/>
      </c>
    </row>
    <row r="1090" spans="1:18" hidden="1" x14ac:dyDescent="0.25">
      <c r="A1090" t="s">
        <v>310</v>
      </c>
      <c r="B1090" t="s">
        <v>3205</v>
      </c>
      <c r="C1090" t="s">
        <v>3206</v>
      </c>
      <c r="D1090" t="s">
        <v>3427</v>
      </c>
      <c r="E1090" s="1">
        <v>87</v>
      </c>
      <c r="F1090" s="1">
        <v>87.127998000000005</v>
      </c>
      <c r="K1090" s="39">
        <f>DefaultValues!$B$4</f>
        <v>5</v>
      </c>
      <c r="L1090" s="1">
        <f>DefaultValues!$C$4</f>
        <v>0.5</v>
      </c>
      <c r="M1090" s="1" t="str">
        <f>DefaultValues!$D$4</f>
        <v xml:space="preserve">- Within interchange - </v>
      </c>
      <c r="N1090" s="1">
        <v>87</v>
      </c>
      <c r="O1090" s="1">
        <f>ABS(Table4[[#This Row],[EndMP]]-Table4[[#This Row],[StartMP]])</f>
        <v>0.12799800000000516</v>
      </c>
      <c r="P1090" s="1" t="str">
        <f>IF( AND( Table4[[#This Row],[Route]]=ClosureLocation!$B$3, ClosureLocation!$B$6 &gt;= Table4[[#This Row],[StartMP]], ClosureLocation!$B$6 &lt;= Table4[[#This Row],[EndMP]]), "Yes", "")</f>
        <v/>
      </c>
      <c r="Q1090" s="1" t="str">
        <f>IF( AND( Table4[[#This Row],[Route]]=ClosureLocation!$B$3, ClosureLocation!$B$6 &lt;= Table4[[#This Row],[StartMP]], ClosureLocation!$B$6 &gt;= Table4[[#This Row],[EndMP]]), "Yes", "")</f>
        <v/>
      </c>
      <c r="R1090" s="1" t="str">
        <f>IF( OR( Table4[[#This Row],[PrimaryMatch]]="Yes", Table4[[#This Row],[SecondaryMatch]]="Yes"), "Yes", "")</f>
        <v/>
      </c>
    </row>
    <row r="1091" spans="1:18" hidden="1" x14ac:dyDescent="0.25">
      <c r="A1091" t="s">
        <v>310</v>
      </c>
      <c r="B1091" t="s">
        <v>3205</v>
      </c>
      <c r="C1091" t="s">
        <v>3206</v>
      </c>
      <c r="D1091" t="s">
        <v>3427</v>
      </c>
      <c r="E1091" s="1">
        <v>87.672996999999995</v>
      </c>
      <c r="F1091" s="1">
        <v>88.149001999999996</v>
      </c>
      <c r="K1091" s="39">
        <f>DefaultValues!$B$4</f>
        <v>5</v>
      </c>
      <c r="L1091" s="1">
        <f>DefaultValues!$C$4</f>
        <v>0.5</v>
      </c>
      <c r="M1091" s="1" t="str">
        <f>DefaultValues!$D$4</f>
        <v xml:space="preserve">- Within interchange - </v>
      </c>
      <c r="N1091" s="1">
        <v>87.672996999999995</v>
      </c>
      <c r="O1091" s="1">
        <f>ABS(Table4[[#This Row],[EndMP]]-Table4[[#This Row],[StartMP]])</f>
        <v>0.47600500000000068</v>
      </c>
      <c r="P1091" s="1" t="str">
        <f>IF( AND( Table4[[#This Row],[Route]]=ClosureLocation!$B$3, ClosureLocation!$B$6 &gt;= Table4[[#This Row],[StartMP]], ClosureLocation!$B$6 &lt;= Table4[[#This Row],[EndMP]]), "Yes", "")</f>
        <v/>
      </c>
      <c r="Q1091" s="1" t="str">
        <f>IF( AND( Table4[[#This Row],[Route]]=ClosureLocation!$B$3, ClosureLocation!$B$6 &lt;= Table4[[#This Row],[StartMP]], ClosureLocation!$B$6 &gt;= Table4[[#This Row],[EndMP]]), "Yes", "")</f>
        <v/>
      </c>
      <c r="R1091" s="1" t="str">
        <f>IF( OR( Table4[[#This Row],[PrimaryMatch]]="Yes", Table4[[#This Row],[SecondaryMatch]]="Yes"), "Yes", "")</f>
        <v/>
      </c>
    </row>
    <row r="1092" spans="1:18" hidden="1" x14ac:dyDescent="0.25">
      <c r="A1092" t="s">
        <v>310</v>
      </c>
      <c r="B1092" t="s">
        <v>3205</v>
      </c>
      <c r="C1092" t="s">
        <v>3206</v>
      </c>
      <c r="D1092" t="s">
        <v>3427</v>
      </c>
      <c r="E1092" s="1">
        <v>90.457999999999998</v>
      </c>
      <c r="F1092" s="1">
        <v>90.748001000000002</v>
      </c>
      <c r="K1092" s="39">
        <f>DefaultValues!$B$4</f>
        <v>5</v>
      </c>
      <c r="L1092" s="1">
        <f>DefaultValues!$C$4</f>
        <v>0.5</v>
      </c>
      <c r="M1092" s="1" t="str">
        <f>DefaultValues!$D$4</f>
        <v xml:space="preserve">- Within interchange - </v>
      </c>
      <c r="N1092" s="1">
        <v>90.457999999999998</v>
      </c>
      <c r="O1092" s="1">
        <f>ABS(Table4[[#This Row],[EndMP]]-Table4[[#This Row],[StartMP]])</f>
        <v>0.29000100000000373</v>
      </c>
      <c r="P1092" s="1" t="str">
        <f>IF( AND( Table4[[#This Row],[Route]]=ClosureLocation!$B$3, ClosureLocation!$B$6 &gt;= Table4[[#This Row],[StartMP]], ClosureLocation!$B$6 &lt;= Table4[[#This Row],[EndMP]]), "Yes", "")</f>
        <v/>
      </c>
      <c r="Q1092" s="1" t="str">
        <f>IF( AND( Table4[[#This Row],[Route]]=ClosureLocation!$B$3, ClosureLocation!$B$6 &lt;= Table4[[#This Row],[StartMP]], ClosureLocation!$B$6 &gt;= Table4[[#This Row],[EndMP]]), "Yes", "")</f>
        <v/>
      </c>
      <c r="R1092" s="1" t="str">
        <f>IF( OR( Table4[[#This Row],[PrimaryMatch]]="Yes", Table4[[#This Row],[SecondaryMatch]]="Yes"), "Yes", "")</f>
        <v/>
      </c>
    </row>
    <row r="1093" spans="1:18" hidden="1" x14ac:dyDescent="0.25">
      <c r="A1093" t="s">
        <v>310</v>
      </c>
      <c r="B1093" t="s">
        <v>3205</v>
      </c>
      <c r="C1093" t="s">
        <v>3206</v>
      </c>
      <c r="D1093" t="s">
        <v>3427</v>
      </c>
      <c r="E1093" s="1">
        <v>94.640998999999994</v>
      </c>
      <c r="F1093" s="1">
        <v>94.927002000000002</v>
      </c>
      <c r="K1093" s="39">
        <f>DefaultValues!$B$4</f>
        <v>5</v>
      </c>
      <c r="L1093" s="1">
        <f>DefaultValues!$C$4</f>
        <v>0.5</v>
      </c>
      <c r="M1093" s="1" t="str">
        <f>DefaultValues!$D$4</f>
        <v xml:space="preserve">- Within interchange - </v>
      </c>
      <c r="N1093" s="1">
        <v>94.640998999999994</v>
      </c>
      <c r="O1093" s="1">
        <f>ABS(Table4[[#This Row],[EndMP]]-Table4[[#This Row],[StartMP]])</f>
        <v>0.286003000000008</v>
      </c>
      <c r="P1093" s="1" t="str">
        <f>IF( AND( Table4[[#This Row],[Route]]=ClosureLocation!$B$3, ClosureLocation!$B$6 &gt;= Table4[[#This Row],[StartMP]], ClosureLocation!$B$6 &lt;= Table4[[#This Row],[EndMP]]), "Yes", "")</f>
        <v/>
      </c>
      <c r="Q1093" s="1" t="str">
        <f>IF( AND( Table4[[#This Row],[Route]]=ClosureLocation!$B$3, ClosureLocation!$B$6 &lt;= Table4[[#This Row],[StartMP]], ClosureLocation!$B$6 &gt;= Table4[[#This Row],[EndMP]]), "Yes", "")</f>
        <v/>
      </c>
      <c r="R1093" s="1" t="str">
        <f>IF( OR( Table4[[#This Row],[PrimaryMatch]]="Yes", Table4[[#This Row],[SecondaryMatch]]="Yes"), "Yes", "")</f>
        <v/>
      </c>
    </row>
    <row r="1094" spans="1:18" hidden="1" x14ac:dyDescent="0.25">
      <c r="A1094" t="s">
        <v>310</v>
      </c>
      <c r="B1094" t="s">
        <v>3205</v>
      </c>
      <c r="C1094" t="s">
        <v>3206</v>
      </c>
      <c r="D1094" t="s">
        <v>3427</v>
      </c>
      <c r="E1094" s="1">
        <v>95.767998000000006</v>
      </c>
      <c r="F1094" s="1">
        <v>96.103995999999995</v>
      </c>
      <c r="K1094" s="39">
        <f>DefaultValues!$B$4</f>
        <v>5</v>
      </c>
      <c r="L1094" s="1">
        <f>DefaultValues!$C$4</f>
        <v>0.5</v>
      </c>
      <c r="M1094" s="1" t="str">
        <f>DefaultValues!$D$4</f>
        <v xml:space="preserve">- Within interchange - </v>
      </c>
      <c r="N1094" s="1">
        <v>95.767998000000006</v>
      </c>
      <c r="O1094" s="1">
        <f>ABS(Table4[[#This Row],[EndMP]]-Table4[[#This Row],[StartMP]])</f>
        <v>0.33599799999998936</v>
      </c>
      <c r="P1094" s="1" t="str">
        <f>IF( AND( Table4[[#This Row],[Route]]=ClosureLocation!$B$3, ClosureLocation!$B$6 &gt;= Table4[[#This Row],[StartMP]], ClosureLocation!$B$6 &lt;= Table4[[#This Row],[EndMP]]), "Yes", "")</f>
        <v/>
      </c>
      <c r="Q1094" s="1" t="str">
        <f>IF( AND( Table4[[#This Row],[Route]]=ClosureLocation!$B$3, ClosureLocation!$B$6 &lt;= Table4[[#This Row],[StartMP]], ClosureLocation!$B$6 &gt;= Table4[[#This Row],[EndMP]]), "Yes", "")</f>
        <v/>
      </c>
      <c r="R1094" s="1" t="str">
        <f>IF( OR( Table4[[#This Row],[PrimaryMatch]]="Yes", Table4[[#This Row],[SecondaryMatch]]="Yes"), "Yes", "")</f>
        <v/>
      </c>
    </row>
    <row r="1095" spans="1:18" hidden="1" x14ac:dyDescent="0.25">
      <c r="A1095" t="s">
        <v>310</v>
      </c>
      <c r="B1095" t="s">
        <v>3205</v>
      </c>
      <c r="C1095" t="s">
        <v>3206</v>
      </c>
      <c r="D1095" t="s">
        <v>3427</v>
      </c>
      <c r="E1095" s="1">
        <v>96.533996999999999</v>
      </c>
      <c r="F1095" s="1">
        <v>96.828002999999995</v>
      </c>
      <c r="K1095" s="39">
        <f>DefaultValues!$B$4</f>
        <v>5</v>
      </c>
      <c r="L1095" s="1">
        <f>DefaultValues!$C$4</f>
        <v>0.5</v>
      </c>
      <c r="M1095" s="1" t="str">
        <f>DefaultValues!$D$4</f>
        <v xml:space="preserve">- Within interchange - </v>
      </c>
      <c r="N1095" s="1">
        <v>96.533996999999999</v>
      </c>
      <c r="O1095" s="1">
        <f>ABS(Table4[[#This Row],[EndMP]]-Table4[[#This Row],[StartMP]])</f>
        <v>0.29400599999999599</v>
      </c>
      <c r="P1095" s="1" t="str">
        <f>IF( AND( Table4[[#This Row],[Route]]=ClosureLocation!$B$3, ClosureLocation!$B$6 &gt;= Table4[[#This Row],[StartMP]], ClosureLocation!$B$6 &lt;= Table4[[#This Row],[EndMP]]), "Yes", "")</f>
        <v/>
      </c>
      <c r="Q1095" s="1" t="str">
        <f>IF( AND( Table4[[#This Row],[Route]]=ClosureLocation!$B$3, ClosureLocation!$B$6 &lt;= Table4[[#This Row],[StartMP]], ClosureLocation!$B$6 &gt;= Table4[[#This Row],[EndMP]]), "Yes", "")</f>
        <v/>
      </c>
      <c r="R1095" s="1" t="str">
        <f>IF( OR( Table4[[#This Row],[PrimaryMatch]]="Yes", Table4[[#This Row],[SecondaryMatch]]="Yes"), "Yes", "")</f>
        <v/>
      </c>
    </row>
    <row r="1096" spans="1:18" hidden="1" x14ac:dyDescent="0.25">
      <c r="A1096" t="s">
        <v>310</v>
      </c>
      <c r="B1096" t="s">
        <v>3205</v>
      </c>
      <c r="C1096" t="s">
        <v>3206</v>
      </c>
      <c r="D1096" t="s">
        <v>3427</v>
      </c>
      <c r="E1096" s="1">
        <v>97.287002999999999</v>
      </c>
      <c r="F1096" s="1">
        <v>97.331001000000001</v>
      </c>
      <c r="K1096" s="39">
        <f>DefaultValues!$B$4</f>
        <v>5</v>
      </c>
      <c r="L1096" s="1">
        <f>DefaultValues!$C$4</f>
        <v>0.5</v>
      </c>
      <c r="M1096" s="1" t="str">
        <f>DefaultValues!$D$4</f>
        <v xml:space="preserve">- Within interchange - </v>
      </c>
      <c r="N1096" s="1">
        <v>97.287002999999999</v>
      </c>
      <c r="O1096" s="1">
        <f>ABS(Table4[[#This Row],[EndMP]]-Table4[[#This Row],[StartMP]])</f>
        <v>4.399800000000198E-2</v>
      </c>
      <c r="P1096" s="1" t="str">
        <f>IF( AND( Table4[[#This Row],[Route]]=ClosureLocation!$B$3, ClosureLocation!$B$6 &gt;= Table4[[#This Row],[StartMP]], ClosureLocation!$B$6 &lt;= Table4[[#This Row],[EndMP]]), "Yes", "")</f>
        <v/>
      </c>
      <c r="Q1096" s="1" t="str">
        <f>IF( AND( Table4[[#This Row],[Route]]=ClosureLocation!$B$3, ClosureLocation!$B$6 &lt;= Table4[[#This Row],[StartMP]], ClosureLocation!$B$6 &gt;= Table4[[#This Row],[EndMP]]), "Yes", "")</f>
        <v/>
      </c>
      <c r="R1096" s="1" t="str">
        <f>IF( OR( Table4[[#This Row],[PrimaryMatch]]="Yes", Table4[[#This Row],[SecondaryMatch]]="Yes"), "Yes", "")</f>
        <v/>
      </c>
    </row>
    <row r="1097" spans="1:18" hidden="1" x14ac:dyDescent="0.25">
      <c r="A1097" t="s">
        <v>310</v>
      </c>
      <c r="B1097" t="s">
        <v>3205</v>
      </c>
      <c r="C1097" t="s">
        <v>3206</v>
      </c>
      <c r="D1097" t="s">
        <v>3427</v>
      </c>
      <c r="E1097" s="1">
        <v>97.747001999999995</v>
      </c>
      <c r="F1097" s="1">
        <v>97.820999</v>
      </c>
      <c r="K1097" s="39">
        <f>DefaultValues!$B$4</f>
        <v>5</v>
      </c>
      <c r="L1097" s="1">
        <f>DefaultValues!$C$4</f>
        <v>0.5</v>
      </c>
      <c r="M1097" s="1" t="str">
        <f>DefaultValues!$D$4</f>
        <v xml:space="preserve">- Within interchange - </v>
      </c>
      <c r="N1097" s="1">
        <v>97.747001999999995</v>
      </c>
      <c r="O1097" s="1">
        <f>ABS(Table4[[#This Row],[EndMP]]-Table4[[#This Row],[StartMP]])</f>
        <v>7.3997000000005642E-2</v>
      </c>
      <c r="P1097" s="1" t="str">
        <f>IF( AND( Table4[[#This Row],[Route]]=ClosureLocation!$B$3, ClosureLocation!$B$6 &gt;= Table4[[#This Row],[StartMP]], ClosureLocation!$B$6 &lt;= Table4[[#This Row],[EndMP]]), "Yes", "")</f>
        <v/>
      </c>
      <c r="Q1097" s="1" t="str">
        <f>IF( AND( Table4[[#This Row],[Route]]=ClosureLocation!$B$3, ClosureLocation!$B$6 &lt;= Table4[[#This Row],[StartMP]], ClosureLocation!$B$6 &gt;= Table4[[#This Row],[EndMP]]), "Yes", "")</f>
        <v/>
      </c>
      <c r="R1097" s="1" t="str">
        <f>IF( OR( Table4[[#This Row],[PrimaryMatch]]="Yes", Table4[[#This Row],[SecondaryMatch]]="Yes"), "Yes", "")</f>
        <v/>
      </c>
    </row>
    <row r="1098" spans="1:18" hidden="1" x14ac:dyDescent="0.25">
      <c r="A1098" t="s">
        <v>310</v>
      </c>
      <c r="B1098" t="s">
        <v>3205</v>
      </c>
      <c r="C1098" t="s">
        <v>3206</v>
      </c>
      <c r="D1098" t="s">
        <v>3427</v>
      </c>
      <c r="E1098" s="1">
        <v>98.439003</v>
      </c>
      <c r="F1098" s="1">
        <v>98.727997000000002</v>
      </c>
      <c r="K1098" s="39">
        <f>DefaultValues!$B$4</f>
        <v>5</v>
      </c>
      <c r="L1098" s="1">
        <f>DefaultValues!$C$4</f>
        <v>0.5</v>
      </c>
      <c r="M1098" s="1" t="str">
        <f>DefaultValues!$D$4</f>
        <v xml:space="preserve">- Within interchange - </v>
      </c>
      <c r="N1098" s="1">
        <v>98.439003</v>
      </c>
      <c r="O1098" s="1">
        <f>ABS(Table4[[#This Row],[EndMP]]-Table4[[#This Row],[StartMP]])</f>
        <v>0.28899400000000242</v>
      </c>
      <c r="P1098" s="1" t="str">
        <f>IF( AND( Table4[[#This Row],[Route]]=ClosureLocation!$B$3, ClosureLocation!$B$6 &gt;= Table4[[#This Row],[StartMP]], ClosureLocation!$B$6 &lt;= Table4[[#This Row],[EndMP]]), "Yes", "")</f>
        <v/>
      </c>
      <c r="Q1098" s="1" t="str">
        <f>IF( AND( Table4[[#This Row],[Route]]=ClosureLocation!$B$3, ClosureLocation!$B$6 &lt;= Table4[[#This Row],[StartMP]], ClosureLocation!$B$6 &gt;= Table4[[#This Row],[EndMP]]), "Yes", "")</f>
        <v/>
      </c>
      <c r="R1098" s="1" t="str">
        <f>IF( OR( Table4[[#This Row],[PrimaryMatch]]="Yes", Table4[[#This Row],[SecondaryMatch]]="Yes"), "Yes", "")</f>
        <v/>
      </c>
    </row>
    <row r="1099" spans="1:18" hidden="1" x14ac:dyDescent="0.25">
      <c r="A1099" t="s">
        <v>310</v>
      </c>
      <c r="B1099" t="s">
        <v>3205</v>
      </c>
      <c r="C1099" t="s">
        <v>3206</v>
      </c>
      <c r="D1099" t="s">
        <v>3427</v>
      </c>
      <c r="E1099" s="1">
        <v>99.195999</v>
      </c>
      <c r="F1099" s="1">
        <v>99.563004000000006</v>
      </c>
      <c r="K1099" s="39">
        <f>DefaultValues!$B$4</f>
        <v>5</v>
      </c>
      <c r="L1099" s="1">
        <f>DefaultValues!$C$4</f>
        <v>0.5</v>
      </c>
      <c r="M1099" s="1" t="str">
        <f>DefaultValues!$D$4</f>
        <v xml:space="preserve">- Within interchange - </v>
      </c>
      <c r="N1099" s="1">
        <v>99.195999</v>
      </c>
      <c r="O1099" s="1">
        <f>ABS(Table4[[#This Row],[EndMP]]-Table4[[#This Row],[StartMP]])</f>
        <v>0.36700500000000602</v>
      </c>
      <c r="P1099" s="1" t="str">
        <f>IF( AND( Table4[[#This Row],[Route]]=ClosureLocation!$B$3, ClosureLocation!$B$6 &gt;= Table4[[#This Row],[StartMP]], ClosureLocation!$B$6 &lt;= Table4[[#This Row],[EndMP]]), "Yes", "")</f>
        <v/>
      </c>
      <c r="Q1099" s="1" t="str">
        <f>IF( AND( Table4[[#This Row],[Route]]=ClosureLocation!$B$3, ClosureLocation!$B$6 &lt;= Table4[[#This Row],[StartMP]], ClosureLocation!$B$6 &gt;= Table4[[#This Row],[EndMP]]), "Yes", "")</f>
        <v/>
      </c>
      <c r="R1099" s="1" t="str">
        <f>IF( OR( Table4[[#This Row],[PrimaryMatch]]="Yes", Table4[[#This Row],[SecondaryMatch]]="Yes"), "Yes", "")</f>
        <v/>
      </c>
    </row>
    <row r="1100" spans="1:18" hidden="1" x14ac:dyDescent="0.25">
      <c r="A1100" t="s">
        <v>310</v>
      </c>
      <c r="B1100" t="s">
        <v>3205</v>
      </c>
      <c r="C1100" t="s">
        <v>3206</v>
      </c>
      <c r="D1100" t="s">
        <v>3427</v>
      </c>
      <c r="E1100" s="1">
        <v>99.841003000000001</v>
      </c>
      <c r="F1100" s="1">
        <v>100.15100099999999</v>
      </c>
      <c r="K1100" s="39">
        <f>DefaultValues!$B$4</f>
        <v>5</v>
      </c>
      <c r="L1100" s="1">
        <f>DefaultValues!$C$4</f>
        <v>0.5</v>
      </c>
      <c r="M1100" s="1" t="str">
        <f>DefaultValues!$D$4</f>
        <v xml:space="preserve">- Within interchange - </v>
      </c>
      <c r="N1100" s="1">
        <v>99.841003000000001</v>
      </c>
      <c r="O1100" s="1">
        <f>ABS(Table4[[#This Row],[EndMP]]-Table4[[#This Row],[StartMP]])</f>
        <v>0.30999799999999311</v>
      </c>
      <c r="P1100" s="1" t="str">
        <f>IF( AND( Table4[[#This Row],[Route]]=ClosureLocation!$B$3, ClosureLocation!$B$6 &gt;= Table4[[#This Row],[StartMP]], ClosureLocation!$B$6 &lt;= Table4[[#This Row],[EndMP]]), "Yes", "")</f>
        <v/>
      </c>
      <c r="Q1100" s="1" t="str">
        <f>IF( AND( Table4[[#This Row],[Route]]=ClosureLocation!$B$3, ClosureLocation!$B$6 &lt;= Table4[[#This Row],[StartMP]], ClosureLocation!$B$6 &gt;= Table4[[#This Row],[EndMP]]), "Yes", "")</f>
        <v/>
      </c>
      <c r="R1100" s="1" t="str">
        <f>IF( OR( Table4[[#This Row],[PrimaryMatch]]="Yes", Table4[[#This Row],[SecondaryMatch]]="Yes"), "Yes", "")</f>
        <v/>
      </c>
    </row>
    <row r="1101" spans="1:18" hidden="1" x14ac:dyDescent="0.25">
      <c r="A1101" t="s">
        <v>310</v>
      </c>
      <c r="B1101" t="s">
        <v>3205</v>
      </c>
      <c r="C1101" t="s">
        <v>3206</v>
      </c>
      <c r="D1101" t="s">
        <v>3427</v>
      </c>
      <c r="E1101" s="1">
        <v>101.146004</v>
      </c>
      <c r="F1101" s="1">
        <v>101.733002</v>
      </c>
      <c r="K1101" s="39">
        <f>DefaultValues!$B$4</f>
        <v>5</v>
      </c>
      <c r="L1101" s="1">
        <f>DefaultValues!$C$4</f>
        <v>0.5</v>
      </c>
      <c r="M1101" s="1" t="str">
        <f>DefaultValues!$D$4</f>
        <v xml:space="preserve">- Within interchange - </v>
      </c>
      <c r="N1101" s="1">
        <v>101.146004</v>
      </c>
      <c r="O1101" s="1">
        <f>ABS(Table4[[#This Row],[EndMP]]-Table4[[#This Row],[StartMP]])</f>
        <v>0.58699799999999414</v>
      </c>
      <c r="P1101" s="1" t="str">
        <f>IF( AND( Table4[[#This Row],[Route]]=ClosureLocation!$B$3, ClosureLocation!$B$6 &gt;= Table4[[#This Row],[StartMP]], ClosureLocation!$B$6 &lt;= Table4[[#This Row],[EndMP]]), "Yes", "")</f>
        <v/>
      </c>
      <c r="Q1101" s="1" t="str">
        <f>IF( AND( Table4[[#This Row],[Route]]=ClosureLocation!$B$3, ClosureLocation!$B$6 &lt;= Table4[[#This Row],[StartMP]], ClosureLocation!$B$6 &gt;= Table4[[#This Row],[EndMP]]), "Yes", "")</f>
        <v/>
      </c>
      <c r="R1101" s="1" t="str">
        <f>IF( OR( Table4[[#This Row],[PrimaryMatch]]="Yes", Table4[[#This Row],[SecondaryMatch]]="Yes"), "Yes", "")</f>
        <v/>
      </c>
    </row>
    <row r="1102" spans="1:18" hidden="1" x14ac:dyDescent="0.25">
      <c r="A1102" t="s">
        <v>310</v>
      </c>
      <c r="B1102" t="s">
        <v>3205</v>
      </c>
      <c r="C1102" t="s">
        <v>3206</v>
      </c>
      <c r="D1102" t="s">
        <v>3427</v>
      </c>
      <c r="E1102" s="1">
        <v>102.00900300000001</v>
      </c>
      <c r="F1102" s="1">
        <v>102.545998</v>
      </c>
      <c r="K1102" s="39">
        <f>DefaultValues!$B$4</f>
        <v>5</v>
      </c>
      <c r="L1102" s="1">
        <f>DefaultValues!$C$4</f>
        <v>0.5</v>
      </c>
      <c r="M1102" s="1" t="str">
        <f>DefaultValues!$D$4</f>
        <v xml:space="preserve">- Within interchange - </v>
      </c>
      <c r="N1102" s="1">
        <v>102.00900300000001</v>
      </c>
      <c r="O1102" s="1">
        <f>ABS(Table4[[#This Row],[EndMP]]-Table4[[#This Row],[StartMP]])</f>
        <v>0.53699499999999034</v>
      </c>
      <c r="P1102" s="1" t="str">
        <f>IF( AND( Table4[[#This Row],[Route]]=ClosureLocation!$B$3, ClosureLocation!$B$6 &gt;= Table4[[#This Row],[StartMP]], ClosureLocation!$B$6 &lt;= Table4[[#This Row],[EndMP]]), "Yes", "")</f>
        <v/>
      </c>
      <c r="Q1102" s="1" t="str">
        <f>IF( AND( Table4[[#This Row],[Route]]=ClosureLocation!$B$3, ClosureLocation!$B$6 &lt;= Table4[[#This Row],[StartMP]], ClosureLocation!$B$6 &gt;= Table4[[#This Row],[EndMP]]), "Yes", "")</f>
        <v/>
      </c>
      <c r="R1102" s="1" t="str">
        <f>IF( OR( Table4[[#This Row],[PrimaryMatch]]="Yes", Table4[[#This Row],[SecondaryMatch]]="Yes"), "Yes", "")</f>
        <v/>
      </c>
    </row>
    <row r="1103" spans="1:18" hidden="1" x14ac:dyDescent="0.25">
      <c r="A1103" t="s">
        <v>310</v>
      </c>
      <c r="B1103" t="s">
        <v>3205</v>
      </c>
      <c r="C1103" t="s">
        <v>3206</v>
      </c>
      <c r="D1103" t="s">
        <v>3427</v>
      </c>
      <c r="E1103" s="1">
        <v>103.685997</v>
      </c>
      <c r="F1103" s="1">
        <v>104.042</v>
      </c>
      <c r="K1103" s="39">
        <f>DefaultValues!$B$4</f>
        <v>5</v>
      </c>
      <c r="L1103" s="1">
        <f>DefaultValues!$C$4</f>
        <v>0.5</v>
      </c>
      <c r="M1103" s="1" t="str">
        <f>DefaultValues!$D$4</f>
        <v xml:space="preserve">- Within interchange - </v>
      </c>
      <c r="N1103" s="1">
        <v>103.685997</v>
      </c>
      <c r="O1103" s="1">
        <f>ABS(Table4[[#This Row],[EndMP]]-Table4[[#This Row],[StartMP]])</f>
        <v>0.35600300000000118</v>
      </c>
      <c r="P1103" s="1" t="str">
        <f>IF( AND( Table4[[#This Row],[Route]]=ClosureLocation!$B$3, ClosureLocation!$B$6 &gt;= Table4[[#This Row],[StartMP]], ClosureLocation!$B$6 &lt;= Table4[[#This Row],[EndMP]]), "Yes", "")</f>
        <v/>
      </c>
      <c r="Q1103" s="1" t="str">
        <f>IF( AND( Table4[[#This Row],[Route]]=ClosureLocation!$B$3, ClosureLocation!$B$6 &lt;= Table4[[#This Row],[StartMP]], ClosureLocation!$B$6 &gt;= Table4[[#This Row],[EndMP]]), "Yes", "")</f>
        <v/>
      </c>
      <c r="R1103" s="1" t="str">
        <f>IF( OR( Table4[[#This Row],[PrimaryMatch]]="Yes", Table4[[#This Row],[SecondaryMatch]]="Yes"), "Yes", "")</f>
        <v/>
      </c>
    </row>
    <row r="1104" spans="1:18" hidden="1" x14ac:dyDescent="0.25">
      <c r="A1104" t="s">
        <v>310</v>
      </c>
      <c r="B1104" t="s">
        <v>3205</v>
      </c>
      <c r="C1104" t="s">
        <v>3206</v>
      </c>
      <c r="D1104" t="s">
        <v>3427</v>
      </c>
      <c r="E1104" s="1">
        <v>107.829002</v>
      </c>
      <c r="F1104" s="1">
        <v>108.141998</v>
      </c>
      <c r="K1104" s="39">
        <f>DefaultValues!$B$4</f>
        <v>5</v>
      </c>
      <c r="L1104" s="1">
        <f>DefaultValues!$C$4</f>
        <v>0.5</v>
      </c>
      <c r="M1104" s="1" t="str">
        <f>DefaultValues!$D$4</f>
        <v xml:space="preserve">- Within interchange - </v>
      </c>
      <c r="N1104" s="1">
        <v>107.829002</v>
      </c>
      <c r="O1104" s="1">
        <f>ABS(Table4[[#This Row],[EndMP]]-Table4[[#This Row],[StartMP]])</f>
        <v>0.31299599999999828</v>
      </c>
      <c r="P1104" s="1" t="str">
        <f>IF( AND( Table4[[#This Row],[Route]]=ClosureLocation!$B$3, ClosureLocation!$B$6 &gt;= Table4[[#This Row],[StartMP]], ClosureLocation!$B$6 &lt;= Table4[[#This Row],[EndMP]]), "Yes", "")</f>
        <v/>
      </c>
      <c r="Q1104" s="1" t="str">
        <f>IF( AND( Table4[[#This Row],[Route]]=ClosureLocation!$B$3, ClosureLocation!$B$6 &lt;= Table4[[#This Row],[StartMP]], ClosureLocation!$B$6 &gt;= Table4[[#This Row],[EndMP]]), "Yes", "")</f>
        <v/>
      </c>
      <c r="R1104" s="1" t="str">
        <f>IF( OR( Table4[[#This Row],[PrimaryMatch]]="Yes", Table4[[#This Row],[SecondaryMatch]]="Yes"), "Yes", "")</f>
        <v/>
      </c>
    </row>
    <row r="1105" spans="1:18" hidden="1" x14ac:dyDescent="0.25">
      <c r="A1105" t="s">
        <v>310</v>
      </c>
      <c r="B1105" t="s">
        <v>3205</v>
      </c>
      <c r="C1105" t="s">
        <v>3206</v>
      </c>
      <c r="D1105" t="s">
        <v>3427</v>
      </c>
      <c r="E1105" s="1">
        <v>109.93699599999999</v>
      </c>
      <c r="F1105" s="1">
        <v>110.39299800000001</v>
      </c>
      <c r="K1105" s="39">
        <f>DefaultValues!$B$4</f>
        <v>5</v>
      </c>
      <c r="L1105" s="1">
        <f>DefaultValues!$C$4</f>
        <v>0.5</v>
      </c>
      <c r="M1105" s="1" t="str">
        <f>DefaultValues!$D$4</f>
        <v xml:space="preserve">- Within interchange - </v>
      </c>
      <c r="N1105" s="1">
        <v>109.93699599999999</v>
      </c>
      <c r="O1105" s="1">
        <f>ABS(Table4[[#This Row],[EndMP]]-Table4[[#This Row],[StartMP]])</f>
        <v>0.45600200000001223</v>
      </c>
      <c r="P1105" s="1" t="str">
        <f>IF( AND( Table4[[#This Row],[Route]]=ClosureLocation!$B$3, ClosureLocation!$B$6 &gt;= Table4[[#This Row],[StartMP]], ClosureLocation!$B$6 &lt;= Table4[[#This Row],[EndMP]]), "Yes", "")</f>
        <v/>
      </c>
      <c r="Q1105" s="1" t="str">
        <f>IF( AND( Table4[[#This Row],[Route]]=ClosureLocation!$B$3, ClosureLocation!$B$6 &lt;= Table4[[#This Row],[StartMP]], ClosureLocation!$B$6 &gt;= Table4[[#This Row],[EndMP]]), "Yes", "")</f>
        <v/>
      </c>
      <c r="R1105" s="1" t="str">
        <f>IF( OR( Table4[[#This Row],[PrimaryMatch]]="Yes", Table4[[#This Row],[SecondaryMatch]]="Yes"), "Yes", "")</f>
        <v/>
      </c>
    </row>
    <row r="1106" spans="1:18" hidden="1" x14ac:dyDescent="0.25">
      <c r="A1106" t="s">
        <v>310</v>
      </c>
      <c r="B1106" t="s">
        <v>3205</v>
      </c>
      <c r="C1106" t="s">
        <v>3206</v>
      </c>
      <c r="D1106" t="s">
        <v>3427</v>
      </c>
      <c r="E1106" s="1">
        <v>113.773003</v>
      </c>
      <c r="F1106" s="1">
        <v>114.08200100000001</v>
      </c>
      <c r="K1106" s="39">
        <f>DefaultValues!$B$4</f>
        <v>5</v>
      </c>
      <c r="L1106" s="1">
        <f>DefaultValues!$C$4</f>
        <v>0.5</v>
      </c>
      <c r="M1106" s="1" t="str">
        <f>DefaultValues!$D$4</f>
        <v xml:space="preserve">- Within interchange - </v>
      </c>
      <c r="N1106" s="1">
        <v>113.773003</v>
      </c>
      <c r="O1106" s="1">
        <f>ABS(Table4[[#This Row],[EndMP]]-Table4[[#This Row],[StartMP]])</f>
        <v>0.30899800000000255</v>
      </c>
      <c r="P1106" s="1" t="str">
        <f>IF( AND( Table4[[#This Row],[Route]]=ClosureLocation!$B$3, ClosureLocation!$B$6 &gt;= Table4[[#This Row],[StartMP]], ClosureLocation!$B$6 &lt;= Table4[[#This Row],[EndMP]]), "Yes", "")</f>
        <v/>
      </c>
      <c r="Q1106" s="1" t="str">
        <f>IF( AND( Table4[[#This Row],[Route]]=ClosureLocation!$B$3, ClosureLocation!$B$6 &lt;= Table4[[#This Row],[StartMP]], ClosureLocation!$B$6 &gt;= Table4[[#This Row],[EndMP]]), "Yes", "")</f>
        <v/>
      </c>
      <c r="R1106" s="1" t="str">
        <f>IF( OR( Table4[[#This Row],[PrimaryMatch]]="Yes", Table4[[#This Row],[SecondaryMatch]]="Yes"), "Yes", "")</f>
        <v/>
      </c>
    </row>
    <row r="1107" spans="1:18" hidden="1" x14ac:dyDescent="0.25">
      <c r="A1107" t="s">
        <v>310</v>
      </c>
      <c r="B1107" t="s">
        <v>3205</v>
      </c>
      <c r="C1107" t="s">
        <v>3206</v>
      </c>
      <c r="D1107" t="s">
        <v>3427</v>
      </c>
      <c r="E1107" s="1">
        <v>114.886002</v>
      </c>
      <c r="F1107" s="1">
        <v>115.081001</v>
      </c>
      <c r="K1107" s="39">
        <f>DefaultValues!$B$4</f>
        <v>5</v>
      </c>
      <c r="L1107" s="1">
        <f>DefaultValues!$C$4</f>
        <v>0.5</v>
      </c>
      <c r="M1107" s="1" t="str">
        <f>DefaultValues!$D$4</f>
        <v xml:space="preserve">- Within interchange - </v>
      </c>
      <c r="N1107" s="1">
        <v>114.886002</v>
      </c>
      <c r="O1107" s="1">
        <f>ABS(Table4[[#This Row],[EndMP]]-Table4[[#This Row],[StartMP]])</f>
        <v>0.1949989999999957</v>
      </c>
      <c r="P1107" s="1" t="str">
        <f>IF( AND( Table4[[#This Row],[Route]]=ClosureLocation!$B$3, ClosureLocation!$B$6 &gt;= Table4[[#This Row],[StartMP]], ClosureLocation!$B$6 &lt;= Table4[[#This Row],[EndMP]]), "Yes", "")</f>
        <v/>
      </c>
      <c r="Q1107" s="1" t="str">
        <f>IF( AND( Table4[[#This Row],[Route]]=ClosureLocation!$B$3, ClosureLocation!$B$6 &lt;= Table4[[#This Row],[StartMP]], ClosureLocation!$B$6 &gt;= Table4[[#This Row],[EndMP]]), "Yes", "")</f>
        <v/>
      </c>
      <c r="R1107" s="1" t="str">
        <f>IF( OR( Table4[[#This Row],[PrimaryMatch]]="Yes", Table4[[#This Row],[SecondaryMatch]]="Yes"), "Yes", "")</f>
        <v/>
      </c>
    </row>
    <row r="1108" spans="1:18" hidden="1" x14ac:dyDescent="0.25">
      <c r="A1108" t="s">
        <v>310</v>
      </c>
      <c r="B1108" t="s">
        <v>3205</v>
      </c>
      <c r="C1108" t="s">
        <v>3206</v>
      </c>
      <c r="D1108" t="s">
        <v>3427</v>
      </c>
      <c r="E1108" s="1">
        <v>115.594002</v>
      </c>
      <c r="F1108" s="1">
        <v>115.960999</v>
      </c>
      <c r="K1108" s="39">
        <f>DefaultValues!$B$4</f>
        <v>5</v>
      </c>
      <c r="L1108" s="1">
        <f>DefaultValues!$C$4</f>
        <v>0.5</v>
      </c>
      <c r="M1108" s="1" t="str">
        <f>DefaultValues!$D$4</f>
        <v xml:space="preserve">- Within interchange - </v>
      </c>
      <c r="N1108" s="1">
        <v>115.594002</v>
      </c>
      <c r="O1108" s="1">
        <f>ABS(Table4[[#This Row],[EndMP]]-Table4[[#This Row],[StartMP]])</f>
        <v>0.3669969999999978</v>
      </c>
      <c r="P1108" s="1" t="str">
        <f>IF( AND( Table4[[#This Row],[Route]]=ClosureLocation!$B$3, ClosureLocation!$B$6 &gt;= Table4[[#This Row],[StartMP]], ClosureLocation!$B$6 &lt;= Table4[[#This Row],[EndMP]]), "Yes", "")</f>
        <v/>
      </c>
      <c r="Q1108" s="1" t="str">
        <f>IF( AND( Table4[[#This Row],[Route]]=ClosureLocation!$B$3, ClosureLocation!$B$6 &lt;= Table4[[#This Row],[StartMP]], ClosureLocation!$B$6 &gt;= Table4[[#This Row],[EndMP]]), "Yes", "")</f>
        <v/>
      </c>
      <c r="R1108" s="1" t="str">
        <f>IF( OR( Table4[[#This Row],[PrimaryMatch]]="Yes", Table4[[#This Row],[SecondaryMatch]]="Yes"), "Yes", "")</f>
        <v/>
      </c>
    </row>
    <row r="1109" spans="1:18" hidden="1" x14ac:dyDescent="0.25">
      <c r="A1109" t="s">
        <v>310</v>
      </c>
      <c r="B1109" t="s">
        <v>3205</v>
      </c>
      <c r="C1109" t="s">
        <v>3206</v>
      </c>
      <c r="D1109" t="s">
        <v>3427</v>
      </c>
      <c r="E1109" s="1">
        <v>118.68800400000001</v>
      </c>
      <c r="F1109" s="1">
        <v>118.987999</v>
      </c>
      <c r="K1109" s="39">
        <f>DefaultValues!$B$4</f>
        <v>5</v>
      </c>
      <c r="L1109" s="1">
        <f>DefaultValues!$C$4</f>
        <v>0.5</v>
      </c>
      <c r="M1109" s="1" t="str">
        <f>DefaultValues!$D$4</f>
        <v xml:space="preserve">- Within interchange - </v>
      </c>
      <c r="N1109" s="1">
        <v>118.68800400000001</v>
      </c>
      <c r="O1109" s="1">
        <f>ABS(Table4[[#This Row],[EndMP]]-Table4[[#This Row],[StartMP]])</f>
        <v>0.29999499999999557</v>
      </c>
      <c r="P1109" s="1" t="str">
        <f>IF( AND( Table4[[#This Row],[Route]]=ClosureLocation!$B$3, ClosureLocation!$B$6 &gt;= Table4[[#This Row],[StartMP]], ClosureLocation!$B$6 &lt;= Table4[[#This Row],[EndMP]]), "Yes", "")</f>
        <v/>
      </c>
      <c r="Q1109" s="1" t="str">
        <f>IF( AND( Table4[[#This Row],[Route]]=ClosureLocation!$B$3, ClosureLocation!$B$6 &lt;= Table4[[#This Row],[StartMP]], ClosureLocation!$B$6 &gt;= Table4[[#This Row],[EndMP]]), "Yes", "")</f>
        <v/>
      </c>
      <c r="R1109" s="1" t="str">
        <f>IF( OR( Table4[[#This Row],[PrimaryMatch]]="Yes", Table4[[#This Row],[SecondaryMatch]]="Yes"), "Yes", "")</f>
        <v/>
      </c>
    </row>
    <row r="1110" spans="1:18" hidden="1" x14ac:dyDescent="0.25">
      <c r="A1110" t="s">
        <v>310</v>
      </c>
      <c r="B1110" t="s">
        <v>3205</v>
      </c>
      <c r="C1110" t="s">
        <v>3206</v>
      </c>
      <c r="D1110" t="s">
        <v>3427</v>
      </c>
      <c r="E1110" s="1">
        <v>121.60900100000001</v>
      </c>
      <c r="F1110" s="1">
        <v>121.72199999999999</v>
      </c>
      <c r="K1110" s="39">
        <f>DefaultValues!$B$4</f>
        <v>5</v>
      </c>
      <c r="L1110" s="1">
        <f>DefaultValues!$C$4</f>
        <v>0.5</v>
      </c>
      <c r="M1110" s="1" t="str">
        <f>DefaultValues!$D$4</f>
        <v xml:space="preserve">- Within interchange - </v>
      </c>
      <c r="N1110" s="1">
        <v>121.60900100000001</v>
      </c>
      <c r="O1110" s="1">
        <f>ABS(Table4[[#This Row],[EndMP]]-Table4[[#This Row],[StartMP]])</f>
        <v>0.11299899999998786</v>
      </c>
      <c r="P1110" s="1" t="str">
        <f>IF( AND( Table4[[#This Row],[Route]]=ClosureLocation!$B$3, ClosureLocation!$B$6 &gt;= Table4[[#This Row],[StartMP]], ClosureLocation!$B$6 &lt;= Table4[[#This Row],[EndMP]]), "Yes", "")</f>
        <v/>
      </c>
      <c r="Q1110" s="1" t="str">
        <f>IF( AND( Table4[[#This Row],[Route]]=ClosureLocation!$B$3, ClosureLocation!$B$6 &lt;= Table4[[#This Row],[StartMP]], ClosureLocation!$B$6 &gt;= Table4[[#This Row],[EndMP]]), "Yes", "")</f>
        <v/>
      </c>
      <c r="R1110" s="1" t="str">
        <f>IF( OR( Table4[[#This Row],[PrimaryMatch]]="Yes", Table4[[#This Row],[SecondaryMatch]]="Yes"), "Yes", "")</f>
        <v/>
      </c>
    </row>
    <row r="1111" spans="1:18" hidden="1" x14ac:dyDescent="0.25">
      <c r="A1111" t="s">
        <v>310</v>
      </c>
      <c r="B1111" t="s">
        <v>3205</v>
      </c>
      <c r="C1111" t="s">
        <v>3206</v>
      </c>
      <c r="D1111" t="s">
        <v>3427</v>
      </c>
      <c r="E1111" s="1">
        <v>123.012001</v>
      </c>
      <c r="F1111" s="1">
        <v>123.396004</v>
      </c>
      <c r="K1111" s="39">
        <f>DefaultValues!$B$4</f>
        <v>5</v>
      </c>
      <c r="L1111" s="1">
        <f>DefaultValues!$C$4</f>
        <v>0.5</v>
      </c>
      <c r="M1111" s="1" t="str">
        <f>DefaultValues!$D$4</f>
        <v xml:space="preserve">- Within interchange - </v>
      </c>
      <c r="N1111" s="1">
        <v>123.012001</v>
      </c>
      <c r="O1111" s="1">
        <f>ABS(Table4[[#This Row],[EndMP]]-Table4[[#This Row],[StartMP]])</f>
        <v>0.38400300000000698</v>
      </c>
      <c r="P1111" s="1" t="str">
        <f>IF( AND( Table4[[#This Row],[Route]]=ClosureLocation!$B$3, ClosureLocation!$B$6 &gt;= Table4[[#This Row],[StartMP]], ClosureLocation!$B$6 &lt;= Table4[[#This Row],[EndMP]]), "Yes", "")</f>
        <v/>
      </c>
      <c r="Q1111" s="1" t="str">
        <f>IF( AND( Table4[[#This Row],[Route]]=ClosureLocation!$B$3, ClosureLocation!$B$6 &lt;= Table4[[#This Row],[StartMP]], ClosureLocation!$B$6 &gt;= Table4[[#This Row],[EndMP]]), "Yes", "")</f>
        <v/>
      </c>
      <c r="R1111" s="1" t="str">
        <f>IF( OR( Table4[[#This Row],[PrimaryMatch]]="Yes", Table4[[#This Row],[SecondaryMatch]]="Yes"), "Yes", "")</f>
        <v/>
      </c>
    </row>
    <row r="1112" spans="1:18" hidden="1" x14ac:dyDescent="0.25">
      <c r="A1112" t="s">
        <v>310</v>
      </c>
      <c r="B1112" t="s">
        <v>3205</v>
      </c>
      <c r="C1112" t="s">
        <v>3206</v>
      </c>
      <c r="D1112" t="s">
        <v>3427</v>
      </c>
      <c r="E1112" s="1">
        <v>124.393997</v>
      </c>
      <c r="F1112" s="1">
        <v>124.727997</v>
      </c>
      <c r="K1112" s="39">
        <f>DefaultValues!$B$4</f>
        <v>5</v>
      </c>
      <c r="L1112" s="1">
        <f>DefaultValues!$C$4</f>
        <v>0.5</v>
      </c>
      <c r="M1112" s="1" t="str">
        <f>DefaultValues!$D$4</f>
        <v xml:space="preserve">- Within interchange - </v>
      </c>
      <c r="N1112" s="1">
        <v>124.393997</v>
      </c>
      <c r="O1112" s="1">
        <f>ABS(Table4[[#This Row],[EndMP]]-Table4[[#This Row],[StartMP]])</f>
        <v>0.33400000000000318</v>
      </c>
      <c r="P1112" s="1" t="str">
        <f>IF( AND( Table4[[#This Row],[Route]]=ClosureLocation!$B$3, ClosureLocation!$B$6 &gt;= Table4[[#This Row],[StartMP]], ClosureLocation!$B$6 &lt;= Table4[[#This Row],[EndMP]]), "Yes", "")</f>
        <v/>
      </c>
      <c r="Q1112" s="1" t="str">
        <f>IF( AND( Table4[[#This Row],[Route]]=ClosureLocation!$B$3, ClosureLocation!$B$6 &lt;= Table4[[#This Row],[StartMP]], ClosureLocation!$B$6 &gt;= Table4[[#This Row],[EndMP]]), "Yes", "")</f>
        <v/>
      </c>
      <c r="R1112" s="1" t="str">
        <f>IF( OR( Table4[[#This Row],[PrimaryMatch]]="Yes", Table4[[#This Row],[SecondaryMatch]]="Yes"), "Yes", "")</f>
        <v/>
      </c>
    </row>
    <row r="1113" spans="1:18" hidden="1" x14ac:dyDescent="0.25">
      <c r="A1113" t="s">
        <v>310</v>
      </c>
      <c r="B1113" t="s">
        <v>3205</v>
      </c>
      <c r="C1113" t="s">
        <v>3206</v>
      </c>
      <c r="D1113" t="s">
        <v>3427</v>
      </c>
      <c r="E1113" s="1">
        <v>127.675003</v>
      </c>
      <c r="F1113" s="1">
        <v>127.99700199999999</v>
      </c>
      <c r="K1113" s="39">
        <f>DefaultValues!$B$4</f>
        <v>5</v>
      </c>
      <c r="L1113" s="1">
        <f>DefaultValues!$C$4</f>
        <v>0.5</v>
      </c>
      <c r="M1113" s="1" t="str">
        <f>DefaultValues!$D$4</f>
        <v xml:space="preserve">- Within interchange - </v>
      </c>
      <c r="N1113" s="1">
        <v>127.675003</v>
      </c>
      <c r="O1113" s="1">
        <f>ABS(Table4[[#This Row],[EndMP]]-Table4[[#This Row],[StartMP]])</f>
        <v>0.32199899999999104</v>
      </c>
      <c r="P1113" s="1" t="str">
        <f>IF( AND( Table4[[#This Row],[Route]]=ClosureLocation!$B$3, ClosureLocation!$B$6 &gt;= Table4[[#This Row],[StartMP]], ClosureLocation!$B$6 &lt;= Table4[[#This Row],[EndMP]]), "Yes", "")</f>
        <v/>
      </c>
      <c r="Q1113" s="1" t="str">
        <f>IF( AND( Table4[[#This Row],[Route]]=ClosureLocation!$B$3, ClosureLocation!$B$6 &lt;= Table4[[#This Row],[StartMP]], ClosureLocation!$B$6 &gt;= Table4[[#This Row],[EndMP]]), "Yes", "")</f>
        <v/>
      </c>
      <c r="R1113" s="1" t="str">
        <f>IF( OR( Table4[[#This Row],[PrimaryMatch]]="Yes", Table4[[#This Row],[SecondaryMatch]]="Yes"), "Yes", "")</f>
        <v/>
      </c>
    </row>
    <row r="1114" spans="1:18" hidden="1" x14ac:dyDescent="0.25">
      <c r="A1114" t="s">
        <v>310</v>
      </c>
      <c r="B1114" t="s">
        <v>3205</v>
      </c>
      <c r="C1114" t="s">
        <v>3206</v>
      </c>
      <c r="D1114" t="s">
        <v>3427</v>
      </c>
      <c r="E1114" s="1">
        <v>131.483994</v>
      </c>
      <c r="F1114" s="1">
        <v>131.95700099999999</v>
      </c>
      <c r="K1114" s="39">
        <f>DefaultValues!$B$4</f>
        <v>5</v>
      </c>
      <c r="L1114" s="1">
        <f>DefaultValues!$C$4</f>
        <v>0.5</v>
      </c>
      <c r="M1114" s="1" t="str">
        <f>DefaultValues!$D$4</f>
        <v xml:space="preserve">- Within interchange - </v>
      </c>
      <c r="N1114" s="1">
        <v>131.483994</v>
      </c>
      <c r="O1114" s="1">
        <f>ABS(Table4[[#This Row],[EndMP]]-Table4[[#This Row],[StartMP]])</f>
        <v>0.47300699999999551</v>
      </c>
      <c r="P1114" s="1" t="str">
        <f>IF( AND( Table4[[#This Row],[Route]]=ClosureLocation!$B$3, ClosureLocation!$B$6 &gt;= Table4[[#This Row],[StartMP]], ClosureLocation!$B$6 &lt;= Table4[[#This Row],[EndMP]]), "Yes", "")</f>
        <v/>
      </c>
      <c r="Q1114" s="1" t="str">
        <f>IF( AND( Table4[[#This Row],[Route]]=ClosureLocation!$B$3, ClosureLocation!$B$6 &lt;= Table4[[#This Row],[StartMP]], ClosureLocation!$B$6 &gt;= Table4[[#This Row],[EndMP]]), "Yes", "")</f>
        <v/>
      </c>
      <c r="R1114" s="1" t="str">
        <f>IF( OR( Table4[[#This Row],[PrimaryMatch]]="Yes", Table4[[#This Row],[SecondaryMatch]]="Yes"), "Yes", "")</f>
        <v/>
      </c>
    </row>
    <row r="1115" spans="1:18" hidden="1" x14ac:dyDescent="0.25">
      <c r="A1115" t="s">
        <v>310</v>
      </c>
      <c r="B1115" t="s">
        <v>3205</v>
      </c>
      <c r="C1115" t="s">
        <v>3206</v>
      </c>
      <c r="D1115" t="s">
        <v>3427</v>
      </c>
      <c r="E1115" s="1">
        <v>134.990005</v>
      </c>
      <c r="F1115" s="1">
        <v>135.317001</v>
      </c>
      <c r="K1115" s="39">
        <f>DefaultValues!$B$4</f>
        <v>5</v>
      </c>
      <c r="L1115" s="1">
        <f>DefaultValues!$C$4</f>
        <v>0.5</v>
      </c>
      <c r="M1115" s="1" t="str">
        <f>DefaultValues!$D$4</f>
        <v xml:space="preserve">- Within interchange - </v>
      </c>
      <c r="N1115" s="1">
        <v>134.990005</v>
      </c>
      <c r="O1115" s="1">
        <f>ABS(Table4[[#This Row],[EndMP]]-Table4[[#This Row],[StartMP]])</f>
        <v>0.32699600000000828</v>
      </c>
      <c r="P1115" s="1" t="str">
        <f>IF( AND( Table4[[#This Row],[Route]]=ClosureLocation!$B$3, ClosureLocation!$B$6 &gt;= Table4[[#This Row],[StartMP]], ClosureLocation!$B$6 &lt;= Table4[[#This Row],[EndMP]]), "Yes", "")</f>
        <v/>
      </c>
      <c r="Q1115" s="1" t="str">
        <f>IF( AND( Table4[[#This Row],[Route]]=ClosureLocation!$B$3, ClosureLocation!$B$6 &lt;= Table4[[#This Row],[StartMP]], ClosureLocation!$B$6 &gt;= Table4[[#This Row],[EndMP]]), "Yes", "")</f>
        <v/>
      </c>
      <c r="R1115" s="1" t="str">
        <f>IF( OR( Table4[[#This Row],[PrimaryMatch]]="Yes", Table4[[#This Row],[SecondaryMatch]]="Yes"), "Yes", "")</f>
        <v/>
      </c>
    </row>
    <row r="1116" spans="1:18" hidden="1" x14ac:dyDescent="0.25">
      <c r="A1116" t="s">
        <v>310</v>
      </c>
      <c r="B1116" t="s">
        <v>3205</v>
      </c>
      <c r="C1116" t="s">
        <v>3206</v>
      </c>
      <c r="D1116" t="s">
        <v>3427</v>
      </c>
      <c r="E1116" s="1">
        <v>137.496002</v>
      </c>
      <c r="F1116" s="1">
        <v>137.99299600000001</v>
      </c>
      <c r="K1116" s="39">
        <f>DefaultValues!$B$4</f>
        <v>5</v>
      </c>
      <c r="L1116" s="1">
        <f>DefaultValues!$C$4</f>
        <v>0.5</v>
      </c>
      <c r="M1116" s="1" t="str">
        <f>DefaultValues!$D$4</f>
        <v xml:space="preserve">- Within interchange - </v>
      </c>
      <c r="N1116" s="1">
        <v>137.496002</v>
      </c>
      <c r="O1116" s="1">
        <f>ABS(Table4[[#This Row],[EndMP]]-Table4[[#This Row],[StartMP]])</f>
        <v>0.49699400000000082</v>
      </c>
      <c r="P1116" s="1" t="str">
        <f>IF( AND( Table4[[#This Row],[Route]]=ClosureLocation!$B$3, ClosureLocation!$B$6 &gt;= Table4[[#This Row],[StartMP]], ClosureLocation!$B$6 &lt;= Table4[[#This Row],[EndMP]]), "Yes", "")</f>
        <v/>
      </c>
      <c r="Q1116" s="1" t="str">
        <f>IF( AND( Table4[[#This Row],[Route]]=ClosureLocation!$B$3, ClosureLocation!$B$6 &lt;= Table4[[#This Row],[StartMP]], ClosureLocation!$B$6 &gt;= Table4[[#This Row],[EndMP]]), "Yes", "")</f>
        <v/>
      </c>
      <c r="R1116" s="1" t="str">
        <f>IF( OR( Table4[[#This Row],[PrimaryMatch]]="Yes", Table4[[#This Row],[SecondaryMatch]]="Yes"), "Yes", "")</f>
        <v/>
      </c>
    </row>
    <row r="1117" spans="1:18" hidden="1" x14ac:dyDescent="0.25">
      <c r="A1117" t="s">
        <v>310</v>
      </c>
      <c r="B1117" t="s">
        <v>3205</v>
      </c>
      <c r="C1117" t="s">
        <v>3206</v>
      </c>
      <c r="D1117" t="s">
        <v>3427</v>
      </c>
      <c r="E1117" s="1">
        <v>138.52799999999999</v>
      </c>
      <c r="F1117" s="1">
        <v>138.85000600000001</v>
      </c>
      <c r="K1117" s="39">
        <f>DefaultValues!$B$4</f>
        <v>5</v>
      </c>
      <c r="L1117" s="1">
        <f>DefaultValues!$C$4</f>
        <v>0.5</v>
      </c>
      <c r="M1117" s="1" t="str">
        <f>DefaultValues!$D$4</f>
        <v xml:space="preserve">- Within interchange - </v>
      </c>
      <c r="N1117" s="1">
        <v>138.52799999999999</v>
      </c>
      <c r="O1117" s="1">
        <f>ABS(Table4[[#This Row],[EndMP]]-Table4[[#This Row],[StartMP]])</f>
        <v>0.322006000000016</v>
      </c>
      <c r="P1117" s="1" t="str">
        <f>IF( AND( Table4[[#This Row],[Route]]=ClosureLocation!$B$3, ClosureLocation!$B$6 &gt;= Table4[[#This Row],[StartMP]], ClosureLocation!$B$6 &lt;= Table4[[#This Row],[EndMP]]), "Yes", "")</f>
        <v/>
      </c>
      <c r="Q1117" s="1" t="str">
        <f>IF( AND( Table4[[#This Row],[Route]]=ClosureLocation!$B$3, ClosureLocation!$B$6 &lt;= Table4[[#This Row],[StartMP]], ClosureLocation!$B$6 &gt;= Table4[[#This Row],[EndMP]]), "Yes", "")</f>
        <v/>
      </c>
      <c r="R1117" s="1" t="str">
        <f>IF( OR( Table4[[#This Row],[PrimaryMatch]]="Yes", Table4[[#This Row],[SecondaryMatch]]="Yes"), "Yes", "")</f>
        <v/>
      </c>
    </row>
    <row r="1118" spans="1:18" hidden="1" x14ac:dyDescent="0.25">
      <c r="A1118" t="s">
        <v>310</v>
      </c>
      <c r="B1118" t="s">
        <v>3205</v>
      </c>
      <c r="C1118" t="s">
        <v>3206</v>
      </c>
      <c r="D1118" t="s">
        <v>3427</v>
      </c>
      <c r="E1118" s="1">
        <v>139.48899800000001</v>
      </c>
      <c r="F1118" s="1">
        <v>140.016998</v>
      </c>
      <c r="K1118" s="39">
        <f>DefaultValues!$B$4</f>
        <v>5</v>
      </c>
      <c r="L1118" s="1">
        <f>DefaultValues!$C$4</f>
        <v>0.5</v>
      </c>
      <c r="M1118" s="1" t="str">
        <f>DefaultValues!$D$4</f>
        <v xml:space="preserve">- Within interchange - </v>
      </c>
      <c r="N1118" s="1">
        <v>139.48899800000001</v>
      </c>
      <c r="O1118" s="1">
        <f>ABS(Table4[[#This Row],[EndMP]]-Table4[[#This Row],[StartMP]])</f>
        <v>0.52799999999999159</v>
      </c>
      <c r="P1118" s="1" t="str">
        <f>IF( AND( Table4[[#This Row],[Route]]=ClosureLocation!$B$3, ClosureLocation!$B$6 &gt;= Table4[[#This Row],[StartMP]], ClosureLocation!$B$6 &lt;= Table4[[#This Row],[EndMP]]), "Yes", "")</f>
        <v/>
      </c>
      <c r="Q1118" s="1" t="str">
        <f>IF( AND( Table4[[#This Row],[Route]]=ClosureLocation!$B$3, ClosureLocation!$B$6 &lt;= Table4[[#This Row],[StartMP]], ClosureLocation!$B$6 &gt;= Table4[[#This Row],[EndMP]]), "Yes", "")</f>
        <v/>
      </c>
      <c r="R1118" s="1" t="str">
        <f>IF( OR( Table4[[#This Row],[PrimaryMatch]]="Yes", Table4[[#This Row],[SecondaryMatch]]="Yes"), "Yes", "")</f>
        <v/>
      </c>
    </row>
    <row r="1119" spans="1:18" hidden="1" x14ac:dyDescent="0.25">
      <c r="A1119" t="s">
        <v>310</v>
      </c>
      <c r="B1119" t="s">
        <v>3205</v>
      </c>
      <c r="C1119" t="s">
        <v>3206</v>
      </c>
      <c r="D1119" t="s">
        <v>3427</v>
      </c>
      <c r="E1119" s="1">
        <v>141.03500399999999</v>
      </c>
      <c r="F1119" s="1">
        <v>141.29499799999999</v>
      </c>
      <c r="K1119" s="39">
        <f>DefaultValues!$B$4</f>
        <v>5</v>
      </c>
      <c r="L1119" s="1">
        <f>DefaultValues!$C$4</f>
        <v>0.5</v>
      </c>
      <c r="M1119" s="1" t="str">
        <f>DefaultValues!$D$4</f>
        <v xml:space="preserve">- Within interchange - </v>
      </c>
      <c r="N1119" s="1">
        <v>141.03500399999999</v>
      </c>
      <c r="O1119" s="1">
        <f>ABS(Table4[[#This Row],[EndMP]]-Table4[[#This Row],[StartMP]])</f>
        <v>0.25999400000000605</v>
      </c>
      <c r="P1119" s="1" t="str">
        <f>IF( AND( Table4[[#This Row],[Route]]=ClosureLocation!$B$3, ClosureLocation!$B$6 &gt;= Table4[[#This Row],[StartMP]], ClosureLocation!$B$6 &lt;= Table4[[#This Row],[EndMP]]), "Yes", "")</f>
        <v/>
      </c>
      <c r="Q1119" s="1" t="str">
        <f>IF( AND( Table4[[#This Row],[Route]]=ClosureLocation!$B$3, ClosureLocation!$B$6 &lt;= Table4[[#This Row],[StartMP]], ClosureLocation!$B$6 &gt;= Table4[[#This Row],[EndMP]]), "Yes", "")</f>
        <v/>
      </c>
      <c r="R1119" s="1" t="str">
        <f>IF( OR( Table4[[#This Row],[PrimaryMatch]]="Yes", Table4[[#This Row],[SecondaryMatch]]="Yes"), "Yes", "")</f>
        <v/>
      </c>
    </row>
    <row r="1120" spans="1:18" hidden="1" x14ac:dyDescent="0.25">
      <c r="A1120" t="s">
        <v>310</v>
      </c>
      <c r="B1120" t="s">
        <v>3205</v>
      </c>
      <c r="C1120" t="s">
        <v>3206</v>
      </c>
      <c r="D1120" t="s">
        <v>3427</v>
      </c>
      <c r="E1120" s="1">
        <v>141.61199999999999</v>
      </c>
      <c r="F1120" s="1">
        <v>142.18600499999999</v>
      </c>
      <c r="K1120" s="39">
        <f>DefaultValues!$B$4</f>
        <v>5</v>
      </c>
      <c r="L1120" s="1">
        <f>DefaultValues!$C$4</f>
        <v>0.5</v>
      </c>
      <c r="M1120" s="1" t="str">
        <f>DefaultValues!$D$4</f>
        <v xml:space="preserve">- Within interchange - </v>
      </c>
      <c r="N1120" s="1">
        <v>141.61199999999999</v>
      </c>
      <c r="O1120" s="1">
        <f>ABS(Table4[[#This Row],[EndMP]]-Table4[[#This Row],[StartMP]])</f>
        <v>0.57400499999999965</v>
      </c>
      <c r="P1120" s="1" t="str">
        <f>IF( AND( Table4[[#This Row],[Route]]=ClosureLocation!$B$3, ClosureLocation!$B$6 &gt;= Table4[[#This Row],[StartMP]], ClosureLocation!$B$6 &lt;= Table4[[#This Row],[EndMP]]), "Yes", "")</f>
        <v/>
      </c>
      <c r="Q1120" s="1" t="str">
        <f>IF( AND( Table4[[#This Row],[Route]]=ClosureLocation!$B$3, ClosureLocation!$B$6 &lt;= Table4[[#This Row],[StartMP]], ClosureLocation!$B$6 &gt;= Table4[[#This Row],[EndMP]]), "Yes", "")</f>
        <v/>
      </c>
      <c r="R1120" s="1" t="str">
        <f>IF( OR( Table4[[#This Row],[PrimaryMatch]]="Yes", Table4[[#This Row],[SecondaryMatch]]="Yes"), "Yes", "")</f>
        <v/>
      </c>
    </row>
    <row r="1121" spans="1:18" hidden="1" x14ac:dyDescent="0.25">
      <c r="A1121" t="s">
        <v>310</v>
      </c>
      <c r="B1121" t="s">
        <v>3205</v>
      </c>
      <c r="C1121" t="s">
        <v>3206</v>
      </c>
      <c r="D1121" t="s">
        <v>3427</v>
      </c>
      <c r="E1121" s="1">
        <v>142.60000600000001</v>
      </c>
      <c r="F1121" s="1">
        <v>143.070999</v>
      </c>
      <c r="K1121" s="39">
        <f>DefaultValues!$B$4</f>
        <v>5</v>
      </c>
      <c r="L1121" s="1">
        <f>DefaultValues!$C$4</f>
        <v>0.5</v>
      </c>
      <c r="M1121" s="1" t="str">
        <f>DefaultValues!$D$4</f>
        <v xml:space="preserve">- Within interchange - </v>
      </c>
      <c r="N1121" s="1">
        <v>142.60000600000001</v>
      </c>
      <c r="O1121" s="1">
        <f>ABS(Table4[[#This Row],[EndMP]]-Table4[[#This Row],[StartMP]])</f>
        <v>0.47099299999999289</v>
      </c>
      <c r="P1121" s="1" t="str">
        <f>IF( AND( Table4[[#This Row],[Route]]=ClosureLocation!$B$3, ClosureLocation!$B$6 &gt;= Table4[[#This Row],[StartMP]], ClosureLocation!$B$6 &lt;= Table4[[#This Row],[EndMP]]), "Yes", "")</f>
        <v/>
      </c>
      <c r="Q1121" s="1" t="str">
        <f>IF( AND( Table4[[#This Row],[Route]]=ClosureLocation!$B$3, ClosureLocation!$B$6 &lt;= Table4[[#This Row],[StartMP]], ClosureLocation!$B$6 &gt;= Table4[[#This Row],[EndMP]]), "Yes", "")</f>
        <v/>
      </c>
      <c r="R1121" s="1" t="str">
        <f>IF( OR( Table4[[#This Row],[PrimaryMatch]]="Yes", Table4[[#This Row],[SecondaryMatch]]="Yes"), "Yes", "")</f>
        <v/>
      </c>
    </row>
    <row r="1122" spans="1:18" hidden="1" x14ac:dyDescent="0.25">
      <c r="A1122" t="s">
        <v>310</v>
      </c>
      <c r="B1122" t="s">
        <v>3205</v>
      </c>
      <c r="C1122" t="s">
        <v>3206</v>
      </c>
      <c r="D1122" t="s">
        <v>3427</v>
      </c>
      <c r="E1122" s="1">
        <v>143.27499399999999</v>
      </c>
      <c r="F1122" s="1">
        <v>143.820007</v>
      </c>
      <c r="K1122" s="39">
        <f>DefaultValues!$B$4</f>
        <v>5</v>
      </c>
      <c r="L1122" s="1">
        <f>DefaultValues!$C$4</f>
        <v>0.5</v>
      </c>
      <c r="M1122" s="1" t="str">
        <f>DefaultValues!$D$4</f>
        <v xml:space="preserve">- Within interchange - </v>
      </c>
      <c r="N1122" s="1">
        <v>143.27499399999999</v>
      </c>
      <c r="O1122" s="1">
        <f>ABS(Table4[[#This Row],[EndMP]]-Table4[[#This Row],[StartMP]])</f>
        <v>0.54501300000001152</v>
      </c>
      <c r="P1122" s="1" t="str">
        <f>IF( AND( Table4[[#This Row],[Route]]=ClosureLocation!$B$3, ClosureLocation!$B$6 &gt;= Table4[[#This Row],[StartMP]], ClosureLocation!$B$6 &lt;= Table4[[#This Row],[EndMP]]), "Yes", "")</f>
        <v/>
      </c>
      <c r="Q1122" s="1" t="str">
        <f>IF( AND( Table4[[#This Row],[Route]]=ClosureLocation!$B$3, ClosureLocation!$B$6 &lt;= Table4[[#This Row],[StartMP]], ClosureLocation!$B$6 &gt;= Table4[[#This Row],[EndMP]]), "Yes", "")</f>
        <v/>
      </c>
      <c r="R1122" s="1" t="str">
        <f>IF( OR( Table4[[#This Row],[PrimaryMatch]]="Yes", Table4[[#This Row],[SecondaryMatch]]="Yes"), "Yes", "")</f>
        <v/>
      </c>
    </row>
    <row r="1123" spans="1:18" hidden="1" x14ac:dyDescent="0.25">
      <c r="A1123" t="s">
        <v>310</v>
      </c>
      <c r="B1123" t="s">
        <v>3205</v>
      </c>
      <c r="C1123" t="s">
        <v>3206</v>
      </c>
      <c r="D1123" t="s">
        <v>3427</v>
      </c>
      <c r="E1123" s="1">
        <v>144.341003</v>
      </c>
      <c r="F1123" s="1">
        <v>144.72200000000001</v>
      </c>
      <c r="K1123" s="39">
        <f>DefaultValues!$B$4</f>
        <v>5</v>
      </c>
      <c r="L1123" s="1">
        <f>DefaultValues!$C$4</f>
        <v>0.5</v>
      </c>
      <c r="M1123" s="1" t="str">
        <f>DefaultValues!$D$4</f>
        <v xml:space="preserve">- Within interchange - </v>
      </c>
      <c r="N1123" s="1">
        <v>144.341003</v>
      </c>
      <c r="O1123" s="1">
        <f>ABS(Table4[[#This Row],[EndMP]]-Table4[[#This Row],[StartMP]])</f>
        <v>0.3809970000000078</v>
      </c>
      <c r="P1123" s="1" t="str">
        <f>IF( AND( Table4[[#This Row],[Route]]=ClosureLocation!$B$3, ClosureLocation!$B$6 &gt;= Table4[[#This Row],[StartMP]], ClosureLocation!$B$6 &lt;= Table4[[#This Row],[EndMP]]), "Yes", "")</f>
        <v/>
      </c>
      <c r="Q1123" s="1" t="str">
        <f>IF( AND( Table4[[#This Row],[Route]]=ClosureLocation!$B$3, ClosureLocation!$B$6 &lt;= Table4[[#This Row],[StartMP]], ClosureLocation!$B$6 &gt;= Table4[[#This Row],[EndMP]]), "Yes", "")</f>
        <v/>
      </c>
      <c r="R1123" s="1" t="str">
        <f>IF( OR( Table4[[#This Row],[PrimaryMatch]]="Yes", Table4[[#This Row],[SecondaryMatch]]="Yes"), "Yes", "")</f>
        <v/>
      </c>
    </row>
    <row r="1124" spans="1:18" hidden="1" x14ac:dyDescent="0.25">
      <c r="A1124" t="s">
        <v>310</v>
      </c>
      <c r="B1124" t="s">
        <v>3205</v>
      </c>
      <c r="C1124" t="s">
        <v>3206</v>
      </c>
      <c r="D1124" t="s">
        <v>3427</v>
      </c>
      <c r="E1124" s="1">
        <v>145.891998</v>
      </c>
      <c r="F1124" s="1">
        <v>146.378006</v>
      </c>
      <c r="K1124" s="39">
        <f>DefaultValues!$B$4</f>
        <v>5</v>
      </c>
      <c r="L1124" s="1">
        <f>DefaultValues!$C$4</f>
        <v>0.5</v>
      </c>
      <c r="M1124" s="1" t="str">
        <f>DefaultValues!$D$4</f>
        <v xml:space="preserve">- Within interchange - </v>
      </c>
      <c r="N1124" s="1">
        <v>145.891998</v>
      </c>
      <c r="O1124" s="1">
        <f>ABS(Table4[[#This Row],[EndMP]]-Table4[[#This Row],[StartMP]])</f>
        <v>0.48600799999999822</v>
      </c>
      <c r="P1124" s="1" t="str">
        <f>IF( AND( Table4[[#This Row],[Route]]=ClosureLocation!$B$3, ClosureLocation!$B$6 &gt;= Table4[[#This Row],[StartMP]], ClosureLocation!$B$6 &lt;= Table4[[#This Row],[EndMP]]), "Yes", "")</f>
        <v/>
      </c>
      <c r="Q1124" s="1" t="str">
        <f>IF( AND( Table4[[#This Row],[Route]]=ClosureLocation!$B$3, ClosureLocation!$B$6 &lt;= Table4[[#This Row],[StartMP]], ClosureLocation!$B$6 &gt;= Table4[[#This Row],[EndMP]]), "Yes", "")</f>
        <v/>
      </c>
      <c r="R1124" s="1" t="str">
        <f>IF( OR( Table4[[#This Row],[PrimaryMatch]]="Yes", Table4[[#This Row],[SecondaryMatch]]="Yes"), "Yes", "")</f>
        <v/>
      </c>
    </row>
    <row r="1125" spans="1:18" hidden="1" x14ac:dyDescent="0.25">
      <c r="A1125" t="s">
        <v>310</v>
      </c>
      <c r="B1125" t="s">
        <v>3205</v>
      </c>
      <c r="C1125" t="s">
        <v>3206</v>
      </c>
      <c r="D1125" t="s">
        <v>3427</v>
      </c>
      <c r="E1125" s="1">
        <v>146.850998</v>
      </c>
      <c r="F1125" s="1">
        <v>147.908997</v>
      </c>
      <c r="K1125" s="39">
        <f>DefaultValues!$B$4</f>
        <v>5</v>
      </c>
      <c r="L1125" s="1">
        <f>DefaultValues!$C$4</f>
        <v>0.5</v>
      </c>
      <c r="M1125" s="1" t="str">
        <f>DefaultValues!$D$4</f>
        <v xml:space="preserve">- Within interchange - </v>
      </c>
      <c r="N1125" s="1">
        <v>146.850998</v>
      </c>
      <c r="O1125" s="1">
        <f>ABS(Table4[[#This Row],[EndMP]]-Table4[[#This Row],[StartMP]])</f>
        <v>1.0579989999999952</v>
      </c>
      <c r="P1125" s="1" t="str">
        <f>IF( AND( Table4[[#This Row],[Route]]=ClosureLocation!$B$3, ClosureLocation!$B$6 &gt;= Table4[[#This Row],[StartMP]], ClosureLocation!$B$6 &lt;= Table4[[#This Row],[EndMP]]), "Yes", "")</f>
        <v/>
      </c>
      <c r="Q1125" s="1" t="str">
        <f>IF( AND( Table4[[#This Row],[Route]]=ClosureLocation!$B$3, ClosureLocation!$B$6 &lt;= Table4[[#This Row],[StartMP]], ClosureLocation!$B$6 &gt;= Table4[[#This Row],[EndMP]]), "Yes", "")</f>
        <v/>
      </c>
      <c r="R1125" s="1" t="str">
        <f>IF( OR( Table4[[#This Row],[PrimaryMatch]]="Yes", Table4[[#This Row],[SecondaryMatch]]="Yes"), "Yes", "")</f>
        <v/>
      </c>
    </row>
    <row r="1126" spans="1:18" hidden="1" x14ac:dyDescent="0.25">
      <c r="A1126" t="s">
        <v>310</v>
      </c>
      <c r="B1126" t="s">
        <v>3205</v>
      </c>
      <c r="C1126" t="s">
        <v>3206</v>
      </c>
      <c r="D1126" t="s">
        <v>3427</v>
      </c>
      <c r="E1126" s="1">
        <v>148.61099200000001</v>
      </c>
      <c r="F1126" s="1">
        <v>149.26499899999999</v>
      </c>
      <c r="K1126" s="39">
        <f>DefaultValues!$B$4</f>
        <v>5</v>
      </c>
      <c r="L1126" s="1">
        <f>DefaultValues!$C$4</f>
        <v>0.5</v>
      </c>
      <c r="M1126" s="1" t="str">
        <f>DefaultValues!$D$4</f>
        <v xml:space="preserve">- Within interchange - </v>
      </c>
      <c r="N1126" s="1">
        <v>148.61099200000001</v>
      </c>
      <c r="O1126" s="1">
        <f>ABS(Table4[[#This Row],[EndMP]]-Table4[[#This Row],[StartMP]])</f>
        <v>0.65400699999997869</v>
      </c>
      <c r="P1126" s="1" t="str">
        <f>IF( AND( Table4[[#This Row],[Route]]=ClosureLocation!$B$3, ClosureLocation!$B$6 &gt;= Table4[[#This Row],[StartMP]], ClosureLocation!$B$6 &lt;= Table4[[#This Row],[EndMP]]), "Yes", "")</f>
        <v/>
      </c>
      <c r="Q1126" s="1" t="str">
        <f>IF( AND( Table4[[#This Row],[Route]]=ClosureLocation!$B$3, ClosureLocation!$B$6 &lt;= Table4[[#This Row],[StartMP]], ClosureLocation!$B$6 &gt;= Table4[[#This Row],[EndMP]]), "Yes", "")</f>
        <v/>
      </c>
      <c r="R1126" s="1" t="str">
        <f>IF( OR( Table4[[#This Row],[PrimaryMatch]]="Yes", Table4[[#This Row],[SecondaryMatch]]="Yes"), "Yes", "")</f>
        <v/>
      </c>
    </row>
    <row r="1127" spans="1:18" hidden="1" x14ac:dyDescent="0.25">
      <c r="A1127" t="s">
        <v>310</v>
      </c>
      <c r="B1127" t="s">
        <v>3205</v>
      </c>
      <c r="C1127" t="s">
        <v>3206</v>
      </c>
      <c r="D1127" t="s">
        <v>3427</v>
      </c>
      <c r="E1127" s="1">
        <v>150.01199299999999</v>
      </c>
      <c r="F1127" s="1">
        <v>150.746002</v>
      </c>
      <c r="K1127" s="39">
        <f>DefaultValues!$B$4</f>
        <v>5</v>
      </c>
      <c r="L1127" s="1">
        <f>DefaultValues!$C$4</f>
        <v>0.5</v>
      </c>
      <c r="M1127" s="1" t="str">
        <f>DefaultValues!$D$4</f>
        <v xml:space="preserve">- Within interchange - </v>
      </c>
      <c r="N1127" s="1">
        <v>150.01199299999999</v>
      </c>
      <c r="O1127" s="1">
        <f>ABS(Table4[[#This Row],[EndMP]]-Table4[[#This Row],[StartMP]])</f>
        <v>0.73400900000001457</v>
      </c>
      <c r="P1127" s="1" t="str">
        <f>IF( AND( Table4[[#This Row],[Route]]=ClosureLocation!$B$3, ClosureLocation!$B$6 &gt;= Table4[[#This Row],[StartMP]], ClosureLocation!$B$6 &lt;= Table4[[#This Row],[EndMP]]), "Yes", "")</f>
        <v/>
      </c>
      <c r="Q1127" s="1" t="str">
        <f>IF( AND( Table4[[#This Row],[Route]]=ClosureLocation!$B$3, ClosureLocation!$B$6 &lt;= Table4[[#This Row],[StartMP]], ClosureLocation!$B$6 &gt;= Table4[[#This Row],[EndMP]]), "Yes", "")</f>
        <v/>
      </c>
      <c r="R1127" s="1" t="str">
        <f>IF( OR( Table4[[#This Row],[PrimaryMatch]]="Yes", Table4[[#This Row],[SecondaryMatch]]="Yes"), "Yes", "")</f>
        <v/>
      </c>
    </row>
    <row r="1128" spans="1:18" hidden="1" x14ac:dyDescent="0.25">
      <c r="A1128" t="s">
        <v>310</v>
      </c>
      <c r="B1128" t="s">
        <v>3205</v>
      </c>
      <c r="C1128" t="s">
        <v>3206</v>
      </c>
      <c r="D1128" t="s">
        <v>3427</v>
      </c>
      <c r="E1128" s="1">
        <v>151.490005</v>
      </c>
      <c r="F1128" s="1">
        <v>151.79200700000001</v>
      </c>
      <c r="K1128" s="39">
        <f>DefaultValues!$B$4</f>
        <v>5</v>
      </c>
      <c r="L1128" s="1">
        <f>DefaultValues!$C$4</f>
        <v>0.5</v>
      </c>
      <c r="M1128" s="1" t="str">
        <f>DefaultValues!$D$4</f>
        <v xml:space="preserve">- Within interchange - </v>
      </c>
      <c r="N1128" s="1">
        <v>151.490005</v>
      </c>
      <c r="O1128" s="1">
        <f>ABS(Table4[[#This Row],[EndMP]]-Table4[[#This Row],[StartMP]])</f>
        <v>0.30200200000001587</v>
      </c>
      <c r="P1128" s="1" t="str">
        <f>IF( AND( Table4[[#This Row],[Route]]=ClosureLocation!$B$3, ClosureLocation!$B$6 &gt;= Table4[[#This Row],[StartMP]], ClosureLocation!$B$6 &lt;= Table4[[#This Row],[EndMP]]), "Yes", "")</f>
        <v/>
      </c>
      <c r="Q1128" s="1" t="str">
        <f>IF( AND( Table4[[#This Row],[Route]]=ClosureLocation!$B$3, ClosureLocation!$B$6 &lt;= Table4[[#This Row],[StartMP]], ClosureLocation!$B$6 &gt;= Table4[[#This Row],[EndMP]]), "Yes", "")</f>
        <v/>
      </c>
      <c r="R1128" s="1" t="str">
        <f>IF( OR( Table4[[#This Row],[PrimaryMatch]]="Yes", Table4[[#This Row],[SecondaryMatch]]="Yes"), "Yes", "")</f>
        <v/>
      </c>
    </row>
    <row r="1129" spans="1:18" hidden="1" x14ac:dyDescent="0.25">
      <c r="A1129" t="s">
        <v>310</v>
      </c>
      <c r="B1129" t="s">
        <v>3205</v>
      </c>
      <c r="C1129" t="s">
        <v>3206</v>
      </c>
      <c r="D1129" t="s">
        <v>3427</v>
      </c>
      <c r="E1129" s="1">
        <v>153.04800399999999</v>
      </c>
      <c r="F1129" s="1">
        <v>153.46000699999999</v>
      </c>
      <c r="K1129" s="39">
        <f>DefaultValues!$B$4</f>
        <v>5</v>
      </c>
      <c r="L1129" s="1">
        <f>DefaultValues!$C$4</f>
        <v>0.5</v>
      </c>
      <c r="M1129" s="1" t="str">
        <f>DefaultValues!$D$4</f>
        <v xml:space="preserve">- Within interchange - </v>
      </c>
      <c r="N1129" s="1">
        <v>153.04800399999999</v>
      </c>
      <c r="O1129" s="1">
        <f>ABS(Table4[[#This Row],[EndMP]]-Table4[[#This Row],[StartMP]])</f>
        <v>0.41200299999999856</v>
      </c>
      <c r="P1129" s="1" t="str">
        <f>IF( AND( Table4[[#This Row],[Route]]=ClosureLocation!$B$3, ClosureLocation!$B$6 &gt;= Table4[[#This Row],[StartMP]], ClosureLocation!$B$6 &lt;= Table4[[#This Row],[EndMP]]), "Yes", "")</f>
        <v/>
      </c>
      <c r="Q1129" s="1" t="str">
        <f>IF( AND( Table4[[#This Row],[Route]]=ClosureLocation!$B$3, ClosureLocation!$B$6 &lt;= Table4[[#This Row],[StartMP]], ClosureLocation!$B$6 &gt;= Table4[[#This Row],[EndMP]]), "Yes", "")</f>
        <v/>
      </c>
      <c r="R1129" s="1" t="str">
        <f>IF( OR( Table4[[#This Row],[PrimaryMatch]]="Yes", Table4[[#This Row],[SecondaryMatch]]="Yes"), "Yes", "")</f>
        <v/>
      </c>
    </row>
    <row r="1130" spans="1:18" hidden="1" x14ac:dyDescent="0.25">
      <c r="A1130" t="s">
        <v>310</v>
      </c>
      <c r="B1130" t="s">
        <v>3205</v>
      </c>
      <c r="C1130" t="s">
        <v>3206</v>
      </c>
      <c r="D1130" t="s">
        <v>3427</v>
      </c>
      <c r="E1130" s="1">
        <v>155.74899300000001</v>
      </c>
      <c r="F1130" s="1">
        <v>156.25</v>
      </c>
      <c r="K1130" s="39">
        <f>DefaultValues!$B$4</f>
        <v>5</v>
      </c>
      <c r="L1130" s="1">
        <f>DefaultValues!$C$4</f>
        <v>0.5</v>
      </c>
      <c r="M1130" s="1" t="str">
        <f>DefaultValues!$D$4</f>
        <v xml:space="preserve">- Within interchange - </v>
      </c>
      <c r="N1130" s="1">
        <v>155.74899300000001</v>
      </c>
      <c r="O1130" s="1">
        <f>ABS(Table4[[#This Row],[EndMP]]-Table4[[#This Row],[StartMP]])</f>
        <v>0.5010069999999871</v>
      </c>
      <c r="P1130" s="1" t="str">
        <f>IF( AND( Table4[[#This Row],[Route]]=ClosureLocation!$B$3, ClosureLocation!$B$6 &gt;= Table4[[#This Row],[StartMP]], ClosureLocation!$B$6 &lt;= Table4[[#This Row],[EndMP]]), "Yes", "")</f>
        <v/>
      </c>
      <c r="Q1130" s="1" t="str">
        <f>IF( AND( Table4[[#This Row],[Route]]=ClosureLocation!$B$3, ClosureLocation!$B$6 &lt;= Table4[[#This Row],[StartMP]], ClosureLocation!$B$6 &gt;= Table4[[#This Row],[EndMP]]), "Yes", "")</f>
        <v/>
      </c>
      <c r="R1130" s="1" t="str">
        <f>IF( OR( Table4[[#This Row],[PrimaryMatch]]="Yes", Table4[[#This Row],[SecondaryMatch]]="Yes"), "Yes", "")</f>
        <v/>
      </c>
    </row>
    <row r="1131" spans="1:18" hidden="1" x14ac:dyDescent="0.25">
      <c r="A1131" t="s">
        <v>310</v>
      </c>
      <c r="B1131" t="s">
        <v>3205</v>
      </c>
      <c r="C1131" t="s">
        <v>3206</v>
      </c>
      <c r="D1131" t="s">
        <v>3427</v>
      </c>
      <c r="E1131" s="1">
        <v>158</v>
      </c>
      <c r="F1131" s="1">
        <v>158.287994</v>
      </c>
      <c r="K1131" s="39">
        <f>DefaultValues!$B$4</f>
        <v>5</v>
      </c>
      <c r="L1131" s="1">
        <f>DefaultValues!$C$4</f>
        <v>0.5</v>
      </c>
      <c r="M1131" s="1" t="str">
        <f>DefaultValues!$D$4</f>
        <v xml:space="preserve">- Within interchange - </v>
      </c>
      <c r="N1131" s="1">
        <v>158</v>
      </c>
      <c r="O1131" s="1">
        <f>ABS(Table4[[#This Row],[EndMP]]-Table4[[#This Row],[StartMP]])</f>
        <v>0.28799399999999764</v>
      </c>
      <c r="P1131" s="1" t="str">
        <f>IF( AND( Table4[[#This Row],[Route]]=ClosureLocation!$B$3, ClosureLocation!$B$6 &gt;= Table4[[#This Row],[StartMP]], ClosureLocation!$B$6 &lt;= Table4[[#This Row],[EndMP]]), "Yes", "")</f>
        <v/>
      </c>
      <c r="Q1131" s="1" t="str">
        <f>IF( AND( Table4[[#This Row],[Route]]=ClosureLocation!$B$3, ClosureLocation!$B$6 &lt;= Table4[[#This Row],[StartMP]], ClosureLocation!$B$6 &gt;= Table4[[#This Row],[EndMP]]), "Yes", "")</f>
        <v/>
      </c>
      <c r="R1131" s="1" t="str">
        <f>IF( OR( Table4[[#This Row],[PrimaryMatch]]="Yes", Table4[[#This Row],[SecondaryMatch]]="Yes"), "Yes", "")</f>
        <v/>
      </c>
    </row>
    <row r="1132" spans="1:18" hidden="1" x14ac:dyDescent="0.25">
      <c r="A1132" t="s">
        <v>310</v>
      </c>
      <c r="B1132" t="s">
        <v>3205</v>
      </c>
      <c r="C1132" t="s">
        <v>3206</v>
      </c>
      <c r="D1132" t="s">
        <v>3427</v>
      </c>
      <c r="E1132" s="1">
        <v>160.39999399999999</v>
      </c>
      <c r="F1132" s="1">
        <v>160.63299599999999</v>
      </c>
      <c r="K1132" s="39">
        <f>DefaultValues!$B$4</f>
        <v>5</v>
      </c>
      <c r="L1132" s="1">
        <f>DefaultValues!$C$4</f>
        <v>0.5</v>
      </c>
      <c r="M1132" s="1" t="str">
        <f>DefaultValues!$D$4</f>
        <v xml:space="preserve">- Within interchange - </v>
      </c>
      <c r="N1132" s="1">
        <v>160.39999399999999</v>
      </c>
      <c r="O1132" s="1">
        <f>ABS(Table4[[#This Row],[EndMP]]-Table4[[#This Row],[StartMP]])</f>
        <v>0.23300199999999904</v>
      </c>
      <c r="P1132" s="1" t="str">
        <f>IF( AND( Table4[[#This Row],[Route]]=ClosureLocation!$B$3, ClosureLocation!$B$6 &gt;= Table4[[#This Row],[StartMP]], ClosureLocation!$B$6 &lt;= Table4[[#This Row],[EndMP]]), "Yes", "")</f>
        <v/>
      </c>
      <c r="Q1132" s="1" t="str">
        <f>IF( AND( Table4[[#This Row],[Route]]=ClosureLocation!$B$3, ClosureLocation!$B$6 &lt;= Table4[[#This Row],[StartMP]], ClosureLocation!$B$6 &gt;= Table4[[#This Row],[EndMP]]), "Yes", "")</f>
        <v/>
      </c>
      <c r="R1132" s="1" t="str">
        <f>IF( OR( Table4[[#This Row],[PrimaryMatch]]="Yes", Table4[[#This Row],[SecondaryMatch]]="Yes"), "Yes", "")</f>
        <v/>
      </c>
    </row>
    <row r="1133" spans="1:18" hidden="1" x14ac:dyDescent="0.25">
      <c r="A1133" t="s">
        <v>310</v>
      </c>
      <c r="B1133" t="s">
        <v>3205</v>
      </c>
      <c r="C1133" t="s">
        <v>3206</v>
      </c>
      <c r="D1133" t="s">
        <v>3427</v>
      </c>
      <c r="E1133" s="1">
        <v>163.240005</v>
      </c>
      <c r="F1133" s="1">
        <v>163.47700499999999</v>
      </c>
      <c r="K1133" s="39">
        <f>DefaultValues!$B$4</f>
        <v>5</v>
      </c>
      <c r="L1133" s="1">
        <f>DefaultValues!$C$4</f>
        <v>0.5</v>
      </c>
      <c r="M1133" s="1" t="str">
        <f>DefaultValues!$D$4</f>
        <v xml:space="preserve">- Within interchange - </v>
      </c>
      <c r="N1133" s="1">
        <v>163.240005</v>
      </c>
      <c r="O1133" s="1">
        <f>ABS(Table4[[#This Row],[EndMP]]-Table4[[#This Row],[StartMP]])</f>
        <v>0.23699999999999477</v>
      </c>
      <c r="P1133" s="1" t="str">
        <f>IF( AND( Table4[[#This Row],[Route]]=ClosureLocation!$B$3, ClosureLocation!$B$6 &gt;= Table4[[#This Row],[StartMP]], ClosureLocation!$B$6 &lt;= Table4[[#This Row],[EndMP]]), "Yes", "")</f>
        <v/>
      </c>
      <c r="Q1133" s="1" t="str">
        <f>IF( AND( Table4[[#This Row],[Route]]=ClosureLocation!$B$3, ClosureLocation!$B$6 &lt;= Table4[[#This Row],[StartMP]], ClosureLocation!$B$6 &gt;= Table4[[#This Row],[EndMP]]), "Yes", "")</f>
        <v/>
      </c>
      <c r="R1133" s="1" t="str">
        <f>IF( OR( Table4[[#This Row],[PrimaryMatch]]="Yes", Table4[[#This Row],[SecondaryMatch]]="Yes"), "Yes", "")</f>
        <v/>
      </c>
    </row>
    <row r="1134" spans="1:18" hidden="1" x14ac:dyDescent="0.25">
      <c r="A1134" t="s">
        <v>310</v>
      </c>
      <c r="B1134" t="s">
        <v>3205</v>
      </c>
      <c r="C1134" t="s">
        <v>3206</v>
      </c>
      <c r="D1134" t="s">
        <v>3427</v>
      </c>
      <c r="E1134" s="1">
        <v>167.404999</v>
      </c>
      <c r="F1134" s="1">
        <v>167.58999600000001</v>
      </c>
      <c r="K1134" s="39">
        <f>DefaultValues!$B$4</f>
        <v>5</v>
      </c>
      <c r="L1134" s="1">
        <f>DefaultValues!$C$4</f>
        <v>0.5</v>
      </c>
      <c r="M1134" s="1" t="str">
        <f>DefaultValues!$D$4</f>
        <v xml:space="preserve">- Within interchange - </v>
      </c>
      <c r="N1134" s="1">
        <v>167.404999</v>
      </c>
      <c r="O1134" s="1">
        <f>ABS(Table4[[#This Row],[EndMP]]-Table4[[#This Row],[StartMP]])</f>
        <v>0.18499700000000985</v>
      </c>
      <c r="P1134" s="1" t="str">
        <f>IF( AND( Table4[[#This Row],[Route]]=ClosureLocation!$B$3, ClosureLocation!$B$6 &gt;= Table4[[#This Row],[StartMP]], ClosureLocation!$B$6 &lt;= Table4[[#This Row],[EndMP]]), "Yes", "")</f>
        <v/>
      </c>
      <c r="Q1134" s="1" t="str">
        <f>IF( AND( Table4[[#This Row],[Route]]=ClosureLocation!$B$3, ClosureLocation!$B$6 &lt;= Table4[[#This Row],[StartMP]], ClosureLocation!$B$6 &gt;= Table4[[#This Row],[EndMP]]), "Yes", "")</f>
        <v/>
      </c>
      <c r="R1134" s="1" t="str">
        <f>IF( OR( Table4[[#This Row],[PrimaryMatch]]="Yes", Table4[[#This Row],[SecondaryMatch]]="Yes"), "Yes", "")</f>
        <v/>
      </c>
    </row>
    <row r="1135" spans="1:18" hidden="1" x14ac:dyDescent="0.25">
      <c r="A1135" t="s">
        <v>310</v>
      </c>
      <c r="B1135" t="s">
        <v>3205</v>
      </c>
      <c r="C1135" t="s">
        <v>3206</v>
      </c>
      <c r="D1135" t="s">
        <v>3427</v>
      </c>
      <c r="E1135" s="1">
        <v>171.70799299999999</v>
      </c>
      <c r="F1135" s="1">
        <v>171.96499600000001</v>
      </c>
      <c r="K1135" s="39">
        <f>DefaultValues!$B$4</f>
        <v>5</v>
      </c>
      <c r="L1135" s="1">
        <f>DefaultValues!$C$4</f>
        <v>0.5</v>
      </c>
      <c r="M1135" s="1" t="str">
        <f>DefaultValues!$D$4</f>
        <v xml:space="preserve">- Within interchange - </v>
      </c>
      <c r="N1135" s="1">
        <v>171.70799299999999</v>
      </c>
      <c r="O1135" s="1">
        <f>ABS(Table4[[#This Row],[EndMP]]-Table4[[#This Row],[StartMP]])</f>
        <v>0.25700300000002585</v>
      </c>
      <c r="P1135" s="1" t="str">
        <f>IF( AND( Table4[[#This Row],[Route]]=ClosureLocation!$B$3, ClosureLocation!$B$6 &gt;= Table4[[#This Row],[StartMP]], ClosureLocation!$B$6 &lt;= Table4[[#This Row],[EndMP]]), "Yes", "")</f>
        <v/>
      </c>
      <c r="Q1135" s="1" t="str">
        <f>IF( AND( Table4[[#This Row],[Route]]=ClosureLocation!$B$3, ClosureLocation!$B$6 &lt;= Table4[[#This Row],[StartMP]], ClosureLocation!$B$6 &gt;= Table4[[#This Row],[EndMP]]), "Yes", "")</f>
        <v/>
      </c>
      <c r="R1135" s="1" t="str">
        <f>IF( OR( Table4[[#This Row],[PrimaryMatch]]="Yes", Table4[[#This Row],[SecondaryMatch]]="Yes"), "Yes", "")</f>
        <v/>
      </c>
    </row>
    <row r="1136" spans="1:18" hidden="1" x14ac:dyDescent="0.25">
      <c r="A1136" t="s">
        <v>310</v>
      </c>
      <c r="B1136" t="s">
        <v>3205</v>
      </c>
      <c r="C1136" t="s">
        <v>3206</v>
      </c>
      <c r="D1136" t="s">
        <v>3427</v>
      </c>
      <c r="E1136" s="1">
        <v>173.65600599999999</v>
      </c>
      <c r="F1136" s="1">
        <v>174.054993</v>
      </c>
      <c r="K1136" s="39">
        <f>DefaultValues!$B$4</f>
        <v>5</v>
      </c>
      <c r="L1136" s="1">
        <f>DefaultValues!$C$4</f>
        <v>0.5</v>
      </c>
      <c r="M1136" s="1" t="str">
        <f>DefaultValues!$D$4</f>
        <v xml:space="preserve">- Within interchange - </v>
      </c>
      <c r="N1136" s="1">
        <v>173.65600599999999</v>
      </c>
      <c r="O1136" s="1">
        <f>ABS(Table4[[#This Row],[EndMP]]-Table4[[#This Row],[StartMP]])</f>
        <v>0.39898700000000531</v>
      </c>
      <c r="P1136" s="1" t="str">
        <f>IF( AND( Table4[[#This Row],[Route]]=ClosureLocation!$B$3, ClosureLocation!$B$6 &gt;= Table4[[#This Row],[StartMP]], ClosureLocation!$B$6 &lt;= Table4[[#This Row],[EndMP]]), "Yes", "")</f>
        <v/>
      </c>
      <c r="Q1136" s="1" t="str">
        <f>IF( AND( Table4[[#This Row],[Route]]=ClosureLocation!$B$3, ClosureLocation!$B$6 &lt;= Table4[[#This Row],[StartMP]], ClosureLocation!$B$6 &gt;= Table4[[#This Row],[EndMP]]), "Yes", "")</f>
        <v/>
      </c>
      <c r="R1136" s="1" t="str">
        <f>IF( OR( Table4[[#This Row],[PrimaryMatch]]="Yes", Table4[[#This Row],[SecondaryMatch]]="Yes"), "Yes", "")</f>
        <v/>
      </c>
    </row>
    <row r="1137" spans="1:18" hidden="1" x14ac:dyDescent="0.25">
      <c r="A1137" t="s">
        <v>310</v>
      </c>
      <c r="B1137" t="s">
        <v>3205</v>
      </c>
      <c r="C1137" t="s">
        <v>3206</v>
      </c>
      <c r="D1137" t="s">
        <v>3427</v>
      </c>
      <c r="E1137" s="1">
        <v>180.550003</v>
      </c>
      <c r="F1137" s="1">
        <v>181.18499800000001</v>
      </c>
      <c r="K1137" s="39">
        <f>DefaultValues!$B$4</f>
        <v>5</v>
      </c>
      <c r="L1137" s="1">
        <f>DefaultValues!$C$4</f>
        <v>0.5</v>
      </c>
      <c r="M1137" s="1" t="str">
        <f>DefaultValues!$D$4</f>
        <v xml:space="preserve">- Within interchange - </v>
      </c>
      <c r="N1137" s="1">
        <v>180.550003</v>
      </c>
      <c r="O1137" s="1">
        <f>ABS(Table4[[#This Row],[EndMP]]-Table4[[#This Row],[StartMP]])</f>
        <v>0.63499500000000353</v>
      </c>
      <c r="P1137" s="1" t="str">
        <f>IF( AND( Table4[[#This Row],[Route]]=ClosureLocation!$B$3, ClosureLocation!$B$6 &gt;= Table4[[#This Row],[StartMP]], ClosureLocation!$B$6 &lt;= Table4[[#This Row],[EndMP]]), "Yes", "")</f>
        <v/>
      </c>
      <c r="Q1137" s="1" t="str">
        <f>IF( AND( Table4[[#This Row],[Route]]=ClosureLocation!$B$3, ClosureLocation!$B$6 &lt;= Table4[[#This Row],[StartMP]], ClosureLocation!$B$6 &gt;= Table4[[#This Row],[EndMP]]), "Yes", "")</f>
        <v/>
      </c>
      <c r="R1137" s="1" t="str">
        <f>IF( OR( Table4[[#This Row],[PrimaryMatch]]="Yes", Table4[[#This Row],[SecondaryMatch]]="Yes"), "Yes", "")</f>
        <v/>
      </c>
    </row>
    <row r="1138" spans="1:18" hidden="1" x14ac:dyDescent="0.25">
      <c r="A1138" t="s">
        <v>310</v>
      </c>
      <c r="B1138" t="s">
        <v>3205</v>
      </c>
      <c r="C1138" t="s">
        <v>3206</v>
      </c>
      <c r="D1138" t="s">
        <v>3427</v>
      </c>
      <c r="E1138" s="1">
        <v>181.71499600000001</v>
      </c>
      <c r="F1138" s="1">
        <v>182.04800399999999</v>
      </c>
      <c r="K1138" s="39">
        <f>DefaultValues!$B$4</f>
        <v>5</v>
      </c>
      <c r="L1138" s="1">
        <f>DefaultValues!$C$4</f>
        <v>0.5</v>
      </c>
      <c r="M1138" s="1" t="str">
        <f>DefaultValues!$D$4</f>
        <v xml:space="preserve">- Within interchange - </v>
      </c>
      <c r="N1138" s="1">
        <v>181.71499600000001</v>
      </c>
      <c r="O1138" s="1">
        <f>ABS(Table4[[#This Row],[EndMP]]-Table4[[#This Row],[StartMP]])</f>
        <v>0.33300799999997821</v>
      </c>
      <c r="P1138" s="1" t="str">
        <f>IF( AND( Table4[[#This Row],[Route]]=ClosureLocation!$B$3, ClosureLocation!$B$6 &gt;= Table4[[#This Row],[StartMP]], ClosureLocation!$B$6 &lt;= Table4[[#This Row],[EndMP]]), "Yes", "")</f>
        <v/>
      </c>
      <c r="Q1138" s="1" t="str">
        <f>IF( AND( Table4[[#This Row],[Route]]=ClosureLocation!$B$3, ClosureLocation!$B$6 &lt;= Table4[[#This Row],[StartMP]], ClosureLocation!$B$6 &gt;= Table4[[#This Row],[EndMP]]), "Yes", "")</f>
        <v/>
      </c>
      <c r="R1138" s="1" t="str">
        <f>IF( OR( Table4[[#This Row],[PrimaryMatch]]="Yes", Table4[[#This Row],[SecondaryMatch]]="Yes"), "Yes", "")</f>
        <v/>
      </c>
    </row>
    <row r="1139" spans="1:18" hidden="1" x14ac:dyDescent="0.25">
      <c r="A1139" t="s">
        <v>310</v>
      </c>
      <c r="B1139" t="s">
        <v>3205</v>
      </c>
      <c r="C1139" t="s">
        <v>3206</v>
      </c>
      <c r="D1139" t="s">
        <v>3427</v>
      </c>
      <c r="E1139" s="1">
        <v>183.93400600000001</v>
      </c>
      <c r="F1139" s="1">
        <v>184.587997</v>
      </c>
      <c r="K1139" s="39">
        <f>DefaultValues!$B$4</f>
        <v>5</v>
      </c>
      <c r="L1139" s="1">
        <f>DefaultValues!$C$4</f>
        <v>0.5</v>
      </c>
      <c r="M1139" s="1" t="str">
        <f>DefaultValues!$D$4</f>
        <v xml:space="preserve">- Within interchange - </v>
      </c>
      <c r="N1139" s="1">
        <v>183.93400600000001</v>
      </c>
      <c r="O1139" s="1">
        <f>ABS(Table4[[#This Row],[EndMP]]-Table4[[#This Row],[StartMP]])</f>
        <v>0.65399099999999066</v>
      </c>
      <c r="P1139" s="1" t="str">
        <f>IF( AND( Table4[[#This Row],[Route]]=ClosureLocation!$B$3, ClosureLocation!$B$6 &gt;= Table4[[#This Row],[StartMP]], ClosureLocation!$B$6 &lt;= Table4[[#This Row],[EndMP]]), "Yes", "")</f>
        <v/>
      </c>
      <c r="Q1139" s="1" t="str">
        <f>IF( AND( Table4[[#This Row],[Route]]=ClosureLocation!$B$3, ClosureLocation!$B$6 &lt;= Table4[[#This Row],[StartMP]], ClosureLocation!$B$6 &gt;= Table4[[#This Row],[EndMP]]), "Yes", "")</f>
        <v/>
      </c>
      <c r="R1139" s="1" t="str">
        <f>IF( OR( Table4[[#This Row],[PrimaryMatch]]="Yes", Table4[[#This Row],[SecondaryMatch]]="Yes"), "Yes", "")</f>
        <v/>
      </c>
    </row>
    <row r="1140" spans="1:18" hidden="1" x14ac:dyDescent="0.25">
      <c r="A1140" t="s">
        <v>310</v>
      </c>
      <c r="B1140" t="s">
        <v>3205</v>
      </c>
      <c r="C1140" t="s">
        <v>3206</v>
      </c>
      <c r="D1140" t="s">
        <v>3427</v>
      </c>
      <c r="E1140" s="1">
        <v>186.73100299999999</v>
      </c>
      <c r="F1140" s="1">
        <v>187.16700700000001</v>
      </c>
      <c r="K1140" s="39">
        <f>DefaultValues!$B$4</f>
        <v>5</v>
      </c>
      <c r="L1140" s="1">
        <f>DefaultValues!$C$4</f>
        <v>0.5</v>
      </c>
      <c r="M1140" s="1" t="str">
        <f>DefaultValues!$D$4</f>
        <v xml:space="preserve">- Within interchange - </v>
      </c>
      <c r="N1140" s="1">
        <v>186.73100299999999</v>
      </c>
      <c r="O1140" s="1">
        <f>ABS(Table4[[#This Row],[EndMP]]-Table4[[#This Row],[StartMP]])</f>
        <v>0.43600400000002537</v>
      </c>
      <c r="P1140" s="1" t="str">
        <f>IF( AND( Table4[[#This Row],[Route]]=ClosureLocation!$B$3, ClosureLocation!$B$6 &gt;= Table4[[#This Row],[StartMP]], ClosureLocation!$B$6 &lt;= Table4[[#This Row],[EndMP]]), "Yes", "")</f>
        <v/>
      </c>
      <c r="Q1140" s="1" t="str">
        <f>IF( AND( Table4[[#This Row],[Route]]=ClosureLocation!$B$3, ClosureLocation!$B$6 &lt;= Table4[[#This Row],[StartMP]], ClosureLocation!$B$6 &gt;= Table4[[#This Row],[EndMP]]), "Yes", "")</f>
        <v/>
      </c>
      <c r="R1140" s="1" t="str">
        <f>IF( OR( Table4[[#This Row],[PrimaryMatch]]="Yes", Table4[[#This Row],[SecondaryMatch]]="Yes"), "Yes", "")</f>
        <v/>
      </c>
    </row>
    <row r="1141" spans="1:18" hidden="1" x14ac:dyDescent="0.25">
      <c r="A1141" t="s">
        <v>310</v>
      </c>
      <c r="B1141" t="s">
        <v>3205</v>
      </c>
      <c r="C1141" t="s">
        <v>3206</v>
      </c>
      <c r="D1141" t="s">
        <v>3427</v>
      </c>
      <c r="E1141" s="1">
        <v>188.145004</v>
      </c>
      <c r="F1141" s="1">
        <v>188.817993</v>
      </c>
      <c r="K1141" s="39">
        <f>DefaultValues!$B$4</f>
        <v>5</v>
      </c>
      <c r="L1141" s="1">
        <f>DefaultValues!$C$4</f>
        <v>0.5</v>
      </c>
      <c r="M1141" s="1" t="str">
        <f>DefaultValues!$D$4</f>
        <v xml:space="preserve">- Within interchange - </v>
      </c>
      <c r="N1141" s="1">
        <v>188.145004</v>
      </c>
      <c r="O1141" s="1">
        <f>ABS(Table4[[#This Row],[EndMP]]-Table4[[#This Row],[StartMP]])</f>
        <v>0.67298900000000117</v>
      </c>
      <c r="P1141" s="1" t="str">
        <f>IF( AND( Table4[[#This Row],[Route]]=ClosureLocation!$B$3, ClosureLocation!$B$6 &gt;= Table4[[#This Row],[StartMP]], ClosureLocation!$B$6 &lt;= Table4[[#This Row],[EndMP]]), "Yes", "")</f>
        <v/>
      </c>
      <c r="Q1141" s="1" t="str">
        <f>IF( AND( Table4[[#This Row],[Route]]=ClosureLocation!$B$3, ClosureLocation!$B$6 &lt;= Table4[[#This Row],[StartMP]], ClosureLocation!$B$6 &gt;= Table4[[#This Row],[EndMP]]), "Yes", "")</f>
        <v/>
      </c>
      <c r="R1141" s="1" t="str">
        <f>IF( OR( Table4[[#This Row],[PrimaryMatch]]="Yes", Table4[[#This Row],[SecondaryMatch]]="Yes"), "Yes", "")</f>
        <v/>
      </c>
    </row>
    <row r="1142" spans="1:18" hidden="1" x14ac:dyDescent="0.25">
      <c r="A1142" t="s">
        <v>310</v>
      </c>
      <c r="B1142" t="s">
        <v>3205</v>
      </c>
      <c r="C1142" t="s">
        <v>3206</v>
      </c>
      <c r="D1142" t="s">
        <v>3427</v>
      </c>
      <c r="E1142" s="1">
        <v>191.759995</v>
      </c>
      <c r="F1142" s="1">
        <v>192.32200599999999</v>
      </c>
      <c r="K1142" s="39">
        <f>DefaultValues!$B$4</f>
        <v>5</v>
      </c>
      <c r="L1142" s="1">
        <f>DefaultValues!$C$4</f>
        <v>0.5</v>
      </c>
      <c r="M1142" s="1" t="str">
        <f>DefaultValues!$D$4</f>
        <v xml:space="preserve">- Within interchange - </v>
      </c>
      <c r="N1142" s="1">
        <v>191.759995</v>
      </c>
      <c r="O1142" s="1">
        <f>ABS(Table4[[#This Row],[EndMP]]-Table4[[#This Row],[StartMP]])</f>
        <v>0.56201099999998405</v>
      </c>
      <c r="P1142" s="1" t="str">
        <f>IF( AND( Table4[[#This Row],[Route]]=ClosureLocation!$B$3, ClosureLocation!$B$6 &gt;= Table4[[#This Row],[StartMP]], ClosureLocation!$B$6 &lt;= Table4[[#This Row],[EndMP]]), "Yes", "")</f>
        <v/>
      </c>
      <c r="Q1142" s="1" t="str">
        <f>IF( AND( Table4[[#This Row],[Route]]=ClosureLocation!$B$3, ClosureLocation!$B$6 &lt;= Table4[[#This Row],[StartMP]], ClosureLocation!$B$6 &gt;= Table4[[#This Row],[EndMP]]), "Yes", "")</f>
        <v/>
      </c>
      <c r="R1142" s="1" t="str">
        <f>IF( OR( Table4[[#This Row],[PrimaryMatch]]="Yes", Table4[[#This Row],[SecondaryMatch]]="Yes"), "Yes", "")</f>
        <v/>
      </c>
    </row>
    <row r="1143" spans="1:18" hidden="1" x14ac:dyDescent="0.25">
      <c r="A1143" t="s">
        <v>310</v>
      </c>
      <c r="B1143" t="s">
        <v>3205</v>
      </c>
      <c r="C1143" t="s">
        <v>3206</v>
      </c>
      <c r="D1143" t="s">
        <v>3427</v>
      </c>
      <c r="E1143" s="1">
        <v>192.63800000000001</v>
      </c>
      <c r="F1143" s="1">
        <v>193.48199500000001</v>
      </c>
      <c r="K1143" s="39">
        <f>DefaultValues!$B$4</f>
        <v>5</v>
      </c>
      <c r="L1143" s="1">
        <f>DefaultValues!$C$4</f>
        <v>0.5</v>
      </c>
      <c r="M1143" s="1" t="str">
        <f>DefaultValues!$D$4</f>
        <v xml:space="preserve">- Within interchange - </v>
      </c>
      <c r="N1143" s="1">
        <v>192.63800000000001</v>
      </c>
      <c r="O1143" s="1">
        <f>ABS(Table4[[#This Row],[EndMP]]-Table4[[#This Row],[StartMP]])</f>
        <v>0.84399500000000671</v>
      </c>
      <c r="P1143" s="1" t="str">
        <f>IF( AND( Table4[[#This Row],[Route]]=ClosureLocation!$B$3, ClosureLocation!$B$6 &gt;= Table4[[#This Row],[StartMP]], ClosureLocation!$B$6 &lt;= Table4[[#This Row],[EndMP]]), "Yes", "")</f>
        <v/>
      </c>
      <c r="Q1143" s="1" t="str">
        <f>IF( AND( Table4[[#This Row],[Route]]=ClosureLocation!$B$3, ClosureLocation!$B$6 &lt;= Table4[[#This Row],[StartMP]], ClosureLocation!$B$6 &gt;= Table4[[#This Row],[EndMP]]), "Yes", "")</f>
        <v/>
      </c>
      <c r="R1143" s="1" t="str">
        <f>IF( OR( Table4[[#This Row],[PrimaryMatch]]="Yes", Table4[[#This Row],[SecondaryMatch]]="Yes"), "Yes", "")</f>
        <v/>
      </c>
    </row>
    <row r="1144" spans="1:18" hidden="1" x14ac:dyDescent="0.25">
      <c r="A1144" t="s">
        <v>310</v>
      </c>
      <c r="B1144" t="s">
        <v>3205</v>
      </c>
      <c r="C1144" t="s">
        <v>3206</v>
      </c>
      <c r="D1144" t="s">
        <v>3427</v>
      </c>
      <c r="E1144" s="1">
        <v>193.820007</v>
      </c>
      <c r="F1144" s="1">
        <v>195.391006</v>
      </c>
      <c r="K1144" s="39">
        <f>DefaultValues!$B$4</f>
        <v>5</v>
      </c>
      <c r="L1144" s="1">
        <f>DefaultValues!$C$4</f>
        <v>0.5</v>
      </c>
      <c r="M1144" s="1" t="str">
        <f>DefaultValues!$D$4</f>
        <v xml:space="preserve">- Within interchange - </v>
      </c>
      <c r="N1144" s="1">
        <v>193.820007</v>
      </c>
      <c r="O1144" s="1">
        <f>ABS(Table4[[#This Row],[EndMP]]-Table4[[#This Row],[StartMP]])</f>
        <v>1.5709990000000005</v>
      </c>
      <c r="P1144" s="1" t="str">
        <f>IF( AND( Table4[[#This Row],[Route]]=ClosureLocation!$B$3, ClosureLocation!$B$6 &gt;= Table4[[#This Row],[StartMP]], ClosureLocation!$B$6 &lt;= Table4[[#This Row],[EndMP]]), "Yes", "")</f>
        <v/>
      </c>
      <c r="Q1144" s="1" t="str">
        <f>IF( AND( Table4[[#This Row],[Route]]=ClosureLocation!$B$3, ClosureLocation!$B$6 &lt;= Table4[[#This Row],[StartMP]], ClosureLocation!$B$6 &gt;= Table4[[#This Row],[EndMP]]), "Yes", "")</f>
        <v/>
      </c>
      <c r="R1144" s="1" t="str">
        <f>IF( OR( Table4[[#This Row],[PrimaryMatch]]="Yes", Table4[[#This Row],[SecondaryMatch]]="Yes"), "Yes", "")</f>
        <v/>
      </c>
    </row>
    <row r="1145" spans="1:18" hidden="1" x14ac:dyDescent="0.25">
      <c r="A1145" t="s">
        <v>310</v>
      </c>
      <c r="B1145" t="s">
        <v>3205</v>
      </c>
      <c r="C1145" t="s">
        <v>3206</v>
      </c>
      <c r="D1145" t="s">
        <v>3427</v>
      </c>
      <c r="E1145" s="1">
        <v>195.86099200000001</v>
      </c>
      <c r="F1145" s="1">
        <v>196.43100000000001</v>
      </c>
      <c r="K1145" s="39">
        <f>DefaultValues!$B$4</f>
        <v>5</v>
      </c>
      <c r="L1145" s="1">
        <f>DefaultValues!$C$4</f>
        <v>0.5</v>
      </c>
      <c r="M1145" s="1" t="str">
        <f>DefaultValues!$D$4</f>
        <v xml:space="preserve">- Within interchange - </v>
      </c>
      <c r="N1145" s="1">
        <v>195.86099200000001</v>
      </c>
      <c r="O1145" s="1">
        <f>ABS(Table4[[#This Row],[EndMP]]-Table4[[#This Row],[StartMP]])</f>
        <v>0.5700080000000014</v>
      </c>
      <c r="P1145" s="1" t="str">
        <f>IF( AND( Table4[[#This Row],[Route]]=ClosureLocation!$B$3, ClosureLocation!$B$6 &gt;= Table4[[#This Row],[StartMP]], ClosureLocation!$B$6 &lt;= Table4[[#This Row],[EndMP]]), "Yes", "")</f>
        <v/>
      </c>
      <c r="Q1145" s="1" t="str">
        <f>IF( AND( Table4[[#This Row],[Route]]=ClosureLocation!$B$3, ClosureLocation!$B$6 &lt;= Table4[[#This Row],[StartMP]], ClosureLocation!$B$6 &gt;= Table4[[#This Row],[EndMP]]), "Yes", "")</f>
        <v/>
      </c>
      <c r="R1145" s="1" t="str">
        <f>IF( OR( Table4[[#This Row],[PrimaryMatch]]="Yes", Table4[[#This Row],[SecondaryMatch]]="Yes"), "Yes", "")</f>
        <v/>
      </c>
    </row>
    <row r="1146" spans="1:18" hidden="1" x14ac:dyDescent="0.25">
      <c r="A1146" t="s">
        <v>310</v>
      </c>
      <c r="B1146" t="s">
        <v>3205</v>
      </c>
      <c r="C1146" t="s">
        <v>3206</v>
      </c>
      <c r="D1146" t="s">
        <v>3427</v>
      </c>
      <c r="E1146" s="1">
        <v>196.925003</v>
      </c>
      <c r="F1146" s="1">
        <v>197.47500600000001</v>
      </c>
      <c r="K1146" s="39">
        <f>DefaultValues!$B$4</f>
        <v>5</v>
      </c>
      <c r="L1146" s="1">
        <f>DefaultValues!$C$4</f>
        <v>0.5</v>
      </c>
      <c r="M1146" s="1" t="str">
        <f>DefaultValues!$D$4</f>
        <v xml:space="preserve">- Within interchange - </v>
      </c>
      <c r="N1146" s="1">
        <v>196.925003</v>
      </c>
      <c r="O1146" s="1">
        <f>ABS(Table4[[#This Row],[EndMP]]-Table4[[#This Row],[StartMP]])</f>
        <v>0.55000300000000379</v>
      </c>
      <c r="P1146" s="1" t="str">
        <f>IF( AND( Table4[[#This Row],[Route]]=ClosureLocation!$B$3, ClosureLocation!$B$6 &gt;= Table4[[#This Row],[StartMP]], ClosureLocation!$B$6 &lt;= Table4[[#This Row],[EndMP]]), "Yes", "")</f>
        <v/>
      </c>
      <c r="Q1146" s="1" t="str">
        <f>IF( AND( Table4[[#This Row],[Route]]=ClosureLocation!$B$3, ClosureLocation!$B$6 &lt;= Table4[[#This Row],[StartMP]], ClosureLocation!$B$6 &gt;= Table4[[#This Row],[EndMP]]), "Yes", "")</f>
        <v/>
      </c>
      <c r="R1146" s="1" t="str">
        <f>IF( OR( Table4[[#This Row],[PrimaryMatch]]="Yes", Table4[[#This Row],[SecondaryMatch]]="Yes"), "Yes", "")</f>
        <v/>
      </c>
    </row>
    <row r="1147" spans="1:18" hidden="1" x14ac:dyDescent="0.25">
      <c r="A1147" t="s">
        <v>310</v>
      </c>
      <c r="B1147" t="s">
        <v>3205</v>
      </c>
      <c r="C1147" t="s">
        <v>3206</v>
      </c>
      <c r="D1147" t="s">
        <v>3427</v>
      </c>
      <c r="E1147" s="1">
        <v>198.078003</v>
      </c>
      <c r="F1147" s="1">
        <v>198.526993</v>
      </c>
      <c r="K1147" s="39">
        <f>DefaultValues!$B$4</f>
        <v>5</v>
      </c>
      <c r="L1147" s="1">
        <f>DefaultValues!$C$4</f>
        <v>0.5</v>
      </c>
      <c r="M1147" s="1" t="str">
        <f>DefaultValues!$D$4</f>
        <v xml:space="preserve">- Within interchange - </v>
      </c>
      <c r="N1147" s="1">
        <v>198.078003</v>
      </c>
      <c r="O1147" s="1">
        <f>ABS(Table4[[#This Row],[EndMP]]-Table4[[#This Row],[StartMP]])</f>
        <v>0.4489900000000091</v>
      </c>
      <c r="P1147" s="1" t="str">
        <f>IF( AND( Table4[[#This Row],[Route]]=ClosureLocation!$B$3, ClosureLocation!$B$6 &gt;= Table4[[#This Row],[StartMP]], ClosureLocation!$B$6 &lt;= Table4[[#This Row],[EndMP]]), "Yes", "")</f>
        <v/>
      </c>
      <c r="Q1147" s="1" t="str">
        <f>IF( AND( Table4[[#This Row],[Route]]=ClosureLocation!$B$3, ClosureLocation!$B$6 &lt;= Table4[[#This Row],[StartMP]], ClosureLocation!$B$6 &gt;= Table4[[#This Row],[EndMP]]), "Yes", "")</f>
        <v/>
      </c>
      <c r="R1147" s="1" t="str">
        <f>IF( OR( Table4[[#This Row],[PrimaryMatch]]="Yes", Table4[[#This Row],[SecondaryMatch]]="Yes"), "Yes", "")</f>
        <v/>
      </c>
    </row>
    <row r="1148" spans="1:18" hidden="1" x14ac:dyDescent="0.25">
      <c r="A1148" t="s">
        <v>310</v>
      </c>
      <c r="B1148" t="s">
        <v>3205</v>
      </c>
      <c r="C1148" t="s">
        <v>3206</v>
      </c>
      <c r="D1148" t="s">
        <v>3427</v>
      </c>
      <c r="E1148" s="1">
        <v>199.09599299999999</v>
      </c>
      <c r="F1148" s="1">
        <v>200.34599299999999</v>
      </c>
      <c r="K1148" s="39">
        <f>DefaultValues!$B$4</f>
        <v>5</v>
      </c>
      <c r="L1148" s="1">
        <f>DefaultValues!$C$4</f>
        <v>0.5</v>
      </c>
      <c r="M1148" s="1" t="str">
        <f>DefaultValues!$D$4</f>
        <v xml:space="preserve">- Within interchange - </v>
      </c>
      <c r="N1148" s="1">
        <v>199.09599299999999</v>
      </c>
      <c r="O1148" s="1">
        <f>ABS(Table4[[#This Row],[EndMP]]-Table4[[#This Row],[StartMP]])</f>
        <v>1.25</v>
      </c>
      <c r="P1148" s="1" t="str">
        <f>IF( AND( Table4[[#This Row],[Route]]=ClosureLocation!$B$3, ClosureLocation!$B$6 &gt;= Table4[[#This Row],[StartMP]], ClosureLocation!$B$6 &lt;= Table4[[#This Row],[EndMP]]), "Yes", "")</f>
        <v/>
      </c>
      <c r="Q1148" s="1" t="str">
        <f>IF( AND( Table4[[#This Row],[Route]]=ClosureLocation!$B$3, ClosureLocation!$B$6 &lt;= Table4[[#This Row],[StartMP]], ClosureLocation!$B$6 &gt;= Table4[[#This Row],[EndMP]]), "Yes", "")</f>
        <v/>
      </c>
      <c r="R1148" s="1" t="str">
        <f>IF( OR( Table4[[#This Row],[PrimaryMatch]]="Yes", Table4[[#This Row],[SecondaryMatch]]="Yes"), "Yes", "")</f>
        <v/>
      </c>
    </row>
    <row r="1149" spans="1:18" hidden="1" x14ac:dyDescent="0.25">
      <c r="A1149" t="s">
        <v>310</v>
      </c>
      <c r="B1149" t="s">
        <v>3205</v>
      </c>
      <c r="C1149" t="s">
        <v>3206</v>
      </c>
      <c r="D1149" t="s">
        <v>3427</v>
      </c>
      <c r="E1149" s="1">
        <v>201.26899700000001</v>
      </c>
      <c r="F1149" s="1">
        <v>201.932007</v>
      </c>
      <c r="K1149" s="39">
        <f>DefaultValues!$B$4</f>
        <v>5</v>
      </c>
      <c r="L1149" s="1">
        <f>DefaultValues!$C$4</f>
        <v>0.5</v>
      </c>
      <c r="M1149" s="1" t="str">
        <f>DefaultValues!$D$4</f>
        <v xml:space="preserve">- Within interchange - </v>
      </c>
      <c r="N1149" s="1">
        <v>201.26899700000001</v>
      </c>
      <c r="O1149" s="1">
        <f>ABS(Table4[[#This Row],[EndMP]]-Table4[[#This Row],[StartMP]])</f>
        <v>0.66300999999998567</v>
      </c>
      <c r="P1149" s="1" t="str">
        <f>IF( AND( Table4[[#This Row],[Route]]=ClosureLocation!$B$3, ClosureLocation!$B$6 &gt;= Table4[[#This Row],[StartMP]], ClosureLocation!$B$6 &lt;= Table4[[#This Row],[EndMP]]), "Yes", "")</f>
        <v/>
      </c>
      <c r="Q1149" s="1" t="str">
        <f>IF( AND( Table4[[#This Row],[Route]]=ClosureLocation!$B$3, ClosureLocation!$B$6 &lt;= Table4[[#This Row],[StartMP]], ClosureLocation!$B$6 &gt;= Table4[[#This Row],[EndMP]]), "Yes", "")</f>
        <v/>
      </c>
      <c r="R1149" s="1" t="str">
        <f>IF( OR( Table4[[#This Row],[PrimaryMatch]]="Yes", Table4[[#This Row],[SecondaryMatch]]="Yes"), "Yes", "")</f>
        <v/>
      </c>
    </row>
    <row r="1150" spans="1:18" hidden="1" x14ac:dyDescent="0.25">
      <c r="A1150" t="s">
        <v>310</v>
      </c>
      <c r="B1150" t="s">
        <v>3205</v>
      </c>
      <c r="C1150" t="s">
        <v>3206</v>
      </c>
      <c r="D1150" t="s">
        <v>3427</v>
      </c>
      <c r="E1150" s="1">
        <v>202.39799500000001</v>
      </c>
      <c r="F1150" s="1">
        <v>202.92700199999999</v>
      </c>
      <c r="K1150" s="39">
        <f>DefaultValues!$B$4</f>
        <v>5</v>
      </c>
      <c r="L1150" s="1">
        <f>DefaultValues!$C$4</f>
        <v>0.5</v>
      </c>
      <c r="M1150" s="1" t="str">
        <f>DefaultValues!$D$4</f>
        <v xml:space="preserve">- Within interchange - </v>
      </c>
      <c r="N1150" s="1">
        <v>202.39799500000001</v>
      </c>
      <c r="O1150" s="1">
        <f>ABS(Table4[[#This Row],[EndMP]]-Table4[[#This Row],[StartMP]])</f>
        <v>0.52900699999997869</v>
      </c>
      <c r="P1150" s="1" t="str">
        <f>IF( AND( Table4[[#This Row],[Route]]=ClosureLocation!$B$3, ClosureLocation!$B$6 &gt;= Table4[[#This Row],[StartMP]], ClosureLocation!$B$6 &lt;= Table4[[#This Row],[EndMP]]), "Yes", "")</f>
        <v/>
      </c>
      <c r="Q1150" s="1" t="str">
        <f>IF( AND( Table4[[#This Row],[Route]]=ClosureLocation!$B$3, ClosureLocation!$B$6 &lt;= Table4[[#This Row],[StartMP]], ClosureLocation!$B$6 &gt;= Table4[[#This Row],[EndMP]]), "Yes", "")</f>
        <v/>
      </c>
      <c r="R1150" s="1" t="str">
        <f>IF( OR( Table4[[#This Row],[PrimaryMatch]]="Yes", Table4[[#This Row],[SecondaryMatch]]="Yes"), "Yes", "")</f>
        <v/>
      </c>
    </row>
    <row r="1151" spans="1:18" hidden="1" x14ac:dyDescent="0.25">
      <c r="A1151" t="s">
        <v>310</v>
      </c>
      <c r="B1151" t="s">
        <v>3205</v>
      </c>
      <c r="C1151" t="s">
        <v>3206</v>
      </c>
      <c r="D1151" t="s">
        <v>3427</v>
      </c>
      <c r="E1151" s="1">
        <v>203.39300499999999</v>
      </c>
      <c r="F1151" s="1">
        <v>204.445007</v>
      </c>
      <c r="K1151" s="39">
        <f>DefaultValues!$B$4</f>
        <v>5</v>
      </c>
      <c r="L1151" s="1">
        <f>DefaultValues!$C$4</f>
        <v>0.5</v>
      </c>
      <c r="M1151" s="1" t="str">
        <f>DefaultValues!$D$4</f>
        <v xml:space="preserve">- Within interchange - </v>
      </c>
      <c r="N1151" s="1">
        <v>203.39300499999999</v>
      </c>
      <c r="O1151" s="1">
        <f>ABS(Table4[[#This Row],[EndMP]]-Table4[[#This Row],[StartMP]])</f>
        <v>1.0520020000000159</v>
      </c>
      <c r="P1151" s="1" t="str">
        <f>IF( AND( Table4[[#This Row],[Route]]=ClosureLocation!$B$3, ClosureLocation!$B$6 &gt;= Table4[[#This Row],[StartMP]], ClosureLocation!$B$6 &lt;= Table4[[#This Row],[EndMP]]), "Yes", "")</f>
        <v/>
      </c>
      <c r="Q1151" s="1" t="str">
        <f>IF( AND( Table4[[#This Row],[Route]]=ClosureLocation!$B$3, ClosureLocation!$B$6 &lt;= Table4[[#This Row],[StartMP]], ClosureLocation!$B$6 &gt;= Table4[[#This Row],[EndMP]]), "Yes", "")</f>
        <v/>
      </c>
      <c r="R1151" s="1" t="str">
        <f>IF( OR( Table4[[#This Row],[PrimaryMatch]]="Yes", Table4[[#This Row],[SecondaryMatch]]="Yes"), "Yes", "")</f>
        <v/>
      </c>
    </row>
    <row r="1152" spans="1:18" hidden="1" x14ac:dyDescent="0.25">
      <c r="A1152" t="s">
        <v>310</v>
      </c>
      <c r="B1152" t="s">
        <v>3205</v>
      </c>
      <c r="C1152" t="s">
        <v>3206</v>
      </c>
      <c r="D1152" t="s">
        <v>3427</v>
      </c>
      <c r="E1152" s="1">
        <v>204.733002</v>
      </c>
      <c r="F1152" s="1">
        <v>206.99099699999999</v>
      </c>
      <c r="K1152" s="39">
        <f>DefaultValues!$B$4</f>
        <v>5</v>
      </c>
      <c r="L1152" s="1">
        <f>DefaultValues!$C$4</f>
        <v>0.5</v>
      </c>
      <c r="M1152" s="1" t="str">
        <f>DefaultValues!$D$4</f>
        <v xml:space="preserve">- Within interchange - </v>
      </c>
      <c r="N1152" s="1">
        <v>204.733002</v>
      </c>
      <c r="O1152" s="1">
        <f>ABS(Table4[[#This Row],[EndMP]]-Table4[[#This Row],[StartMP]])</f>
        <v>2.257994999999994</v>
      </c>
      <c r="P1152" s="1" t="str">
        <f>IF( AND( Table4[[#This Row],[Route]]=ClosureLocation!$B$3, ClosureLocation!$B$6 &gt;= Table4[[#This Row],[StartMP]], ClosureLocation!$B$6 &lt;= Table4[[#This Row],[EndMP]]), "Yes", "")</f>
        <v/>
      </c>
      <c r="Q1152" s="1" t="str">
        <f>IF( AND( Table4[[#This Row],[Route]]=ClosureLocation!$B$3, ClosureLocation!$B$6 &lt;= Table4[[#This Row],[StartMP]], ClosureLocation!$B$6 &gt;= Table4[[#This Row],[EndMP]]), "Yes", "")</f>
        <v/>
      </c>
      <c r="R1152" s="1" t="str">
        <f>IF( OR( Table4[[#This Row],[PrimaryMatch]]="Yes", Table4[[#This Row],[SecondaryMatch]]="Yes"), "Yes", "")</f>
        <v/>
      </c>
    </row>
    <row r="1153" spans="1:18" hidden="1" x14ac:dyDescent="0.25">
      <c r="A1153" t="s">
        <v>310</v>
      </c>
      <c r="B1153" t="s">
        <v>3205</v>
      </c>
      <c r="C1153" t="s">
        <v>3206</v>
      </c>
      <c r="D1153" t="s">
        <v>3427</v>
      </c>
      <c r="E1153" s="1">
        <v>207.419006</v>
      </c>
      <c r="F1153" s="1">
        <v>208.304993</v>
      </c>
      <c r="K1153" s="39">
        <f>DefaultValues!$B$4</f>
        <v>5</v>
      </c>
      <c r="L1153" s="1">
        <f>DefaultValues!$C$4</f>
        <v>0.5</v>
      </c>
      <c r="M1153" s="1" t="str">
        <f>DefaultValues!$D$4</f>
        <v xml:space="preserve">- Within interchange - </v>
      </c>
      <c r="N1153" s="1">
        <v>207.419006</v>
      </c>
      <c r="O1153" s="1">
        <f>ABS(Table4[[#This Row],[EndMP]]-Table4[[#This Row],[StartMP]])</f>
        <v>0.88598700000000008</v>
      </c>
      <c r="P1153" s="1" t="str">
        <f>IF( AND( Table4[[#This Row],[Route]]=ClosureLocation!$B$3, ClosureLocation!$B$6 &gt;= Table4[[#This Row],[StartMP]], ClosureLocation!$B$6 &lt;= Table4[[#This Row],[EndMP]]), "Yes", "")</f>
        <v/>
      </c>
      <c r="Q1153" s="1" t="str">
        <f>IF( AND( Table4[[#This Row],[Route]]=ClosureLocation!$B$3, ClosureLocation!$B$6 &lt;= Table4[[#This Row],[StartMP]], ClosureLocation!$B$6 &gt;= Table4[[#This Row],[EndMP]]), "Yes", "")</f>
        <v/>
      </c>
      <c r="R1153" s="1" t="str">
        <f>IF( OR( Table4[[#This Row],[PrimaryMatch]]="Yes", Table4[[#This Row],[SecondaryMatch]]="Yes"), "Yes", "")</f>
        <v/>
      </c>
    </row>
    <row r="1154" spans="1:18" hidden="1" x14ac:dyDescent="0.25">
      <c r="A1154" t="s">
        <v>310</v>
      </c>
      <c r="B1154" t="s">
        <v>3205</v>
      </c>
      <c r="C1154" t="s">
        <v>3206</v>
      </c>
      <c r="D1154" t="s">
        <v>3427</v>
      </c>
      <c r="E1154" s="1">
        <v>209.09300200000001</v>
      </c>
      <c r="F1154" s="1">
        <v>209.671997</v>
      </c>
      <c r="K1154" s="39">
        <f>DefaultValues!$B$4</f>
        <v>5</v>
      </c>
      <c r="L1154" s="1">
        <f>DefaultValues!$C$4</f>
        <v>0.5</v>
      </c>
      <c r="M1154" s="1" t="str">
        <f>DefaultValues!$D$4</f>
        <v xml:space="preserve">- Within interchange - </v>
      </c>
      <c r="N1154" s="1">
        <v>209.09300200000001</v>
      </c>
      <c r="O1154" s="1">
        <f>ABS(Table4[[#This Row],[EndMP]]-Table4[[#This Row],[StartMP]])</f>
        <v>0.57899499999999193</v>
      </c>
      <c r="P1154" s="1" t="str">
        <f>IF( AND( Table4[[#This Row],[Route]]=ClosureLocation!$B$3, ClosureLocation!$B$6 &gt;= Table4[[#This Row],[StartMP]], ClosureLocation!$B$6 &lt;= Table4[[#This Row],[EndMP]]), "Yes", "")</f>
        <v/>
      </c>
      <c r="Q1154" s="1" t="str">
        <f>IF( AND( Table4[[#This Row],[Route]]=ClosureLocation!$B$3, ClosureLocation!$B$6 &lt;= Table4[[#This Row],[StartMP]], ClosureLocation!$B$6 &gt;= Table4[[#This Row],[EndMP]]), "Yes", "")</f>
        <v/>
      </c>
      <c r="R1154" s="1" t="str">
        <f>IF( OR( Table4[[#This Row],[PrimaryMatch]]="Yes", Table4[[#This Row],[SecondaryMatch]]="Yes"), "Yes", "")</f>
        <v/>
      </c>
    </row>
    <row r="1155" spans="1:18" hidden="1" x14ac:dyDescent="0.25">
      <c r="A1155" t="s">
        <v>310</v>
      </c>
      <c r="B1155" t="s">
        <v>3205</v>
      </c>
      <c r="C1155" t="s">
        <v>3206</v>
      </c>
      <c r="D1155" t="s">
        <v>3427</v>
      </c>
      <c r="E1155" s="1">
        <v>209.84899899999999</v>
      </c>
      <c r="F1155" s="1">
        <v>210.557999</v>
      </c>
      <c r="K1155" s="39">
        <f>DefaultValues!$B$4</f>
        <v>5</v>
      </c>
      <c r="L1155" s="1">
        <f>DefaultValues!$C$4</f>
        <v>0.5</v>
      </c>
      <c r="M1155" s="1" t="str">
        <f>DefaultValues!$D$4</f>
        <v xml:space="preserve">- Within interchange - </v>
      </c>
      <c r="N1155" s="1">
        <v>209.84899899999999</v>
      </c>
      <c r="O1155" s="1">
        <f>ABS(Table4[[#This Row],[EndMP]]-Table4[[#This Row],[StartMP]])</f>
        <v>0.70900000000000318</v>
      </c>
      <c r="P1155" s="1" t="str">
        <f>IF( AND( Table4[[#This Row],[Route]]=ClosureLocation!$B$3, ClosureLocation!$B$6 &gt;= Table4[[#This Row],[StartMP]], ClosureLocation!$B$6 &lt;= Table4[[#This Row],[EndMP]]), "Yes", "")</f>
        <v/>
      </c>
      <c r="Q1155" s="1" t="str">
        <f>IF( AND( Table4[[#This Row],[Route]]=ClosureLocation!$B$3, ClosureLocation!$B$6 &lt;= Table4[[#This Row],[StartMP]], ClosureLocation!$B$6 &gt;= Table4[[#This Row],[EndMP]]), "Yes", "")</f>
        <v/>
      </c>
      <c r="R1155" s="1" t="str">
        <f>IF( OR( Table4[[#This Row],[PrimaryMatch]]="Yes", Table4[[#This Row],[SecondaryMatch]]="Yes"), "Yes", "")</f>
        <v/>
      </c>
    </row>
    <row r="1156" spans="1:18" hidden="1" x14ac:dyDescent="0.25">
      <c r="A1156" t="s">
        <v>310</v>
      </c>
      <c r="B1156" t="s">
        <v>3205</v>
      </c>
      <c r="C1156" t="s">
        <v>3206</v>
      </c>
      <c r="D1156" t="s">
        <v>3427</v>
      </c>
      <c r="E1156" s="1">
        <v>210.69000199999999</v>
      </c>
      <c r="F1156" s="1">
        <v>210.85299699999999</v>
      </c>
      <c r="K1156" s="39">
        <f>DefaultValues!$B$4</f>
        <v>5</v>
      </c>
      <c r="L1156" s="1">
        <f>DefaultValues!$C$4</f>
        <v>0.5</v>
      </c>
      <c r="M1156" s="1" t="str">
        <f>DefaultValues!$D$4</f>
        <v xml:space="preserve">- Within interchange - </v>
      </c>
      <c r="N1156" s="1">
        <v>210.69000199999999</v>
      </c>
      <c r="O1156" s="1">
        <f>ABS(Table4[[#This Row],[EndMP]]-Table4[[#This Row],[StartMP]])</f>
        <v>0.16299499999999512</v>
      </c>
      <c r="P1156" s="1" t="str">
        <f>IF( AND( Table4[[#This Row],[Route]]=ClosureLocation!$B$3, ClosureLocation!$B$6 &gt;= Table4[[#This Row],[StartMP]], ClosureLocation!$B$6 &lt;= Table4[[#This Row],[EndMP]]), "Yes", "")</f>
        <v/>
      </c>
      <c r="Q1156" s="1" t="str">
        <f>IF( AND( Table4[[#This Row],[Route]]=ClosureLocation!$B$3, ClosureLocation!$B$6 &lt;= Table4[[#This Row],[StartMP]], ClosureLocation!$B$6 &gt;= Table4[[#This Row],[EndMP]]), "Yes", "")</f>
        <v/>
      </c>
      <c r="R1156" s="1" t="str">
        <f>IF( OR( Table4[[#This Row],[PrimaryMatch]]="Yes", Table4[[#This Row],[SecondaryMatch]]="Yes"), "Yes", "")</f>
        <v/>
      </c>
    </row>
    <row r="1157" spans="1:18" hidden="1" x14ac:dyDescent="0.25">
      <c r="A1157" t="s">
        <v>310</v>
      </c>
      <c r="B1157" t="s">
        <v>3205</v>
      </c>
      <c r="C1157" t="s">
        <v>3206</v>
      </c>
      <c r="D1157" t="s">
        <v>3427</v>
      </c>
      <c r="E1157" s="1">
        <v>211</v>
      </c>
      <c r="F1157" s="1">
        <v>211.22799699999999</v>
      </c>
      <c r="K1157" s="39">
        <f>DefaultValues!$B$4</f>
        <v>5</v>
      </c>
      <c r="L1157" s="1">
        <f>DefaultValues!$C$4</f>
        <v>0.5</v>
      </c>
      <c r="M1157" s="1" t="str">
        <f>DefaultValues!$D$4</f>
        <v xml:space="preserve">- Within interchange - </v>
      </c>
      <c r="N1157" s="1">
        <v>211</v>
      </c>
      <c r="O1157" s="1">
        <f>ABS(Table4[[#This Row],[EndMP]]-Table4[[#This Row],[StartMP]])</f>
        <v>0.22799699999998779</v>
      </c>
      <c r="P1157" s="1" t="str">
        <f>IF( AND( Table4[[#This Row],[Route]]=ClosureLocation!$B$3, ClosureLocation!$B$6 &gt;= Table4[[#This Row],[StartMP]], ClosureLocation!$B$6 &lt;= Table4[[#This Row],[EndMP]]), "Yes", "")</f>
        <v/>
      </c>
      <c r="Q1157" s="1" t="str">
        <f>IF( AND( Table4[[#This Row],[Route]]=ClosureLocation!$B$3, ClosureLocation!$B$6 &lt;= Table4[[#This Row],[StartMP]], ClosureLocation!$B$6 &gt;= Table4[[#This Row],[EndMP]]), "Yes", "")</f>
        <v/>
      </c>
      <c r="R1157" s="1" t="str">
        <f>IF( OR( Table4[[#This Row],[PrimaryMatch]]="Yes", Table4[[#This Row],[SecondaryMatch]]="Yes"), "Yes", "")</f>
        <v/>
      </c>
    </row>
    <row r="1158" spans="1:18" hidden="1" x14ac:dyDescent="0.25">
      <c r="A1158" t="s">
        <v>310</v>
      </c>
      <c r="B1158" t="s">
        <v>3205</v>
      </c>
      <c r="C1158" t="s">
        <v>3206</v>
      </c>
      <c r="D1158" t="s">
        <v>3427</v>
      </c>
      <c r="E1158" s="1">
        <v>211.29800399999999</v>
      </c>
      <c r="F1158" s="1">
        <v>211.72399899999999</v>
      </c>
      <c r="K1158" s="39">
        <f>DefaultValues!$B$4</f>
        <v>5</v>
      </c>
      <c r="L1158" s="1">
        <f>DefaultValues!$C$4</f>
        <v>0.5</v>
      </c>
      <c r="M1158" s="1" t="str">
        <f>DefaultValues!$D$4</f>
        <v xml:space="preserve">- Within interchange - </v>
      </c>
      <c r="N1158" s="1">
        <v>211.29800399999999</v>
      </c>
      <c r="O1158" s="1">
        <f>ABS(Table4[[#This Row],[EndMP]]-Table4[[#This Row],[StartMP]])</f>
        <v>0.42599500000000035</v>
      </c>
      <c r="P1158" s="1" t="str">
        <f>IF( AND( Table4[[#This Row],[Route]]=ClosureLocation!$B$3, ClosureLocation!$B$6 &gt;= Table4[[#This Row],[StartMP]], ClosureLocation!$B$6 &lt;= Table4[[#This Row],[EndMP]]), "Yes", "")</f>
        <v/>
      </c>
      <c r="Q1158" s="1" t="str">
        <f>IF( AND( Table4[[#This Row],[Route]]=ClosureLocation!$B$3, ClosureLocation!$B$6 &lt;= Table4[[#This Row],[StartMP]], ClosureLocation!$B$6 &gt;= Table4[[#This Row],[EndMP]]), "Yes", "")</f>
        <v/>
      </c>
      <c r="R1158" s="1" t="str">
        <f>IF( OR( Table4[[#This Row],[PrimaryMatch]]="Yes", Table4[[#This Row],[SecondaryMatch]]="Yes"), "Yes", "")</f>
        <v/>
      </c>
    </row>
    <row r="1159" spans="1:18" hidden="1" x14ac:dyDescent="0.25">
      <c r="A1159" t="s">
        <v>310</v>
      </c>
      <c r="B1159" t="s">
        <v>3205</v>
      </c>
      <c r="C1159" t="s">
        <v>3206</v>
      </c>
      <c r="D1159" t="s">
        <v>3427</v>
      </c>
      <c r="E1159" s="1">
        <v>211.84399400000001</v>
      </c>
      <c r="F1159" s="1">
        <v>212.304001</v>
      </c>
      <c r="K1159" s="39">
        <f>DefaultValues!$B$4</f>
        <v>5</v>
      </c>
      <c r="L1159" s="1">
        <f>DefaultValues!$C$4</f>
        <v>0.5</v>
      </c>
      <c r="M1159" s="1" t="str">
        <f>DefaultValues!$D$4</f>
        <v xml:space="preserve">- Within interchange - </v>
      </c>
      <c r="N1159" s="1">
        <v>211.84399400000001</v>
      </c>
      <c r="O1159" s="1">
        <f>ABS(Table4[[#This Row],[EndMP]]-Table4[[#This Row],[StartMP]])</f>
        <v>0.46000699999999028</v>
      </c>
      <c r="P1159" s="1" t="str">
        <f>IF( AND( Table4[[#This Row],[Route]]=ClosureLocation!$B$3, ClosureLocation!$B$6 &gt;= Table4[[#This Row],[StartMP]], ClosureLocation!$B$6 &lt;= Table4[[#This Row],[EndMP]]), "Yes", "")</f>
        <v/>
      </c>
      <c r="Q1159" s="1" t="str">
        <f>IF( AND( Table4[[#This Row],[Route]]=ClosureLocation!$B$3, ClosureLocation!$B$6 &lt;= Table4[[#This Row],[StartMP]], ClosureLocation!$B$6 &gt;= Table4[[#This Row],[EndMP]]), "Yes", "")</f>
        <v/>
      </c>
      <c r="R1159" s="1" t="str">
        <f>IF( OR( Table4[[#This Row],[PrimaryMatch]]="Yes", Table4[[#This Row],[SecondaryMatch]]="Yes"), "Yes", "")</f>
        <v/>
      </c>
    </row>
    <row r="1160" spans="1:18" hidden="1" x14ac:dyDescent="0.25">
      <c r="A1160" t="s">
        <v>310</v>
      </c>
      <c r="B1160" t="s">
        <v>3205</v>
      </c>
      <c r="C1160" t="s">
        <v>3206</v>
      </c>
      <c r="D1160" t="s">
        <v>3427</v>
      </c>
      <c r="E1160" s="1">
        <v>212.53500399999999</v>
      </c>
      <c r="F1160" s="1">
        <v>214.22200000000001</v>
      </c>
      <c r="K1160" s="39">
        <f>DefaultValues!$B$4</f>
        <v>5</v>
      </c>
      <c r="L1160" s="1">
        <f>DefaultValues!$C$4</f>
        <v>0.5</v>
      </c>
      <c r="M1160" s="1" t="str">
        <f>DefaultValues!$D$4</f>
        <v xml:space="preserve">- Within interchange - </v>
      </c>
      <c r="N1160" s="1">
        <v>212.53500399999999</v>
      </c>
      <c r="O1160" s="1">
        <f>ABS(Table4[[#This Row],[EndMP]]-Table4[[#This Row],[StartMP]])</f>
        <v>1.6869960000000219</v>
      </c>
      <c r="P1160" s="1" t="str">
        <f>IF( AND( Table4[[#This Row],[Route]]=ClosureLocation!$B$3, ClosureLocation!$B$6 &gt;= Table4[[#This Row],[StartMP]], ClosureLocation!$B$6 &lt;= Table4[[#This Row],[EndMP]]), "Yes", "")</f>
        <v/>
      </c>
      <c r="Q1160" s="1" t="str">
        <f>IF( AND( Table4[[#This Row],[Route]]=ClosureLocation!$B$3, ClosureLocation!$B$6 &lt;= Table4[[#This Row],[StartMP]], ClosureLocation!$B$6 &gt;= Table4[[#This Row],[EndMP]]), "Yes", "")</f>
        <v/>
      </c>
      <c r="R1160" s="1" t="str">
        <f>IF( OR( Table4[[#This Row],[PrimaryMatch]]="Yes", Table4[[#This Row],[SecondaryMatch]]="Yes"), "Yes", "")</f>
        <v/>
      </c>
    </row>
    <row r="1161" spans="1:18" hidden="1" x14ac:dyDescent="0.25">
      <c r="A1161" t="s">
        <v>310</v>
      </c>
      <c r="B1161" t="s">
        <v>3205</v>
      </c>
      <c r="C1161" t="s">
        <v>3206</v>
      </c>
      <c r="D1161" t="s">
        <v>3427</v>
      </c>
      <c r="E1161" s="1">
        <v>215.033005</v>
      </c>
      <c r="F1161" s="1">
        <v>215.466995</v>
      </c>
      <c r="K1161" s="39">
        <f>DefaultValues!$B$4</f>
        <v>5</v>
      </c>
      <c r="L1161" s="1">
        <f>DefaultValues!$C$4</f>
        <v>0.5</v>
      </c>
      <c r="M1161" s="1" t="str">
        <f>DefaultValues!$D$4</f>
        <v xml:space="preserve">- Within interchange - </v>
      </c>
      <c r="N1161" s="1">
        <v>215.033005</v>
      </c>
      <c r="O1161" s="1">
        <f>ABS(Table4[[#This Row],[EndMP]]-Table4[[#This Row],[StartMP]])</f>
        <v>0.43398999999999432</v>
      </c>
      <c r="P1161" s="1" t="str">
        <f>IF( AND( Table4[[#This Row],[Route]]=ClosureLocation!$B$3, ClosureLocation!$B$6 &gt;= Table4[[#This Row],[StartMP]], ClosureLocation!$B$6 &lt;= Table4[[#This Row],[EndMP]]), "Yes", "")</f>
        <v/>
      </c>
      <c r="Q1161" s="1" t="str">
        <f>IF( AND( Table4[[#This Row],[Route]]=ClosureLocation!$B$3, ClosureLocation!$B$6 &lt;= Table4[[#This Row],[StartMP]], ClosureLocation!$B$6 &gt;= Table4[[#This Row],[EndMP]]), "Yes", "")</f>
        <v/>
      </c>
      <c r="R1161" s="1" t="str">
        <f>IF( OR( Table4[[#This Row],[PrimaryMatch]]="Yes", Table4[[#This Row],[SecondaryMatch]]="Yes"), "Yes", "")</f>
        <v/>
      </c>
    </row>
    <row r="1162" spans="1:18" hidden="1" x14ac:dyDescent="0.25">
      <c r="A1162" t="s">
        <v>310</v>
      </c>
      <c r="B1162" t="s">
        <v>3205</v>
      </c>
      <c r="C1162" t="s">
        <v>3206</v>
      </c>
      <c r="D1162" t="s">
        <v>3427</v>
      </c>
      <c r="E1162" s="1">
        <v>215.95700099999999</v>
      </c>
      <c r="F1162" s="1">
        <v>217.38000500000001</v>
      </c>
      <c r="K1162" s="39">
        <f>DefaultValues!$B$4</f>
        <v>5</v>
      </c>
      <c r="L1162" s="1">
        <f>DefaultValues!$C$4</f>
        <v>0.5</v>
      </c>
      <c r="M1162" s="1" t="str">
        <f>DefaultValues!$D$4</f>
        <v xml:space="preserve">- Within interchange - </v>
      </c>
      <c r="N1162" s="1">
        <v>215.95700099999999</v>
      </c>
      <c r="O1162" s="1">
        <f>ABS(Table4[[#This Row],[EndMP]]-Table4[[#This Row],[StartMP]])</f>
        <v>1.4230040000000201</v>
      </c>
      <c r="P1162" s="1" t="str">
        <f>IF( AND( Table4[[#This Row],[Route]]=ClosureLocation!$B$3, ClosureLocation!$B$6 &gt;= Table4[[#This Row],[StartMP]], ClosureLocation!$B$6 &lt;= Table4[[#This Row],[EndMP]]), "Yes", "")</f>
        <v/>
      </c>
      <c r="Q1162" s="1" t="str">
        <f>IF( AND( Table4[[#This Row],[Route]]=ClosureLocation!$B$3, ClosureLocation!$B$6 &lt;= Table4[[#This Row],[StartMP]], ClosureLocation!$B$6 &gt;= Table4[[#This Row],[EndMP]]), "Yes", "")</f>
        <v/>
      </c>
      <c r="R1162" s="1" t="str">
        <f>IF( OR( Table4[[#This Row],[PrimaryMatch]]="Yes", Table4[[#This Row],[SecondaryMatch]]="Yes"), "Yes", "")</f>
        <v/>
      </c>
    </row>
    <row r="1163" spans="1:18" hidden="1" x14ac:dyDescent="0.25">
      <c r="A1163" t="s">
        <v>310</v>
      </c>
      <c r="B1163" t="s">
        <v>3205</v>
      </c>
      <c r="C1163" t="s">
        <v>3206</v>
      </c>
      <c r="D1163" t="s">
        <v>3427</v>
      </c>
      <c r="E1163" s="1">
        <v>218.22099299999999</v>
      </c>
      <c r="F1163" s="1">
        <v>218.61799600000001</v>
      </c>
      <c r="K1163" s="39">
        <f>DefaultValues!$B$4</f>
        <v>5</v>
      </c>
      <c r="L1163" s="1">
        <f>DefaultValues!$C$4</f>
        <v>0.5</v>
      </c>
      <c r="M1163" s="1" t="str">
        <f>DefaultValues!$D$4</f>
        <v xml:space="preserve">- Within interchange - </v>
      </c>
      <c r="N1163" s="1">
        <v>218.22099299999999</v>
      </c>
      <c r="O1163" s="1">
        <f>ABS(Table4[[#This Row],[EndMP]]-Table4[[#This Row],[StartMP]])</f>
        <v>0.39700300000001221</v>
      </c>
      <c r="P1163" s="1" t="str">
        <f>IF( AND( Table4[[#This Row],[Route]]=ClosureLocation!$B$3, ClosureLocation!$B$6 &gt;= Table4[[#This Row],[StartMP]], ClosureLocation!$B$6 &lt;= Table4[[#This Row],[EndMP]]), "Yes", "")</f>
        <v/>
      </c>
      <c r="Q1163" s="1" t="str">
        <f>IF( AND( Table4[[#This Row],[Route]]=ClosureLocation!$B$3, ClosureLocation!$B$6 &lt;= Table4[[#This Row],[StartMP]], ClosureLocation!$B$6 &gt;= Table4[[#This Row],[EndMP]]), "Yes", "")</f>
        <v/>
      </c>
      <c r="R1163" s="1" t="str">
        <f>IF( OR( Table4[[#This Row],[PrimaryMatch]]="Yes", Table4[[#This Row],[SecondaryMatch]]="Yes"), "Yes", "")</f>
        <v/>
      </c>
    </row>
    <row r="1164" spans="1:18" hidden="1" x14ac:dyDescent="0.25">
      <c r="A1164" t="s">
        <v>310</v>
      </c>
      <c r="B1164" t="s">
        <v>3205</v>
      </c>
      <c r="C1164" t="s">
        <v>3206</v>
      </c>
      <c r="D1164" t="s">
        <v>3427</v>
      </c>
      <c r="E1164" s="1">
        <v>219.39700300000001</v>
      </c>
      <c r="F1164" s="1">
        <v>220.154999</v>
      </c>
      <c r="K1164" s="39">
        <f>DefaultValues!$B$4</f>
        <v>5</v>
      </c>
      <c r="L1164" s="1">
        <f>DefaultValues!$C$4</f>
        <v>0.5</v>
      </c>
      <c r="M1164" s="1" t="str">
        <f>DefaultValues!$D$4</f>
        <v xml:space="preserve">- Within interchange - </v>
      </c>
      <c r="N1164" s="1">
        <v>219.39700300000001</v>
      </c>
      <c r="O1164" s="1">
        <f>ABS(Table4[[#This Row],[EndMP]]-Table4[[#This Row],[StartMP]])</f>
        <v>0.75799599999999145</v>
      </c>
      <c r="P1164" s="1" t="str">
        <f>IF( AND( Table4[[#This Row],[Route]]=ClosureLocation!$B$3, ClosureLocation!$B$6 &gt;= Table4[[#This Row],[StartMP]], ClosureLocation!$B$6 &lt;= Table4[[#This Row],[EndMP]]), "Yes", "")</f>
        <v/>
      </c>
      <c r="Q1164" s="1" t="str">
        <f>IF( AND( Table4[[#This Row],[Route]]=ClosureLocation!$B$3, ClosureLocation!$B$6 &lt;= Table4[[#This Row],[StartMP]], ClosureLocation!$B$6 &gt;= Table4[[#This Row],[EndMP]]), "Yes", "")</f>
        <v/>
      </c>
      <c r="R1164" s="1" t="str">
        <f>IF( OR( Table4[[#This Row],[PrimaryMatch]]="Yes", Table4[[#This Row],[SecondaryMatch]]="Yes"), "Yes", "")</f>
        <v/>
      </c>
    </row>
    <row r="1165" spans="1:18" hidden="1" x14ac:dyDescent="0.25">
      <c r="A1165" t="s">
        <v>310</v>
      </c>
      <c r="B1165" t="s">
        <v>3205</v>
      </c>
      <c r="C1165" t="s">
        <v>3206</v>
      </c>
      <c r="D1165" t="s">
        <v>3427</v>
      </c>
      <c r="E1165" s="1">
        <v>220.845001</v>
      </c>
      <c r="F1165" s="1">
        <v>221.29200700000001</v>
      </c>
      <c r="K1165" s="39">
        <f>DefaultValues!$B$4</f>
        <v>5</v>
      </c>
      <c r="L1165" s="1">
        <f>DefaultValues!$C$4</f>
        <v>0.5</v>
      </c>
      <c r="M1165" s="1" t="str">
        <f>DefaultValues!$D$4</f>
        <v xml:space="preserve">- Within interchange - </v>
      </c>
      <c r="N1165" s="1">
        <v>220.845001</v>
      </c>
      <c r="O1165" s="1">
        <f>ABS(Table4[[#This Row],[EndMP]]-Table4[[#This Row],[StartMP]])</f>
        <v>0.447006000000016</v>
      </c>
      <c r="P1165" s="1" t="str">
        <f>IF( AND( Table4[[#This Row],[Route]]=ClosureLocation!$B$3, ClosureLocation!$B$6 &gt;= Table4[[#This Row],[StartMP]], ClosureLocation!$B$6 &lt;= Table4[[#This Row],[EndMP]]), "Yes", "")</f>
        <v/>
      </c>
      <c r="Q1165" s="1" t="str">
        <f>IF( AND( Table4[[#This Row],[Route]]=ClosureLocation!$B$3, ClosureLocation!$B$6 &lt;= Table4[[#This Row],[StartMP]], ClosureLocation!$B$6 &gt;= Table4[[#This Row],[EndMP]]), "Yes", "")</f>
        <v/>
      </c>
      <c r="R1165" s="1" t="str">
        <f>IF( OR( Table4[[#This Row],[PrimaryMatch]]="Yes", Table4[[#This Row],[SecondaryMatch]]="Yes"), "Yes", "")</f>
        <v/>
      </c>
    </row>
    <row r="1166" spans="1:18" hidden="1" x14ac:dyDescent="0.25">
      <c r="A1166" t="s">
        <v>310</v>
      </c>
      <c r="B1166" t="s">
        <v>3205</v>
      </c>
      <c r="C1166" t="s">
        <v>3206</v>
      </c>
      <c r="D1166" t="s">
        <v>3427</v>
      </c>
      <c r="E1166" s="1">
        <v>222.878006</v>
      </c>
      <c r="F1166" s="1">
        <v>223.300995</v>
      </c>
      <c r="K1166" s="39">
        <f>DefaultValues!$B$4</f>
        <v>5</v>
      </c>
      <c r="L1166" s="1">
        <f>DefaultValues!$C$4</f>
        <v>0.5</v>
      </c>
      <c r="M1166" s="1" t="str">
        <f>DefaultValues!$D$4</f>
        <v xml:space="preserve">- Within interchange - </v>
      </c>
      <c r="N1166" s="1">
        <v>222.878006</v>
      </c>
      <c r="O1166" s="1">
        <f>ABS(Table4[[#This Row],[EndMP]]-Table4[[#This Row],[StartMP]])</f>
        <v>0.42298900000000117</v>
      </c>
      <c r="P1166" s="1" t="str">
        <f>IF( AND( Table4[[#This Row],[Route]]=ClosureLocation!$B$3, ClosureLocation!$B$6 &gt;= Table4[[#This Row],[StartMP]], ClosureLocation!$B$6 &lt;= Table4[[#This Row],[EndMP]]), "Yes", "")</f>
        <v/>
      </c>
      <c r="Q1166" s="1" t="str">
        <f>IF( AND( Table4[[#This Row],[Route]]=ClosureLocation!$B$3, ClosureLocation!$B$6 &lt;= Table4[[#This Row],[StartMP]], ClosureLocation!$B$6 &gt;= Table4[[#This Row],[EndMP]]), "Yes", "")</f>
        <v/>
      </c>
      <c r="R1166" s="1" t="str">
        <f>IF( OR( Table4[[#This Row],[PrimaryMatch]]="Yes", Table4[[#This Row],[SecondaryMatch]]="Yes"), "Yes", "")</f>
        <v/>
      </c>
    </row>
    <row r="1167" spans="1:18" hidden="1" x14ac:dyDescent="0.25">
      <c r="A1167" t="s">
        <v>310</v>
      </c>
      <c r="B1167" t="s">
        <v>3205</v>
      </c>
      <c r="C1167" t="s">
        <v>3206</v>
      </c>
      <c r="D1167" t="s">
        <v>3427</v>
      </c>
      <c r="E1167" s="1">
        <v>224.787003</v>
      </c>
      <c r="F1167" s="1">
        <v>225.32600400000001</v>
      </c>
      <c r="K1167" s="39">
        <f>DefaultValues!$B$4</f>
        <v>5</v>
      </c>
      <c r="L1167" s="1">
        <f>DefaultValues!$C$4</f>
        <v>0.5</v>
      </c>
      <c r="M1167" s="1" t="str">
        <f>DefaultValues!$D$4</f>
        <v xml:space="preserve">- Within interchange - </v>
      </c>
      <c r="N1167" s="1">
        <v>224.787003</v>
      </c>
      <c r="O1167" s="1">
        <f>ABS(Table4[[#This Row],[EndMP]]-Table4[[#This Row],[StartMP]])</f>
        <v>0.53900100000001316</v>
      </c>
      <c r="P1167" s="1" t="str">
        <f>IF( AND( Table4[[#This Row],[Route]]=ClosureLocation!$B$3, ClosureLocation!$B$6 &gt;= Table4[[#This Row],[StartMP]], ClosureLocation!$B$6 &lt;= Table4[[#This Row],[EndMP]]), "Yes", "")</f>
        <v/>
      </c>
      <c r="Q1167" s="1" t="str">
        <f>IF( AND( Table4[[#This Row],[Route]]=ClosureLocation!$B$3, ClosureLocation!$B$6 &lt;= Table4[[#This Row],[StartMP]], ClosureLocation!$B$6 &gt;= Table4[[#This Row],[EndMP]]), "Yes", "")</f>
        <v/>
      </c>
      <c r="R1167" s="1" t="str">
        <f>IF( OR( Table4[[#This Row],[PrimaryMatch]]="Yes", Table4[[#This Row],[SecondaryMatch]]="Yes"), "Yes", "")</f>
        <v/>
      </c>
    </row>
    <row r="1168" spans="1:18" hidden="1" x14ac:dyDescent="0.25">
      <c r="A1168" t="s">
        <v>310</v>
      </c>
      <c r="B1168" t="s">
        <v>3205</v>
      </c>
      <c r="C1168" t="s">
        <v>3206</v>
      </c>
      <c r="D1168" t="s">
        <v>3427</v>
      </c>
      <c r="E1168" s="1">
        <v>225.733994</v>
      </c>
      <c r="F1168" s="1">
        <v>226.40600599999999</v>
      </c>
      <c r="K1168" s="39">
        <f>DefaultValues!$B$4</f>
        <v>5</v>
      </c>
      <c r="L1168" s="1">
        <f>DefaultValues!$C$4</f>
        <v>0.5</v>
      </c>
      <c r="M1168" s="1" t="str">
        <f>DefaultValues!$D$4</f>
        <v xml:space="preserve">- Within interchange - </v>
      </c>
      <c r="N1168" s="1">
        <v>225.733994</v>
      </c>
      <c r="O1168" s="1">
        <f>ABS(Table4[[#This Row],[EndMP]]-Table4[[#This Row],[StartMP]])</f>
        <v>0.67201199999999517</v>
      </c>
      <c r="P1168" s="1" t="str">
        <f>IF( AND( Table4[[#This Row],[Route]]=ClosureLocation!$B$3, ClosureLocation!$B$6 &gt;= Table4[[#This Row],[StartMP]], ClosureLocation!$B$6 &lt;= Table4[[#This Row],[EndMP]]), "Yes", "")</f>
        <v/>
      </c>
      <c r="Q1168" s="1" t="str">
        <f>IF( AND( Table4[[#This Row],[Route]]=ClosureLocation!$B$3, ClosureLocation!$B$6 &lt;= Table4[[#This Row],[StartMP]], ClosureLocation!$B$6 &gt;= Table4[[#This Row],[EndMP]]), "Yes", "")</f>
        <v/>
      </c>
      <c r="R1168" s="1" t="str">
        <f>IF( OR( Table4[[#This Row],[PrimaryMatch]]="Yes", Table4[[#This Row],[SecondaryMatch]]="Yes"), "Yes", "")</f>
        <v/>
      </c>
    </row>
    <row r="1169" spans="1:18" hidden="1" x14ac:dyDescent="0.25">
      <c r="A1169" t="s">
        <v>310</v>
      </c>
      <c r="B1169" t="s">
        <v>3205</v>
      </c>
      <c r="C1169" t="s">
        <v>3206</v>
      </c>
      <c r="D1169" t="s">
        <v>3427</v>
      </c>
      <c r="E1169" s="1">
        <v>227.10600299999999</v>
      </c>
      <c r="F1169" s="1">
        <v>228.13200399999999</v>
      </c>
      <c r="K1169" s="39">
        <f>DefaultValues!$B$4</f>
        <v>5</v>
      </c>
      <c r="L1169" s="1">
        <f>DefaultValues!$C$4</f>
        <v>0.5</v>
      </c>
      <c r="M1169" s="1" t="str">
        <f>DefaultValues!$D$4</f>
        <v xml:space="preserve">- Within interchange - </v>
      </c>
      <c r="N1169" s="1">
        <v>227.10600299999999</v>
      </c>
      <c r="O1169" s="1">
        <f>ABS(Table4[[#This Row],[EndMP]]-Table4[[#This Row],[StartMP]])</f>
        <v>1.0260010000000079</v>
      </c>
      <c r="P1169" s="1" t="str">
        <f>IF( AND( Table4[[#This Row],[Route]]=ClosureLocation!$B$3, ClosureLocation!$B$6 &gt;= Table4[[#This Row],[StartMP]], ClosureLocation!$B$6 &lt;= Table4[[#This Row],[EndMP]]), "Yes", "")</f>
        <v/>
      </c>
      <c r="Q1169" s="1" t="str">
        <f>IF( AND( Table4[[#This Row],[Route]]=ClosureLocation!$B$3, ClosureLocation!$B$6 &lt;= Table4[[#This Row],[StartMP]], ClosureLocation!$B$6 &gt;= Table4[[#This Row],[EndMP]]), "Yes", "")</f>
        <v/>
      </c>
      <c r="R1169" s="1" t="str">
        <f>IF( OR( Table4[[#This Row],[PrimaryMatch]]="Yes", Table4[[#This Row],[SecondaryMatch]]="Yes"), "Yes", "")</f>
        <v/>
      </c>
    </row>
    <row r="1170" spans="1:18" hidden="1" x14ac:dyDescent="0.25">
      <c r="A1170" t="s">
        <v>310</v>
      </c>
      <c r="B1170" t="s">
        <v>3205</v>
      </c>
      <c r="C1170" t="s">
        <v>3206</v>
      </c>
      <c r="D1170" t="s">
        <v>3427</v>
      </c>
      <c r="E1170" s="1">
        <v>228.82899499999999</v>
      </c>
      <c r="F1170" s="1">
        <v>229.42700199999999</v>
      </c>
      <c r="K1170" s="39">
        <f>DefaultValues!$B$4</f>
        <v>5</v>
      </c>
      <c r="L1170" s="1">
        <f>DefaultValues!$C$4</f>
        <v>0.5</v>
      </c>
      <c r="M1170" s="1" t="str">
        <f>DefaultValues!$D$4</f>
        <v xml:space="preserve">- Within interchange - </v>
      </c>
      <c r="N1170" s="1">
        <v>228.82899499999999</v>
      </c>
      <c r="O1170" s="1">
        <f>ABS(Table4[[#This Row],[EndMP]]-Table4[[#This Row],[StartMP]])</f>
        <v>0.59800699999999551</v>
      </c>
      <c r="P1170" s="1" t="str">
        <f>IF( AND( Table4[[#This Row],[Route]]=ClosureLocation!$B$3, ClosureLocation!$B$6 &gt;= Table4[[#This Row],[StartMP]], ClosureLocation!$B$6 &lt;= Table4[[#This Row],[EndMP]]), "Yes", "")</f>
        <v/>
      </c>
      <c r="Q1170" s="1" t="str">
        <f>IF( AND( Table4[[#This Row],[Route]]=ClosureLocation!$B$3, ClosureLocation!$B$6 &lt;= Table4[[#This Row],[StartMP]], ClosureLocation!$B$6 &gt;= Table4[[#This Row],[EndMP]]), "Yes", "")</f>
        <v/>
      </c>
      <c r="R1170" s="1" t="str">
        <f>IF( OR( Table4[[#This Row],[PrimaryMatch]]="Yes", Table4[[#This Row],[SecondaryMatch]]="Yes"), "Yes", "")</f>
        <v/>
      </c>
    </row>
    <row r="1171" spans="1:18" hidden="1" x14ac:dyDescent="0.25">
      <c r="A1171" t="s">
        <v>310</v>
      </c>
      <c r="B1171" t="s">
        <v>3205</v>
      </c>
      <c r="C1171" t="s">
        <v>3206</v>
      </c>
      <c r="D1171" t="s">
        <v>3427</v>
      </c>
      <c r="E1171" s="1">
        <v>231.87300099999999</v>
      </c>
      <c r="F1171" s="1">
        <v>232.38400300000001</v>
      </c>
      <c r="K1171" s="39">
        <f>DefaultValues!$B$4</f>
        <v>5</v>
      </c>
      <c r="L1171" s="1">
        <f>DefaultValues!$C$4</f>
        <v>0.5</v>
      </c>
      <c r="M1171" s="1" t="str">
        <f>DefaultValues!$D$4</f>
        <v xml:space="preserve">- Within interchange - </v>
      </c>
      <c r="N1171" s="1">
        <v>231.87300099999999</v>
      </c>
      <c r="O1171" s="1">
        <f>ABS(Table4[[#This Row],[EndMP]]-Table4[[#This Row],[StartMP]])</f>
        <v>0.51100200000001905</v>
      </c>
      <c r="P1171" s="1" t="str">
        <f>IF( AND( Table4[[#This Row],[Route]]=ClosureLocation!$B$3, ClosureLocation!$B$6 &gt;= Table4[[#This Row],[StartMP]], ClosureLocation!$B$6 &lt;= Table4[[#This Row],[EndMP]]), "Yes", "")</f>
        <v/>
      </c>
      <c r="Q1171" s="1" t="str">
        <f>IF( AND( Table4[[#This Row],[Route]]=ClosureLocation!$B$3, ClosureLocation!$B$6 &lt;= Table4[[#This Row],[StartMP]], ClosureLocation!$B$6 &gt;= Table4[[#This Row],[EndMP]]), "Yes", "")</f>
        <v/>
      </c>
      <c r="R1171" s="1" t="str">
        <f>IF( OR( Table4[[#This Row],[PrimaryMatch]]="Yes", Table4[[#This Row],[SecondaryMatch]]="Yes"), "Yes", "")</f>
        <v/>
      </c>
    </row>
    <row r="1172" spans="1:18" hidden="1" x14ac:dyDescent="0.25">
      <c r="A1172" t="s">
        <v>310</v>
      </c>
      <c r="B1172" t="s">
        <v>3205</v>
      </c>
      <c r="C1172" t="s">
        <v>3206</v>
      </c>
      <c r="D1172" t="s">
        <v>3427</v>
      </c>
      <c r="E1172" s="1">
        <v>234.94799800000001</v>
      </c>
      <c r="F1172" s="1">
        <v>235.38400300000001</v>
      </c>
      <c r="K1172" s="39">
        <f>DefaultValues!$B$4</f>
        <v>5</v>
      </c>
      <c r="L1172" s="1">
        <f>DefaultValues!$C$4</f>
        <v>0.5</v>
      </c>
      <c r="M1172" s="1" t="str">
        <f>DefaultValues!$D$4</f>
        <v xml:space="preserve">- Within interchange - </v>
      </c>
      <c r="N1172" s="1">
        <v>234.94799800000001</v>
      </c>
      <c r="O1172" s="1">
        <f>ABS(Table4[[#This Row],[EndMP]]-Table4[[#This Row],[StartMP]])</f>
        <v>0.43600499999999442</v>
      </c>
      <c r="P1172" s="1" t="str">
        <f>IF( AND( Table4[[#This Row],[Route]]=ClosureLocation!$B$3, ClosureLocation!$B$6 &gt;= Table4[[#This Row],[StartMP]], ClosureLocation!$B$6 &lt;= Table4[[#This Row],[EndMP]]), "Yes", "")</f>
        <v/>
      </c>
      <c r="Q1172" s="1" t="str">
        <f>IF( AND( Table4[[#This Row],[Route]]=ClosureLocation!$B$3, ClosureLocation!$B$6 &lt;= Table4[[#This Row],[StartMP]], ClosureLocation!$B$6 &gt;= Table4[[#This Row],[EndMP]]), "Yes", "")</f>
        <v/>
      </c>
      <c r="R1172" s="1" t="str">
        <f>IF( OR( Table4[[#This Row],[PrimaryMatch]]="Yes", Table4[[#This Row],[SecondaryMatch]]="Yes"), "Yes", "")</f>
        <v/>
      </c>
    </row>
    <row r="1173" spans="1:18" hidden="1" x14ac:dyDescent="0.25">
      <c r="A1173" t="s">
        <v>310</v>
      </c>
      <c r="B1173" t="s">
        <v>3205</v>
      </c>
      <c r="C1173" t="s">
        <v>3206</v>
      </c>
      <c r="D1173" t="s">
        <v>3427</v>
      </c>
      <c r="E1173" s="1">
        <v>239.99200400000001</v>
      </c>
      <c r="F1173" s="1">
        <v>240.287003</v>
      </c>
      <c r="K1173" s="39">
        <f>DefaultValues!$B$4</f>
        <v>5</v>
      </c>
      <c r="L1173" s="1">
        <f>DefaultValues!$C$4</f>
        <v>0.5</v>
      </c>
      <c r="M1173" s="1" t="str">
        <f>DefaultValues!$D$4</f>
        <v xml:space="preserve">- Within interchange - </v>
      </c>
      <c r="N1173" s="1">
        <v>239.99200400000001</v>
      </c>
      <c r="O1173" s="1">
        <f>ABS(Table4[[#This Row],[EndMP]]-Table4[[#This Row],[StartMP]])</f>
        <v>0.29499899999999002</v>
      </c>
      <c r="P1173" s="1" t="str">
        <f>IF( AND( Table4[[#This Row],[Route]]=ClosureLocation!$B$3, ClosureLocation!$B$6 &gt;= Table4[[#This Row],[StartMP]], ClosureLocation!$B$6 &lt;= Table4[[#This Row],[EndMP]]), "Yes", "")</f>
        <v/>
      </c>
      <c r="Q1173" s="1" t="str">
        <f>IF( AND( Table4[[#This Row],[Route]]=ClosureLocation!$B$3, ClosureLocation!$B$6 &lt;= Table4[[#This Row],[StartMP]], ClosureLocation!$B$6 &gt;= Table4[[#This Row],[EndMP]]), "Yes", "")</f>
        <v/>
      </c>
      <c r="R1173" s="1" t="str">
        <f>IF( OR( Table4[[#This Row],[PrimaryMatch]]="Yes", Table4[[#This Row],[SecondaryMatch]]="Yes"), "Yes", "")</f>
        <v/>
      </c>
    </row>
    <row r="1174" spans="1:18" hidden="1" x14ac:dyDescent="0.25">
      <c r="A1174" t="s">
        <v>310</v>
      </c>
      <c r="B1174" t="s">
        <v>3205</v>
      </c>
      <c r="C1174" t="s">
        <v>3206</v>
      </c>
      <c r="D1174" t="s">
        <v>3427</v>
      </c>
      <c r="E1174" s="1">
        <v>242.79899599999999</v>
      </c>
      <c r="F1174" s="1">
        <v>243.47399899999999</v>
      </c>
      <c r="K1174" s="39">
        <f>DefaultValues!$B$4</f>
        <v>5</v>
      </c>
      <c r="L1174" s="1">
        <f>DefaultValues!$C$4</f>
        <v>0.5</v>
      </c>
      <c r="M1174" s="1" t="str">
        <f>DefaultValues!$D$4</f>
        <v xml:space="preserve">- Within interchange - </v>
      </c>
      <c r="N1174" s="1">
        <v>242.79899599999999</v>
      </c>
      <c r="O1174" s="1">
        <f>ABS(Table4[[#This Row],[EndMP]]-Table4[[#This Row],[StartMP]])</f>
        <v>0.67500300000000379</v>
      </c>
      <c r="P1174" s="1" t="str">
        <f>IF( AND( Table4[[#This Row],[Route]]=ClosureLocation!$B$3, ClosureLocation!$B$6 &gt;= Table4[[#This Row],[StartMP]], ClosureLocation!$B$6 &lt;= Table4[[#This Row],[EndMP]]), "Yes", "")</f>
        <v/>
      </c>
      <c r="Q1174" s="1" t="str">
        <f>IF( AND( Table4[[#This Row],[Route]]=ClosureLocation!$B$3, ClosureLocation!$B$6 &lt;= Table4[[#This Row],[StartMP]], ClosureLocation!$B$6 &gt;= Table4[[#This Row],[EndMP]]), "Yes", "")</f>
        <v/>
      </c>
      <c r="R1174" s="1" t="str">
        <f>IF( OR( Table4[[#This Row],[PrimaryMatch]]="Yes", Table4[[#This Row],[SecondaryMatch]]="Yes"), "Yes", "")</f>
        <v/>
      </c>
    </row>
    <row r="1175" spans="1:18" hidden="1" x14ac:dyDescent="0.25">
      <c r="A1175" t="s">
        <v>310</v>
      </c>
      <c r="B1175" t="s">
        <v>3205</v>
      </c>
      <c r="C1175" t="s">
        <v>3206</v>
      </c>
      <c r="D1175" t="s">
        <v>3427</v>
      </c>
      <c r="E1175" s="1">
        <v>245.08200099999999</v>
      </c>
      <c r="F1175" s="1">
        <v>245.33500699999999</v>
      </c>
      <c r="K1175" s="39">
        <f>DefaultValues!$B$4</f>
        <v>5</v>
      </c>
      <c r="L1175" s="1">
        <f>DefaultValues!$C$4</f>
        <v>0.5</v>
      </c>
      <c r="M1175" s="1" t="str">
        <f>DefaultValues!$D$4</f>
        <v xml:space="preserve">- Within interchange - </v>
      </c>
      <c r="N1175" s="1">
        <v>245.08200099999999</v>
      </c>
      <c r="O1175" s="1">
        <f>ABS(Table4[[#This Row],[EndMP]]-Table4[[#This Row],[StartMP]])</f>
        <v>0.25300599999999918</v>
      </c>
      <c r="P1175" s="1" t="str">
        <f>IF( AND( Table4[[#This Row],[Route]]=ClosureLocation!$B$3, ClosureLocation!$B$6 &gt;= Table4[[#This Row],[StartMP]], ClosureLocation!$B$6 &lt;= Table4[[#This Row],[EndMP]]), "Yes", "")</f>
        <v/>
      </c>
      <c r="Q1175" s="1" t="str">
        <f>IF( AND( Table4[[#This Row],[Route]]=ClosureLocation!$B$3, ClosureLocation!$B$6 &lt;= Table4[[#This Row],[StartMP]], ClosureLocation!$B$6 &gt;= Table4[[#This Row],[EndMP]]), "Yes", "")</f>
        <v/>
      </c>
      <c r="R1175" s="1" t="str">
        <f>IF( OR( Table4[[#This Row],[PrimaryMatch]]="Yes", Table4[[#This Row],[SecondaryMatch]]="Yes"), "Yes", "")</f>
        <v/>
      </c>
    </row>
    <row r="1176" spans="1:18" hidden="1" x14ac:dyDescent="0.25">
      <c r="A1176" t="s">
        <v>310</v>
      </c>
      <c r="B1176" t="s">
        <v>3205</v>
      </c>
      <c r="C1176" t="s">
        <v>3206</v>
      </c>
      <c r="D1176" t="s">
        <v>3427</v>
      </c>
      <c r="E1176" s="1">
        <v>250</v>
      </c>
      <c r="F1176" s="1">
        <v>250.40699799999999</v>
      </c>
      <c r="K1176" s="39">
        <f>DefaultValues!$B$4</f>
        <v>5</v>
      </c>
      <c r="L1176" s="1">
        <f>DefaultValues!$C$4</f>
        <v>0.5</v>
      </c>
      <c r="M1176" s="1" t="str">
        <f>DefaultValues!$D$4</f>
        <v xml:space="preserve">- Within interchange - </v>
      </c>
      <c r="N1176" s="1">
        <v>250</v>
      </c>
      <c r="O1176" s="1">
        <f>ABS(Table4[[#This Row],[EndMP]]-Table4[[#This Row],[StartMP]])</f>
        <v>0.40699799999998731</v>
      </c>
      <c r="P1176" s="1" t="str">
        <f>IF( AND( Table4[[#This Row],[Route]]=ClosureLocation!$B$3, ClosureLocation!$B$6 &gt;= Table4[[#This Row],[StartMP]], ClosureLocation!$B$6 &lt;= Table4[[#This Row],[EndMP]]), "Yes", "")</f>
        <v/>
      </c>
      <c r="Q1176" s="1" t="str">
        <f>IF( AND( Table4[[#This Row],[Route]]=ClosureLocation!$B$3, ClosureLocation!$B$6 &lt;= Table4[[#This Row],[StartMP]], ClosureLocation!$B$6 &gt;= Table4[[#This Row],[EndMP]]), "Yes", "")</f>
        <v/>
      </c>
      <c r="R1176" s="1" t="str">
        <f>IF( OR( Table4[[#This Row],[PrimaryMatch]]="Yes", Table4[[#This Row],[SecondaryMatch]]="Yes"), "Yes", "")</f>
        <v/>
      </c>
    </row>
    <row r="1177" spans="1:18" hidden="1" x14ac:dyDescent="0.25">
      <c r="A1177" t="s">
        <v>310</v>
      </c>
      <c r="B1177" t="s">
        <v>3205</v>
      </c>
      <c r="C1177" t="s">
        <v>3206</v>
      </c>
      <c r="D1177" t="s">
        <v>3427</v>
      </c>
      <c r="E1177" s="1">
        <v>252.087997</v>
      </c>
      <c r="F1177" s="1">
        <v>252.40299999999999</v>
      </c>
      <c r="K1177" s="39">
        <f>DefaultValues!$B$4</f>
        <v>5</v>
      </c>
      <c r="L1177" s="1">
        <f>DefaultValues!$C$4</f>
        <v>0.5</v>
      </c>
      <c r="M1177" s="1" t="str">
        <f>DefaultValues!$D$4</f>
        <v xml:space="preserve">- Within interchange - </v>
      </c>
      <c r="N1177" s="1">
        <v>252.087997</v>
      </c>
      <c r="O1177" s="1">
        <f>ABS(Table4[[#This Row],[EndMP]]-Table4[[#This Row],[StartMP]])</f>
        <v>0.31500299999999015</v>
      </c>
      <c r="P1177" s="1" t="str">
        <f>IF( AND( Table4[[#This Row],[Route]]=ClosureLocation!$B$3, ClosureLocation!$B$6 &gt;= Table4[[#This Row],[StartMP]], ClosureLocation!$B$6 &lt;= Table4[[#This Row],[EndMP]]), "Yes", "")</f>
        <v/>
      </c>
      <c r="Q1177" s="1" t="str">
        <f>IF( AND( Table4[[#This Row],[Route]]=ClosureLocation!$B$3, ClosureLocation!$B$6 &lt;= Table4[[#This Row],[StartMP]], ClosureLocation!$B$6 &gt;= Table4[[#This Row],[EndMP]]), "Yes", "")</f>
        <v/>
      </c>
      <c r="R1177" s="1" t="str">
        <f>IF( OR( Table4[[#This Row],[PrimaryMatch]]="Yes", Table4[[#This Row],[SecondaryMatch]]="Yes"), "Yes", "")</f>
        <v/>
      </c>
    </row>
    <row r="1178" spans="1:18" hidden="1" x14ac:dyDescent="0.25">
      <c r="A1178" t="s">
        <v>310</v>
      </c>
      <c r="B1178" t="s">
        <v>3205</v>
      </c>
      <c r="C1178" t="s">
        <v>3206</v>
      </c>
      <c r="D1178" t="s">
        <v>3427</v>
      </c>
      <c r="E1178" s="1">
        <v>255</v>
      </c>
      <c r="F1178" s="1">
        <v>255.44799800000001</v>
      </c>
      <c r="K1178" s="39">
        <f>DefaultValues!$B$4</f>
        <v>5</v>
      </c>
      <c r="L1178" s="1">
        <f>DefaultValues!$C$4</f>
        <v>0.5</v>
      </c>
      <c r="M1178" s="1" t="str">
        <f>DefaultValues!$D$4</f>
        <v xml:space="preserve">- Within interchange - </v>
      </c>
      <c r="N1178" s="1">
        <v>255</v>
      </c>
      <c r="O1178" s="1">
        <f>ABS(Table4[[#This Row],[EndMP]]-Table4[[#This Row],[StartMP]])</f>
        <v>0.44799800000001255</v>
      </c>
      <c r="P1178" s="1" t="str">
        <f>IF( AND( Table4[[#This Row],[Route]]=ClosureLocation!$B$3, ClosureLocation!$B$6 &gt;= Table4[[#This Row],[StartMP]], ClosureLocation!$B$6 &lt;= Table4[[#This Row],[EndMP]]), "Yes", "")</f>
        <v/>
      </c>
      <c r="Q1178" s="1" t="str">
        <f>IF( AND( Table4[[#This Row],[Route]]=ClosureLocation!$B$3, ClosureLocation!$B$6 &lt;= Table4[[#This Row],[StartMP]], ClosureLocation!$B$6 &gt;= Table4[[#This Row],[EndMP]]), "Yes", "")</f>
        <v/>
      </c>
      <c r="R1178" s="1" t="str">
        <f>IF( OR( Table4[[#This Row],[PrimaryMatch]]="Yes", Table4[[#This Row],[SecondaryMatch]]="Yes"), "Yes", "")</f>
        <v/>
      </c>
    </row>
    <row r="1179" spans="1:18" hidden="1" x14ac:dyDescent="0.25">
      <c r="A1179" t="s">
        <v>310</v>
      </c>
      <c r="B1179" t="s">
        <v>3205</v>
      </c>
      <c r="C1179" t="s">
        <v>3206</v>
      </c>
      <c r="D1179" t="s">
        <v>3427</v>
      </c>
      <c r="E1179" s="1">
        <v>257.175995</v>
      </c>
      <c r="F1179" s="1">
        <v>257.51501500000001</v>
      </c>
      <c r="K1179" s="39">
        <f>DefaultValues!$B$4</f>
        <v>5</v>
      </c>
      <c r="L1179" s="1">
        <f>DefaultValues!$C$4</f>
        <v>0.5</v>
      </c>
      <c r="M1179" s="1" t="str">
        <f>DefaultValues!$D$4</f>
        <v xml:space="preserve">- Within interchange - </v>
      </c>
      <c r="N1179" s="1">
        <v>257.175995</v>
      </c>
      <c r="O1179" s="1">
        <f>ABS(Table4[[#This Row],[EndMP]]-Table4[[#This Row],[StartMP]])</f>
        <v>0.33902000000000498</v>
      </c>
      <c r="P1179" s="1" t="str">
        <f>IF( AND( Table4[[#This Row],[Route]]=ClosureLocation!$B$3, ClosureLocation!$B$6 &gt;= Table4[[#This Row],[StartMP]], ClosureLocation!$B$6 &lt;= Table4[[#This Row],[EndMP]]), "Yes", "")</f>
        <v/>
      </c>
      <c r="Q1179" s="1" t="str">
        <f>IF( AND( Table4[[#This Row],[Route]]=ClosureLocation!$B$3, ClosureLocation!$B$6 &lt;= Table4[[#This Row],[StartMP]], ClosureLocation!$B$6 &gt;= Table4[[#This Row],[EndMP]]), "Yes", "")</f>
        <v/>
      </c>
      <c r="R1179" s="1" t="str">
        <f>IF( OR( Table4[[#This Row],[PrimaryMatch]]="Yes", Table4[[#This Row],[SecondaryMatch]]="Yes"), "Yes", "")</f>
        <v/>
      </c>
    </row>
    <row r="1180" spans="1:18" hidden="1" x14ac:dyDescent="0.25">
      <c r="A1180" t="s">
        <v>310</v>
      </c>
      <c r="B1180" t="s">
        <v>3205</v>
      </c>
      <c r="C1180" t="s">
        <v>3206</v>
      </c>
      <c r="D1180" t="s">
        <v>3427</v>
      </c>
      <c r="E1180" s="1">
        <v>259.13400300000001</v>
      </c>
      <c r="F1180" s="1">
        <v>259.52499399999999</v>
      </c>
      <c r="K1180" s="39">
        <f>DefaultValues!$B$4</f>
        <v>5</v>
      </c>
      <c r="L1180" s="1">
        <f>DefaultValues!$C$4</f>
        <v>0.5</v>
      </c>
      <c r="M1180" s="1" t="str">
        <f>DefaultValues!$D$4</f>
        <v xml:space="preserve">- Within interchange - </v>
      </c>
      <c r="N1180" s="1">
        <v>259.13400300000001</v>
      </c>
      <c r="O1180" s="1">
        <f>ABS(Table4[[#This Row],[EndMP]]-Table4[[#This Row],[StartMP]])</f>
        <v>0.39099099999998543</v>
      </c>
      <c r="P1180" s="1" t="str">
        <f>IF( AND( Table4[[#This Row],[Route]]=ClosureLocation!$B$3, ClosureLocation!$B$6 &gt;= Table4[[#This Row],[StartMP]], ClosureLocation!$B$6 &lt;= Table4[[#This Row],[EndMP]]), "Yes", "")</f>
        <v/>
      </c>
      <c r="Q1180" s="1" t="str">
        <f>IF( AND( Table4[[#This Row],[Route]]=ClosureLocation!$B$3, ClosureLocation!$B$6 &lt;= Table4[[#This Row],[StartMP]], ClosureLocation!$B$6 &gt;= Table4[[#This Row],[EndMP]]), "Yes", "")</f>
        <v/>
      </c>
      <c r="R1180" s="1" t="str">
        <f>IF( OR( Table4[[#This Row],[PrimaryMatch]]="Yes", Table4[[#This Row],[SecondaryMatch]]="Yes"), "Yes", "")</f>
        <v/>
      </c>
    </row>
    <row r="1181" spans="1:18" hidden="1" x14ac:dyDescent="0.25">
      <c r="A1181" t="s">
        <v>310</v>
      </c>
      <c r="B1181" t="s">
        <v>3205</v>
      </c>
      <c r="C1181" t="s">
        <v>3206</v>
      </c>
      <c r="D1181" t="s">
        <v>3427</v>
      </c>
      <c r="E1181" s="1">
        <v>262.13299599999999</v>
      </c>
      <c r="F1181" s="1">
        <v>262.466003</v>
      </c>
      <c r="K1181" s="39">
        <f>DefaultValues!$B$4</f>
        <v>5</v>
      </c>
      <c r="L1181" s="1">
        <f>DefaultValues!$C$4</f>
        <v>0.5</v>
      </c>
      <c r="M1181" s="1" t="str">
        <f>DefaultValues!$D$4</f>
        <v xml:space="preserve">- Within interchange - </v>
      </c>
      <c r="N1181" s="1">
        <v>262.13299599999999</v>
      </c>
      <c r="O1181" s="1">
        <f>ABS(Table4[[#This Row],[EndMP]]-Table4[[#This Row],[StartMP]])</f>
        <v>0.33300700000000916</v>
      </c>
      <c r="P1181" s="1" t="str">
        <f>IF( AND( Table4[[#This Row],[Route]]=ClosureLocation!$B$3, ClosureLocation!$B$6 &gt;= Table4[[#This Row],[StartMP]], ClosureLocation!$B$6 &lt;= Table4[[#This Row],[EndMP]]), "Yes", "")</f>
        <v/>
      </c>
      <c r="Q1181" s="1" t="str">
        <f>IF( AND( Table4[[#This Row],[Route]]=ClosureLocation!$B$3, ClosureLocation!$B$6 &lt;= Table4[[#This Row],[StartMP]], ClosureLocation!$B$6 &gt;= Table4[[#This Row],[EndMP]]), "Yes", "")</f>
        <v/>
      </c>
      <c r="R1181" s="1" t="str">
        <f>IF( OR( Table4[[#This Row],[PrimaryMatch]]="Yes", Table4[[#This Row],[SecondaryMatch]]="Yes"), "Yes", "")</f>
        <v/>
      </c>
    </row>
    <row r="1182" spans="1:18" hidden="1" x14ac:dyDescent="0.25">
      <c r="A1182" t="s">
        <v>310</v>
      </c>
      <c r="B1182" t="s">
        <v>3205</v>
      </c>
      <c r="C1182" t="s">
        <v>3206</v>
      </c>
      <c r="D1182" t="s">
        <v>3427</v>
      </c>
      <c r="E1182" s="1">
        <v>265.11599699999999</v>
      </c>
      <c r="F1182" s="1">
        <v>265.51501500000001</v>
      </c>
      <c r="K1182" s="39">
        <f>DefaultValues!$B$4</f>
        <v>5</v>
      </c>
      <c r="L1182" s="1">
        <f>DefaultValues!$C$4</f>
        <v>0.5</v>
      </c>
      <c r="M1182" s="1" t="str">
        <f>DefaultValues!$D$4</f>
        <v xml:space="preserve">- Within interchange - </v>
      </c>
      <c r="N1182" s="1">
        <v>265.11599699999999</v>
      </c>
      <c r="O1182" s="1">
        <f>ABS(Table4[[#This Row],[EndMP]]-Table4[[#This Row],[StartMP]])</f>
        <v>0.39901800000001231</v>
      </c>
      <c r="P1182" s="1" t="str">
        <f>IF( AND( Table4[[#This Row],[Route]]=ClosureLocation!$B$3, ClosureLocation!$B$6 &gt;= Table4[[#This Row],[StartMP]], ClosureLocation!$B$6 &lt;= Table4[[#This Row],[EndMP]]), "Yes", "")</f>
        <v/>
      </c>
      <c r="Q1182" s="1" t="str">
        <f>IF( AND( Table4[[#This Row],[Route]]=ClosureLocation!$B$3, ClosureLocation!$B$6 &lt;= Table4[[#This Row],[StartMP]], ClosureLocation!$B$6 &gt;= Table4[[#This Row],[EndMP]]), "Yes", "")</f>
        <v/>
      </c>
      <c r="R1182" s="1" t="str">
        <f>IF( OR( Table4[[#This Row],[PrimaryMatch]]="Yes", Table4[[#This Row],[SecondaryMatch]]="Yes"), "Yes", "")</f>
        <v/>
      </c>
    </row>
    <row r="1183" spans="1:18" hidden="1" x14ac:dyDescent="0.25">
      <c r="A1183" t="s">
        <v>310</v>
      </c>
      <c r="B1183" t="s">
        <v>3205</v>
      </c>
      <c r="C1183" t="s">
        <v>3206</v>
      </c>
      <c r="D1183" t="s">
        <v>3427</v>
      </c>
      <c r="E1183" s="1">
        <v>268.20498700000002</v>
      </c>
      <c r="F1183" s="1">
        <v>268.62399299999998</v>
      </c>
      <c r="K1183" s="39">
        <f>DefaultValues!$B$4</f>
        <v>5</v>
      </c>
      <c r="L1183" s="1">
        <f>DefaultValues!$C$4</f>
        <v>0.5</v>
      </c>
      <c r="M1183" s="1" t="str">
        <f>DefaultValues!$D$4</f>
        <v xml:space="preserve">- Within interchange - </v>
      </c>
      <c r="N1183" s="1">
        <v>268.20498700000002</v>
      </c>
      <c r="O1183" s="1">
        <f>ABS(Table4[[#This Row],[EndMP]]-Table4[[#This Row],[StartMP]])</f>
        <v>0.41900599999996757</v>
      </c>
      <c r="P1183" s="1" t="str">
        <f>IF( AND( Table4[[#This Row],[Route]]=ClosureLocation!$B$3, ClosureLocation!$B$6 &gt;= Table4[[#This Row],[StartMP]], ClosureLocation!$B$6 &lt;= Table4[[#This Row],[EndMP]]), "Yes", "")</f>
        <v/>
      </c>
      <c r="Q1183" s="1" t="str">
        <f>IF( AND( Table4[[#This Row],[Route]]=ClosureLocation!$B$3, ClosureLocation!$B$6 &lt;= Table4[[#This Row],[StartMP]], ClosureLocation!$B$6 &gt;= Table4[[#This Row],[EndMP]]), "Yes", "")</f>
        <v/>
      </c>
      <c r="R1183" s="1" t="str">
        <f>IF( OR( Table4[[#This Row],[PrimaryMatch]]="Yes", Table4[[#This Row],[SecondaryMatch]]="Yes"), "Yes", "")</f>
        <v/>
      </c>
    </row>
    <row r="1184" spans="1:18" hidden="1" x14ac:dyDescent="0.25">
      <c r="A1184" t="s">
        <v>310</v>
      </c>
      <c r="B1184" t="s">
        <v>3205</v>
      </c>
      <c r="C1184" t="s">
        <v>3206</v>
      </c>
      <c r="D1184" t="s">
        <v>3427</v>
      </c>
      <c r="E1184" s="1">
        <v>269.21798699999999</v>
      </c>
      <c r="F1184" s="1">
        <v>269.51901199999998</v>
      </c>
      <c r="K1184" s="39">
        <f>DefaultValues!$B$4</f>
        <v>5</v>
      </c>
      <c r="L1184" s="1">
        <f>DefaultValues!$C$4</f>
        <v>0.5</v>
      </c>
      <c r="M1184" s="1" t="str">
        <f>DefaultValues!$D$4</f>
        <v xml:space="preserve">- Within interchange - </v>
      </c>
      <c r="N1184" s="1">
        <v>269.21798699999999</v>
      </c>
      <c r="O1184" s="1">
        <f>ABS(Table4[[#This Row],[EndMP]]-Table4[[#This Row],[StartMP]])</f>
        <v>0.30102499999998145</v>
      </c>
      <c r="P1184" s="1" t="str">
        <f>IF( AND( Table4[[#This Row],[Route]]=ClosureLocation!$B$3, ClosureLocation!$B$6 &gt;= Table4[[#This Row],[StartMP]], ClosureLocation!$B$6 &lt;= Table4[[#This Row],[EndMP]]), "Yes", "")</f>
        <v/>
      </c>
      <c r="Q1184" s="1" t="str">
        <f>IF( AND( Table4[[#This Row],[Route]]=ClosureLocation!$B$3, ClosureLocation!$B$6 &lt;= Table4[[#This Row],[StartMP]], ClosureLocation!$B$6 &gt;= Table4[[#This Row],[EndMP]]), "Yes", "")</f>
        <v/>
      </c>
      <c r="R1184" s="1" t="str">
        <f>IF( OR( Table4[[#This Row],[PrimaryMatch]]="Yes", Table4[[#This Row],[SecondaryMatch]]="Yes"), "Yes", "")</f>
        <v/>
      </c>
    </row>
    <row r="1185" spans="1:18" hidden="1" x14ac:dyDescent="0.25">
      <c r="A1185" t="s">
        <v>310</v>
      </c>
      <c r="B1185" t="s">
        <v>3205</v>
      </c>
      <c r="C1185" t="s">
        <v>3206</v>
      </c>
      <c r="D1185" t="s">
        <v>3427</v>
      </c>
      <c r="E1185" s="1">
        <v>271.14401199999998</v>
      </c>
      <c r="F1185" s="1">
        <v>271.63000499999998</v>
      </c>
      <c r="K1185" s="39">
        <f>DefaultValues!$B$4</f>
        <v>5</v>
      </c>
      <c r="L1185" s="1">
        <f>DefaultValues!$C$4</f>
        <v>0.5</v>
      </c>
      <c r="M1185" s="1" t="str">
        <f>DefaultValues!$D$4</f>
        <v xml:space="preserve">- Within interchange - </v>
      </c>
      <c r="N1185" s="1">
        <v>271.14401199999998</v>
      </c>
      <c r="O1185" s="1">
        <f>ABS(Table4[[#This Row],[EndMP]]-Table4[[#This Row],[StartMP]])</f>
        <v>0.48599300000000767</v>
      </c>
      <c r="P1185" s="1" t="str">
        <f>IF( AND( Table4[[#This Row],[Route]]=ClosureLocation!$B$3, ClosureLocation!$B$6 &gt;= Table4[[#This Row],[StartMP]], ClosureLocation!$B$6 &lt;= Table4[[#This Row],[EndMP]]), "Yes", "")</f>
        <v/>
      </c>
      <c r="Q1185" s="1" t="str">
        <f>IF( AND( Table4[[#This Row],[Route]]=ClosureLocation!$B$3, ClosureLocation!$B$6 &lt;= Table4[[#This Row],[StartMP]], ClosureLocation!$B$6 &gt;= Table4[[#This Row],[EndMP]]), "Yes", "")</f>
        <v/>
      </c>
      <c r="R1185" s="1" t="str">
        <f>IF( OR( Table4[[#This Row],[PrimaryMatch]]="Yes", Table4[[#This Row],[SecondaryMatch]]="Yes"), "Yes", "")</f>
        <v/>
      </c>
    </row>
    <row r="1186" spans="1:18" hidden="1" x14ac:dyDescent="0.25">
      <c r="A1186" t="s">
        <v>310</v>
      </c>
      <c r="B1186" t="s">
        <v>3205</v>
      </c>
      <c r="C1186" t="s">
        <v>3206</v>
      </c>
      <c r="D1186" t="s">
        <v>3427</v>
      </c>
      <c r="E1186" s="1">
        <v>277.71398900000003</v>
      </c>
      <c r="F1186" s="1">
        <v>278</v>
      </c>
      <c r="K1186" s="39">
        <f>DefaultValues!$B$4</f>
        <v>5</v>
      </c>
      <c r="L1186" s="1">
        <f>DefaultValues!$C$4</f>
        <v>0.5</v>
      </c>
      <c r="M1186" s="1" t="str">
        <f>DefaultValues!$D$4</f>
        <v xml:space="preserve">- Within interchange - </v>
      </c>
      <c r="N1186" s="1">
        <v>277.71398900000003</v>
      </c>
      <c r="O1186" s="1">
        <f>ABS(Table4[[#This Row],[EndMP]]-Table4[[#This Row],[StartMP]])</f>
        <v>0.28601099999997359</v>
      </c>
      <c r="P1186" s="1" t="str">
        <f>IF( AND( Table4[[#This Row],[Route]]=ClosureLocation!$B$3, ClosureLocation!$B$6 &gt;= Table4[[#This Row],[StartMP]], ClosureLocation!$B$6 &lt;= Table4[[#This Row],[EndMP]]), "Yes", "")</f>
        <v/>
      </c>
      <c r="Q1186" s="1" t="str">
        <f>IF( AND( Table4[[#This Row],[Route]]=ClosureLocation!$B$3, ClosureLocation!$B$6 &lt;= Table4[[#This Row],[StartMP]], ClosureLocation!$B$6 &gt;= Table4[[#This Row],[EndMP]]), "Yes", "")</f>
        <v/>
      </c>
      <c r="R1186" s="1" t="str">
        <f>IF( OR( Table4[[#This Row],[PrimaryMatch]]="Yes", Table4[[#This Row],[SecondaryMatch]]="Yes"), "Yes", "")</f>
        <v/>
      </c>
    </row>
    <row r="1187" spans="1:18" hidden="1" x14ac:dyDescent="0.25">
      <c r="A1187" t="s">
        <v>310</v>
      </c>
      <c r="B1187" t="s">
        <v>3205</v>
      </c>
      <c r="C1187" t="s">
        <v>3206</v>
      </c>
      <c r="D1187" t="s">
        <v>3427</v>
      </c>
      <c r="E1187" s="1">
        <v>281.18398999999999</v>
      </c>
      <c r="F1187" s="1">
        <v>281.63900799999999</v>
      </c>
      <c r="K1187" s="39">
        <f>DefaultValues!$B$4</f>
        <v>5</v>
      </c>
      <c r="L1187" s="1">
        <f>DefaultValues!$C$4</f>
        <v>0.5</v>
      </c>
      <c r="M1187" s="1" t="str">
        <f>DefaultValues!$D$4</f>
        <v xml:space="preserve">- Within interchange - </v>
      </c>
      <c r="N1187" s="1">
        <v>281.18398999999999</v>
      </c>
      <c r="O1187" s="1">
        <f>ABS(Table4[[#This Row],[EndMP]]-Table4[[#This Row],[StartMP]])</f>
        <v>0.45501799999999548</v>
      </c>
      <c r="P1187" s="1" t="str">
        <f>IF( AND( Table4[[#This Row],[Route]]=ClosureLocation!$B$3, ClosureLocation!$B$6 &gt;= Table4[[#This Row],[StartMP]], ClosureLocation!$B$6 &lt;= Table4[[#This Row],[EndMP]]), "Yes", "")</f>
        <v/>
      </c>
      <c r="Q1187" s="1" t="str">
        <f>IF( AND( Table4[[#This Row],[Route]]=ClosureLocation!$B$3, ClosureLocation!$B$6 &lt;= Table4[[#This Row],[StartMP]], ClosureLocation!$B$6 &gt;= Table4[[#This Row],[EndMP]]), "Yes", "")</f>
        <v/>
      </c>
      <c r="R1187" s="1" t="str">
        <f>IF( OR( Table4[[#This Row],[PrimaryMatch]]="Yes", Table4[[#This Row],[SecondaryMatch]]="Yes"), "Yes", "")</f>
        <v/>
      </c>
    </row>
    <row r="1188" spans="1:18" hidden="1" x14ac:dyDescent="0.25">
      <c r="A1188" t="s">
        <v>310</v>
      </c>
      <c r="B1188" t="s">
        <v>3205</v>
      </c>
      <c r="C1188" t="s">
        <v>3206</v>
      </c>
      <c r="D1188" t="s">
        <v>3427</v>
      </c>
      <c r="E1188" s="1">
        <v>287.26001000000002</v>
      </c>
      <c r="F1188" s="1">
        <v>287.80398600000001</v>
      </c>
      <c r="K1188" s="39">
        <f>DefaultValues!$B$4</f>
        <v>5</v>
      </c>
      <c r="L1188" s="1">
        <f>DefaultValues!$C$4</f>
        <v>0.5</v>
      </c>
      <c r="M1188" s="1" t="str">
        <f>DefaultValues!$D$4</f>
        <v xml:space="preserve">- Within interchange - </v>
      </c>
      <c r="N1188" s="1">
        <v>287.26001000000002</v>
      </c>
      <c r="O1188" s="1">
        <f>ABS(Table4[[#This Row],[EndMP]]-Table4[[#This Row],[StartMP]])</f>
        <v>0.54397599999998647</v>
      </c>
      <c r="P1188" s="1" t="str">
        <f>IF( AND( Table4[[#This Row],[Route]]=ClosureLocation!$B$3, ClosureLocation!$B$6 &gt;= Table4[[#This Row],[StartMP]], ClosureLocation!$B$6 &lt;= Table4[[#This Row],[EndMP]]), "Yes", "")</f>
        <v/>
      </c>
      <c r="Q1188" s="1" t="str">
        <f>IF( AND( Table4[[#This Row],[Route]]=ClosureLocation!$B$3, ClosureLocation!$B$6 &lt;= Table4[[#This Row],[StartMP]], ClosureLocation!$B$6 &gt;= Table4[[#This Row],[EndMP]]), "Yes", "")</f>
        <v/>
      </c>
      <c r="R1188" s="1" t="str">
        <f>IF( OR( Table4[[#This Row],[PrimaryMatch]]="Yes", Table4[[#This Row],[SecondaryMatch]]="Yes"), "Yes", "")</f>
        <v/>
      </c>
    </row>
    <row r="1189" spans="1:18" hidden="1" x14ac:dyDescent="0.25">
      <c r="A1189" t="s">
        <v>310</v>
      </c>
      <c r="B1189" t="s">
        <v>3205</v>
      </c>
      <c r="C1189" t="s">
        <v>3206</v>
      </c>
      <c r="D1189" t="s">
        <v>3427</v>
      </c>
      <c r="E1189" s="1">
        <v>292.29998799999998</v>
      </c>
      <c r="F1189" s="1">
        <v>292.841003</v>
      </c>
      <c r="K1189" s="39">
        <f>DefaultValues!$B$4</f>
        <v>5</v>
      </c>
      <c r="L1189" s="1">
        <f>DefaultValues!$C$4</f>
        <v>0.5</v>
      </c>
      <c r="M1189" s="1" t="str">
        <f>DefaultValues!$D$4</f>
        <v xml:space="preserve">- Within interchange - </v>
      </c>
      <c r="N1189" s="1">
        <v>292.29998799999998</v>
      </c>
      <c r="O1189" s="1">
        <f>ABS(Table4[[#This Row],[EndMP]]-Table4[[#This Row],[StartMP]])</f>
        <v>0.54101500000001579</v>
      </c>
      <c r="P1189" s="1" t="str">
        <f>IF( AND( Table4[[#This Row],[Route]]=ClosureLocation!$B$3, ClosureLocation!$B$6 &gt;= Table4[[#This Row],[StartMP]], ClosureLocation!$B$6 &lt;= Table4[[#This Row],[EndMP]]), "Yes", "")</f>
        <v/>
      </c>
      <c r="Q1189" s="1" t="str">
        <f>IF( AND( Table4[[#This Row],[Route]]=ClosureLocation!$B$3, ClosureLocation!$B$6 &lt;= Table4[[#This Row],[StartMP]], ClosureLocation!$B$6 &gt;= Table4[[#This Row],[EndMP]]), "Yes", "")</f>
        <v/>
      </c>
      <c r="R1189" s="1" t="str">
        <f>IF( OR( Table4[[#This Row],[PrimaryMatch]]="Yes", Table4[[#This Row],[SecondaryMatch]]="Yes"), "Yes", "")</f>
        <v/>
      </c>
    </row>
    <row r="1190" spans="1:18" hidden="1" x14ac:dyDescent="0.25">
      <c r="A1190" t="s">
        <v>310</v>
      </c>
      <c r="B1190" t="s">
        <v>3209</v>
      </c>
      <c r="C1190" t="s">
        <v>3210</v>
      </c>
      <c r="D1190" t="s">
        <v>3444</v>
      </c>
      <c r="E1190" s="1">
        <v>292.87799100000001</v>
      </c>
      <c r="F1190" s="1">
        <v>292.32299799999998</v>
      </c>
      <c r="K1190" s="39">
        <f>DefaultValues!$B$4</f>
        <v>5</v>
      </c>
      <c r="L1190" s="1">
        <f>DefaultValues!$C$4</f>
        <v>0.5</v>
      </c>
      <c r="M1190" s="1" t="str">
        <f>DefaultValues!$D$4</f>
        <v xml:space="preserve">- Within interchange - </v>
      </c>
      <c r="N1190" s="1">
        <v>707.12200900000005</v>
      </c>
      <c r="O1190" s="1">
        <f>ABS(Table4[[#This Row],[EndMP]]-Table4[[#This Row],[StartMP]])</f>
        <v>0.55499300000002449</v>
      </c>
      <c r="P1190" s="1" t="str">
        <f>IF( AND( Table4[[#This Row],[Route]]=ClosureLocation!$B$3, ClosureLocation!$B$6 &gt;= Table4[[#This Row],[StartMP]], ClosureLocation!$B$6 &lt;= Table4[[#This Row],[EndMP]]), "Yes", "")</f>
        <v/>
      </c>
      <c r="Q1190" s="1" t="str">
        <f>IF( AND( Table4[[#This Row],[Route]]=ClosureLocation!$B$3, ClosureLocation!$B$6 &lt;= Table4[[#This Row],[StartMP]], ClosureLocation!$B$6 &gt;= Table4[[#This Row],[EndMP]]), "Yes", "")</f>
        <v/>
      </c>
      <c r="R1190" s="1" t="str">
        <f>IF( OR( Table4[[#This Row],[PrimaryMatch]]="Yes", Table4[[#This Row],[SecondaryMatch]]="Yes"), "Yes", "")</f>
        <v/>
      </c>
    </row>
    <row r="1191" spans="1:18" hidden="1" x14ac:dyDescent="0.25">
      <c r="A1191" t="s">
        <v>310</v>
      </c>
      <c r="B1191" t="s">
        <v>3209</v>
      </c>
      <c r="C1191" t="s">
        <v>3210</v>
      </c>
      <c r="D1191" t="s">
        <v>3444</v>
      </c>
      <c r="E1191" s="1">
        <v>287.80398600000001</v>
      </c>
      <c r="F1191" s="1">
        <v>287.26001000000002</v>
      </c>
      <c r="K1191" s="39">
        <f>DefaultValues!$B$4</f>
        <v>5</v>
      </c>
      <c r="L1191" s="1">
        <f>DefaultValues!$C$4</f>
        <v>0.5</v>
      </c>
      <c r="M1191" s="1" t="str">
        <f>DefaultValues!$D$4</f>
        <v xml:space="preserve">- Within interchange - </v>
      </c>
      <c r="N1191" s="1">
        <v>712.19598399999995</v>
      </c>
      <c r="O1191" s="1">
        <f>ABS(Table4[[#This Row],[EndMP]]-Table4[[#This Row],[StartMP]])</f>
        <v>0.54397599999998647</v>
      </c>
      <c r="P1191" s="1" t="str">
        <f>IF( AND( Table4[[#This Row],[Route]]=ClosureLocation!$B$3, ClosureLocation!$B$6 &gt;= Table4[[#This Row],[StartMP]], ClosureLocation!$B$6 &lt;= Table4[[#This Row],[EndMP]]), "Yes", "")</f>
        <v/>
      </c>
      <c r="Q1191" s="1" t="str">
        <f>IF( AND( Table4[[#This Row],[Route]]=ClosureLocation!$B$3, ClosureLocation!$B$6 &lt;= Table4[[#This Row],[StartMP]], ClosureLocation!$B$6 &gt;= Table4[[#This Row],[EndMP]]), "Yes", "")</f>
        <v/>
      </c>
      <c r="R1191" s="1" t="str">
        <f>IF( OR( Table4[[#This Row],[PrimaryMatch]]="Yes", Table4[[#This Row],[SecondaryMatch]]="Yes"), "Yes", "")</f>
        <v/>
      </c>
    </row>
    <row r="1192" spans="1:18" hidden="1" x14ac:dyDescent="0.25">
      <c r="A1192" t="s">
        <v>310</v>
      </c>
      <c r="B1192" t="s">
        <v>3209</v>
      </c>
      <c r="C1192" t="s">
        <v>3210</v>
      </c>
      <c r="D1192" t="s">
        <v>3444</v>
      </c>
      <c r="E1192" s="1">
        <v>281.63900799999999</v>
      </c>
      <c r="F1192" s="1">
        <v>281.18398999999999</v>
      </c>
      <c r="K1192" s="39">
        <f>DefaultValues!$B$4</f>
        <v>5</v>
      </c>
      <c r="L1192" s="1">
        <f>DefaultValues!$C$4</f>
        <v>0.5</v>
      </c>
      <c r="M1192" s="1" t="str">
        <f>DefaultValues!$D$4</f>
        <v xml:space="preserve">- Within interchange - </v>
      </c>
      <c r="N1192" s="1">
        <v>718.36102300000005</v>
      </c>
      <c r="O1192" s="1">
        <f>ABS(Table4[[#This Row],[EndMP]]-Table4[[#This Row],[StartMP]])</f>
        <v>0.45501799999999548</v>
      </c>
      <c r="P1192" s="1" t="str">
        <f>IF( AND( Table4[[#This Row],[Route]]=ClosureLocation!$B$3, ClosureLocation!$B$6 &gt;= Table4[[#This Row],[StartMP]], ClosureLocation!$B$6 &lt;= Table4[[#This Row],[EndMP]]), "Yes", "")</f>
        <v/>
      </c>
      <c r="Q1192" s="1" t="str">
        <f>IF( AND( Table4[[#This Row],[Route]]=ClosureLocation!$B$3, ClosureLocation!$B$6 &lt;= Table4[[#This Row],[StartMP]], ClosureLocation!$B$6 &gt;= Table4[[#This Row],[EndMP]]), "Yes", "")</f>
        <v/>
      </c>
      <c r="R1192" s="1" t="str">
        <f>IF( OR( Table4[[#This Row],[PrimaryMatch]]="Yes", Table4[[#This Row],[SecondaryMatch]]="Yes"), "Yes", "")</f>
        <v/>
      </c>
    </row>
    <row r="1193" spans="1:18" hidden="1" x14ac:dyDescent="0.25">
      <c r="A1193" t="s">
        <v>310</v>
      </c>
      <c r="B1193" t="s">
        <v>3209</v>
      </c>
      <c r="C1193" t="s">
        <v>3210</v>
      </c>
      <c r="D1193" t="s">
        <v>3444</v>
      </c>
      <c r="E1193" s="1">
        <v>278.06698599999999</v>
      </c>
      <c r="F1193" s="1">
        <v>277.71398900000003</v>
      </c>
      <c r="K1193" s="39">
        <f>DefaultValues!$B$4</f>
        <v>5</v>
      </c>
      <c r="L1193" s="1">
        <f>DefaultValues!$C$4</f>
        <v>0.5</v>
      </c>
      <c r="M1193" s="1" t="str">
        <f>DefaultValues!$D$4</f>
        <v xml:space="preserve">- Within interchange - </v>
      </c>
      <c r="N1193" s="1">
        <v>721.93298300000004</v>
      </c>
      <c r="O1193" s="1">
        <f>ABS(Table4[[#This Row],[EndMP]]-Table4[[#This Row],[StartMP]])</f>
        <v>0.35299699999995937</v>
      </c>
      <c r="P1193" s="1" t="str">
        <f>IF( AND( Table4[[#This Row],[Route]]=ClosureLocation!$B$3, ClosureLocation!$B$6 &gt;= Table4[[#This Row],[StartMP]], ClosureLocation!$B$6 &lt;= Table4[[#This Row],[EndMP]]), "Yes", "")</f>
        <v/>
      </c>
      <c r="Q1193" s="1" t="str">
        <f>IF( AND( Table4[[#This Row],[Route]]=ClosureLocation!$B$3, ClosureLocation!$B$6 &lt;= Table4[[#This Row],[StartMP]], ClosureLocation!$B$6 &gt;= Table4[[#This Row],[EndMP]]), "Yes", "")</f>
        <v/>
      </c>
      <c r="R1193" s="1" t="str">
        <f>IF( OR( Table4[[#This Row],[PrimaryMatch]]="Yes", Table4[[#This Row],[SecondaryMatch]]="Yes"), "Yes", "")</f>
        <v/>
      </c>
    </row>
    <row r="1194" spans="1:18" hidden="1" x14ac:dyDescent="0.25">
      <c r="A1194" t="s">
        <v>310</v>
      </c>
      <c r="B1194" t="s">
        <v>3209</v>
      </c>
      <c r="C1194" t="s">
        <v>3210</v>
      </c>
      <c r="D1194" t="s">
        <v>3444</v>
      </c>
      <c r="E1194" s="1">
        <v>271.63000499999998</v>
      </c>
      <c r="F1194" s="1">
        <v>271.14401199999998</v>
      </c>
      <c r="K1194" s="39">
        <f>DefaultValues!$B$4</f>
        <v>5</v>
      </c>
      <c r="L1194" s="1">
        <f>DefaultValues!$C$4</f>
        <v>0.5</v>
      </c>
      <c r="M1194" s="1" t="str">
        <f>DefaultValues!$D$4</f>
        <v xml:space="preserve">- Within interchange - </v>
      </c>
      <c r="N1194" s="1">
        <v>728.36999500000002</v>
      </c>
      <c r="O1194" s="1">
        <f>ABS(Table4[[#This Row],[EndMP]]-Table4[[#This Row],[StartMP]])</f>
        <v>0.48599300000000767</v>
      </c>
      <c r="P1194" s="1" t="str">
        <f>IF( AND( Table4[[#This Row],[Route]]=ClosureLocation!$B$3, ClosureLocation!$B$6 &gt;= Table4[[#This Row],[StartMP]], ClosureLocation!$B$6 &lt;= Table4[[#This Row],[EndMP]]), "Yes", "")</f>
        <v/>
      </c>
      <c r="Q1194" s="1" t="str">
        <f>IF( AND( Table4[[#This Row],[Route]]=ClosureLocation!$B$3, ClosureLocation!$B$6 &lt;= Table4[[#This Row],[StartMP]], ClosureLocation!$B$6 &gt;= Table4[[#This Row],[EndMP]]), "Yes", "")</f>
        <v/>
      </c>
      <c r="R1194" s="1" t="str">
        <f>IF( OR( Table4[[#This Row],[PrimaryMatch]]="Yes", Table4[[#This Row],[SecondaryMatch]]="Yes"), "Yes", "")</f>
        <v/>
      </c>
    </row>
    <row r="1195" spans="1:18" hidden="1" x14ac:dyDescent="0.25">
      <c r="A1195" t="s">
        <v>310</v>
      </c>
      <c r="B1195" t="s">
        <v>3209</v>
      </c>
      <c r="C1195" t="s">
        <v>3210</v>
      </c>
      <c r="D1195" t="s">
        <v>3444</v>
      </c>
      <c r="E1195" s="1">
        <v>269.51901199999998</v>
      </c>
      <c r="F1195" s="1">
        <v>269.21798699999999</v>
      </c>
      <c r="K1195" s="39">
        <f>DefaultValues!$B$4</f>
        <v>5</v>
      </c>
      <c r="L1195" s="1">
        <f>DefaultValues!$C$4</f>
        <v>0.5</v>
      </c>
      <c r="M1195" s="1" t="str">
        <f>DefaultValues!$D$4</f>
        <v xml:space="preserve">- Within interchange - </v>
      </c>
      <c r="N1195" s="1">
        <v>730.48101799999995</v>
      </c>
      <c r="O1195" s="1">
        <f>ABS(Table4[[#This Row],[EndMP]]-Table4[[#This Row],[StartMP]])</f>
        <v>0.30102499999998145</v>
      </c>
      <c r="P1195" s="1" t="str">
        <f>IF( AND( Table4[[#This Row],[Route]]=ClosureLocation!$B$3, ClosureLocation!$B$6 &gt;= Table4[[#This Row],[StartMP]], ClosureLocation!$B$6 &lt;= Table4[[#This Row],[EndMP]]), "Yes", "")</f>
        <v/>
      </c>
      <c r="Q1195" s="1" t="str">
        <f>IF( AND( Table4[[#This Row],[Route]]=ClosureLocation!$B$3, ClosureLocation!$B$6 &lt;= Table4[[#This Row],[StartMP]], ClosureLocation!$B$6 &gt;= Table4[[#This Row],[EndMP]]), "Yes", "")</f>
        <v/>
      </c>
      <c r="R1195" s="1" t="str">
        <f>IF( OR( Table4[[#This Row],[PrimaryMatch]]="Yes", Table4[[#This Row],[SecondaryMatch]]="Yes"), "Yes", "")</f>
        <v/>
      </c>
    </row>
    <row r="1196" spans="1:18" hidden="1" x14ac:dyDescent="0.25">
      <c r="A1196" t="s">
        <v>310</v>
      </c>
      <c r="B1196" t="s">
        <v>3209</v>
      </c>
      <c r="C1196" t="s">
        <v>3210</v>
      </c>
      <c r="D1196" t="s">
        <v>3444</v>
      </c>
      <c r="E1196" s="1">
        <v>268.62399299999998</v>
      </c>
      <c r="F1196" s="1">
        <v>268.20498700000002</v>
      </c>
      <c r="K1196" s="39">
        <f>DefaultValues!$B$4</f>
        <v>5</v>
      </c>
      <c r="L1196" s="1">
        <f>DefaultValues!$C$4</f>
        <v>0.5</v>
      </c>
      <c r="M1196" s="1" t="str">
        <f>DefaultValues!$D$4</f>
        <v xml:space="preserve">- Within interchange - </v>
      </c>
      <c r="N1196" s="1">
        <v>731.37597700000003</v>
      </c>
      <c r="O1196" s="1">
        <f>ABS(Table4[[#This Row],[EndMP]]-Table4[[#This Row],[StartMP]])</f>
        <v>0.41900599999996757</v>
      </c>
      <c r="P1196" s="1" t="str">
        <f>IF( AND( Table4[[#This Row],[Route]]=ClosureLocation!$B$3, ClosureLocation!$B$6 &gt;= Table4[[#This Row],[StartMP]], ClosureLocation!$B$6 &lt;= Table4[[#This Row],[EndMP]]), "Yes", "")</f>
        <v/>
      </c>
      <c r="Q1196" s="1" t="str">
        <f>IF( AND( Table4[[#This Row],[Route]]=ClosureLocation!$B$3, ClosureLocation!$B$6 &lt;= Table4[[#This Row],[StartMP]], ClosureLocation!$B$6 &gt;= Table4[[#This Row],[EndMP]]), "Yes", "")</f>
        <v/>
      </c>
      <c r="R1196" s="1" t="str">
        <f>IF( OR( Table4[[#This Row],[PrimaryMatch]]="Yes", Table4[[#This Row],[SecondaryMatch]]="Yes"), "Yes", "")</f>
        <v/>
      </c>
    </row>
    <row r="1197" spans="1:18" hidden="1" x14ac:dyDescent="0.25">
      <c r="A1197" t="s">
        <v>310</v>
      </c>
      <c r="B1197" t="s">
        <v>3209</v>
      </c>
      <c r="C1197" t="s">
        <v>3210</v>
      </c>
      <c r="D1197" t="s">
        <v>3444</v>
      </c>
      <c r="E1197" s="1">
        <v>265.51501500000001</v>
      </c>
      <c r="F1197" s="1">
        <v>265.11599699999999</v>
      </c>
      <c r="K1197" s="39">
        <f>DefaultValues!$B$4</f>
        <v>5</v>
      </c>
      <c r="L1197" s="1">
        <f>DefaultValues!$C$4</f>
        <v>0.5</v>
      </c>
      <c r="M1197" s="1" t="str">
        <f>DefaultValues!$D$4</f>
        <v xml:space="preserve">- Within interchange - </v>
      </c>
      <c r="N1197" s="1">
        <v>734.48498500000005</v>
      </c>
      <c r="O1197" s="1">
        <f>ABS(Table4[[#This Row],[EndMP]]-Table4[[#This Row],[StartMP]])</f>
        <v>0.39901800000001231</v>
      </c>
      <c r="P1197" s="1" t="str">
        <f>IF( AND( Table4[[#This Row],[Route]]=ClosureLocation!$B$3, ClosureLocation!$B$6 &gt;= Table4[[#This Row],[StartMP]], ClosureLocation!$B$6 &lt;= Table4[[#This Row],[EndMP]]), "Yes", "")</f>
        <v/>
      </c>
      <c r="Q1197" s="1" t="str">
        <f>IF( AND( Table4[[#This Row],[Route]]=ClosureLocation!$B$3, ClosureLocation!$B$6 &lt;= Table4[[#This Row],[StartMP]], ClosureLocation!$B$6 &gt;= Table4[[#This Row],[EndMP]]), "Yes", "")</f>
        <v/>
      </c>
      <c r="R1197" s="1" t="str">
        <f>IF( OR( Table4[[#This Row],[PrimaryMatch]]="Yes", Table4[[#This Row],[SecondaryMatch]]="Yes"), "Yes", "")</f>
        <v/>
      </c>
    </row>
    <row r="1198" spans="1:18" hidden="1" x14ac:dyDescent="0.25">
      <c r="A1198" t="s">
        <v>310</v>
      </c>
      <c r="B1198" t="s">
        <v>3209</v>
      </c>
      <c r="C1198" t="s">
        <v>3210</v>
      </c>
      <c r="D1198" t="s">
        <v>3444</v>
      </c>
      <c r="E1198" s="1">
        <v>262.466003</v>
      </c>
      <c r="F1198" s="1">
        <v>262.13299599999999</v>
      </c>
      <c r="K1198" s="39">
        <f>DefaultValues!$B$4</f>
        <v>5</v>
      </c>
      <c r="L1198" s="1">
        <f>DefaultValues!$C$4</f>
        <v>0.5</v>
      </c>
      <c r="M1198" s="1" t="str">
        <f>DefaultValues!$D$4</f>
        <v xml:space="preserve">- Within interchange - </v>
      </c>
      <c r="N1198" s="1">
        <v>737.533997</v>
      </c>
      <c r="O1198" s="1">
        <f>ABS(Table4[[#This Row],[EndMP]]-Table4[[#This Row],[StartMP]])</f>
        <v>0.33300700000000916</v>
      </c>
      <c r="P1198" s="1" t="str">
        <f>IF( AND( Table4[[#This Row],[Route]]=ClosureLocation!$B$3, ClosureLocation!$B$6 &gt;= Table4[[#This Row],[StartMP]], ClosureLocation!$B$6 &lt;= Table4[[#This Row],[EndMP]]), "Yes", "")</f>
        <v/>
      </c>
      <c r="Q1198" s="1" t="str">
        <f>IF( AND( Table4[[#This Row],[Route]]=ClosureLocation!$B$3, ClosureLocation!$B$6 &lt;= Table4[[#This Row],[StartMP]], ClosureLocation!$B$6 &gt;= Table4[[#This Row],[EndMP]]), "Yes", "")</f>
        <v/>
      </c>
      <c r="R1198" s="1" t="str">
        <f>IF( OR( Table4[[#This Row],[PrimaryMatch]]="Yes", Table4[[#This Row],[SecondaryMatch]]="Yes"), "Yes", "")</f>
        <v/>
      </c>
    </row>
    <row r="1199" spans="1:18" hidden="1" x14ac:dyDescent="0.25">
      <c r="A1199" t="s">
        <v>310</v>
      </c>
      <c r="B1199" t="s">
        <v>3209</v>
      </c>
      <c r="C1199" t="s">
        <v>3210</v>
      </c>
      <c r="D1199" t="s">
        <v>3444</v>
      </c>
      <c r="E1199" s="1">
        <v>259.52499399999999</v>
      </c>
      <c r="F1199" s="1">
        <v>259.13400300000001</v>
      </c>
      <c r="K1199" s="39">
        <f>DefaultValues!$B$4</f>
        <v>5</v>
      </c>
      <c r="L1199" s="1">
        <f>DefaultValues!$C$4</f>
        <v>0.5</v>
      </c>
      <c r="M1199" s="1" t="str">
        <f>DefaultValues!$D$4</f>
        <v xml:space="preserve">- Within interchange - </v>
      </c>
      <c r="N1199" s="1">
        <v>740.47497599999997</v>
      </c>
      <c r="O1199" s="1">
        <f>ABS(Table4[[#This Row],[EndMP]]-Table4[[#This Row],[StartMP]])</f>
        <v>0.39099099999998543</v>
      </c>
      <c r="P1199" s="1" t="str">
        <f>IF( AND( Table4[[#This Row],[Route]]=ClosureLocation!$B$3, ClosureLocation!$B$6 &gt;= Table4[[#This Row],[StartMP]], ClosureLocation!$B$6 &lt;= Table4[[#This Row],[EndMP]]), "Yes", "")</f>
        <v/>
      </c>
      <c r="Q1199" s="1" t="str">
        <f>IF( AND( Table4[[#This Row],[Route]]=ClosureLocation!$B$3, ClosureLocation!$B$6 &lt;= Table4[[#This Row],[StartMP]], ClosureLocation!$B$6 &gt;= Table4[[#This Row],[EndMP]]), "Yes", "")</f>
        <v/>
      </c>
      <c r="R1199" s="1" t="str">
        <f>IF( OR( Table4[[#This Row],[PrimaryMatch]]="Yes", Table4[[#This Row],[SecondaryMatch]]="Yes"), "Yes", "")</f>
        <v/>
      </c>
    </row>
    <row r="1200" spans="1:18" hidden="1" x14ac:dyDescent="0.25">
      <c r="A1200" t="s">
        <v>310</v>
      </c>
      <c r="B1200" t="s">
        <v>3209</v>
      </c>
      <c r="C1200" t="s">
        <v>3210</v>
      </c>
      <c r="D1200" t="s">
        <v>3444</v>
      </c>
      <c r="E1200" s="1">
        <v>257.51501500000001</v>
      </c>
      <c r="F1200" s="1">
        <v>257.20599399999998</v>
      </c>
      <c r="K1200" s="39">
        <f>DefaultValues!$B$4</f>
        <v>5</v>
      </c>
      <c r="L1200" s="1">
        <f>DefaultValues!$C$4</f>
        <v>0.5</v>
      </c>
      <c r="M1200" s="1" t="str">
        <f>DefaultValues!$D$4</f>
        <v xml:space="preserve">- Within interchange - </v>
      </c>
      <c r="N1200" s="1">
        <v>742.48498500000005</v>
      </c>
      <c r="O1200" s="1">
        <f>ABS(Table4[[#This Row],[EndMP]]-Table4[[#This Row],[StartMP]])</f>
        <v>0.30902100000002974</v>
      </c>
      <c r="P1200" s="1" t="str">
        <f>IF( AND( Table4[[#This Row],[Route]]=ClosureLocation!$B$3, ClosureLocation!$B$6 &gt;= Table4[[#This Row],[StartMP]], ClosureLocation!$B$6 &lt;= Table4[[#This Row],[EndMP]]), "Yes", "")</f>
        <v/>
      </c>
      <c r="Q1200" s="1" t="str">
        <f>IF( AND( Table4[[#This Row],[Route]]=ClosureLocation!$B$3, ClosureLocation!$B$6 &lt;= Table4[[#This Row],[StartMP]], ClosureLocation!$B$6 &gt;= Table4[[#This Row],[EndMP]]), "Yes", "")</f>
        <v/>
      </c>
      <c r="R1200" s="1" t="str">
        <f>IF( OR( Table4[[#This Row],[PrimaryMatch]]="Yes", Table4[[#This Row],[SecondaryMatch]]="Yes"), "Yes", "")</f>
        <v/>
      </c>
    </row>
    <row r="1201" spans="1:18" hidden="1" x14ac:dyDescent="0.25">
      <c r="A1201" t="s">
        <v>310</v>
      </c>
      <c r="B1201" t="s">
        <v>3209</v>
      </c>
      <c r="C1201" t="s">
        <v>3210</v>
      </c>
      <c r="D1201" t="s">
        <v>3444</v>
      </c>
      <c r="E1201" s="1">
        <v>255.44799800000001</v>
      </c>
      <c r="F1201" s="1">
        <v>255.05900600000001</v>
      </c>
      <c r="K1201" s="39">
        <f>DefaultValues!$B$4</f>
        <v>5</v>
      </c>
      <c r="L1201" s="1">
        <f>DefaultValues!$C$4</f>
        <v>0.5</v>
      </c>
      <c r="M1201" s="1" t="str">
        <f>DefaultValues!$D$4</f>
        <v xml:space="preserve">- Within interchange - </v>
      </c>
      <c r="N1201" s="1">
        <v>744.55200200000002</v>
      </c>
      <c r="O1201" s="1">
        <f>ABS(Table4[[#This Row],[EndMP]]-Table4[[#This Row],[StartMP]])</f>
        <v>0.38899200000000178</v>
      </c>
      <c r="P1201" s="1" t="str">
        <f>IF( AND( Table4[[#This Row],[Route]]=ClosureLocation!$B$3, ClosureLocation!$B$6 &gt;= Table4[[#This Row],[StartMP]], ClosureLocation!$B$6 &lt;= Table4[[#This Row],[EndMP]]), "Yes", "")</f>
        <v/>
      </c>
      <c r="Q1201" s="1" t="str">
        <f>IF( AND( Table4[[#This Row],[Route]]=ClosureLocation!$B$3, ClosureLocation!$B$6 &lt;= Table4[[#This Row],[StartMP]], ClosureLocation!$B$6 &gt;= Table4[[#This Row],[EndMP]]), "Yes", "")</f>
        <v/>
      </c>
      <c r="R1201" s="1" t="str">
        <f>IF( OR( Table4[[#This Row],[PrimaryMatch]]="Yes", Table4[[#This Row],[SecondaryMatch]]="Yes"), "Yes", "")</f>
        <v/>
      </c>
    </row>
    <row r="1202" spans="1:18" hidden="1" x14ac:dyDescent="0.25">
      <c r="A1202" t="s">
        <v>310</v>
      </c>
      <c r="B1202" t="s">
        <v>3209</v>
      </c>
      <c r="C1202" t="s">
        <v>3210</v>
      </c>
      <c r="D1202" t="s">
        <v>3444</v>
      </c>
      <c r="E1202" s="1">
        <v>252.40299999999999</v>
      </c>
      <c r="F1202" s="1">
        <v>252.087997</v>
      </c>
      <c r="K1202" s="39">
        <f>DefaultValues!$B$4</f>
        <v>5</v>
      </c>
      <c r="L1202" s="1">
        <f>DefaultValues!$C$4</f>
        <v>0.5</v>
      </c>
      <c r="M1202" s="1" t="str">
        <f>DefaultValues!$D$4</f>
        <v xml:space="preserve">- Within interchange - </v>
      </c>
      <c r="N1202" s="1">
        <v>747.59698500000002</v>
      </c>
      <c r="O1202" s="1">
        <f>ABS(Table4[[#This Row],[EndMP]]-Table4[[#This Row],[StartMP]])</f>
        <v>0.31500299999999015</v>
      </c>
      <c r="P1202" s="1" t="str">
        <f>IF( AND( Table4[[#This Row],[Route]]=ClosureLocation!$B$3, ClosureLocation!$B$6 &gt;= Table4[[#This Row],[StartMP]], ClosureLocation!$B$6 &lt;= Table4[[#This Row],[EndMP]]), "Yes", "")</f>
        <v/>
      </c>
      <c r="Q1202" s="1" t="str">
        <f>IF( AND( Table4[[#This Row],[Route]]=ClosureLocation!$B$3, ClosureLocation!$B$6 &lt;= Table4[[#This Row],[StartMP]], ClosureLocation!$B$6 &gt;= Table4[[#This Row],[EndMP]]), "Yes", "")</f>
        <v/>
      </c>
      <c r="R1202" s="1" t="str">
        <f>IF( OR( Table4[[#This Row],[PrimaryMatch]]="Yes", Table4[[#This Row],[SecondaryMatch]]="Yes"), "Yes", "")</f>
        <v/>
      </c>
    </row>
    <row r="1203" spans="1:18" hidden="1" x14ac:dyDescent="0.25">
      <c r="A1203" t="s">
        <v>310</v>
      </c>
      <c r="B1203" t="s">
        <v>3209</v>
      </c>
      <c r="C1203" t="s">
        <v>3210</v>
      </c>
      <c r="D1203" t="s">
        <v>3444</v>
      </c>
      <c r="E1203" s="1">
        <v>250.40699799999999</v>
      </c>
      <c r="F1203" s="1">
        <v>250</v>
      </c>
      <c r="K1203" s="39">
        <f>DefaultValues!$B$4</f>
        <v>5</v>
      </c>
      <c r="L1203" s="1">
        <f>DefaultValues!$C$4</f>
        <v>0.5</v>
      </c>
      <c r="M1203" s="1" t="str">
        <f>DefaultValues!$D$4</f>
        <v xml:space="preserve">- Within interchange - </v>
      </c>
      <c r="N1203" s="1">
        <v>749.59301800000003</v>
      </c>
      <c r="O1203" s="1">
        <f>ABS(Table4[[#This Row],[EndMP]]-Table4[[#This Row],[StartMP]])</f>
        <v>0.40699799999998731</v>
      </c>
      <c r="P1203" s="1" t="str">
        <f>IF( AND( Table4[[#This Row],[Route]]=ClosureLocation!$B$3, ClosureLocation!$B$6 &gt;= Table4[[#This Row],[StartMP]], ClosureLocation!$B$6 &lt;= Table4[[#This Row],[EndMP]]), "Yes", "")</f>
        <v/>
      </c>
      <c r="Q1203" s="1" t="str">
        <f>IF( AND( Table4[[#This Row],[Route]]=ClosureLocation!$B$3, ClosureLocation!$B$6 &lt;= Table4[[#This Row],[StartMP]], ClosureLocation!$B$6 &gt;= Table4[[#This Row],[EndMP]]), "Yes", "")</f>
        <v/>
      </c>
      <c r="R1203" s="1" t="str">
        <f>IF( OR( Table4[[#This Row],[PrimaryMatch]]="Yes", Table4[[#This Row],[SecondaryMatch]]="Yes"), "Yes", "")</f>
        <v/>
      </c>
    </row>
    <row r="1204" spans="1:18" hidden="1" x14ac:dyDescent="0.25">
      <c r="A1204" t="s">
        <v>310</v>
      </c>
      <c r="B1204" t="s">
        <v>3209</v>
      </c>
      <c r="C1204" t="s">
        <v>3210</v>
      </c>
      <c r="D1204" t="s">
        <v>3444</v>
      </c>
      <c r="E1204" s="1">
        <v>245.33500699999999</v>
      </c>
      <c r="F1204" s="1">
        <v>245.08200099999999</v>
      </c>
      <c r="K1204" s="39">
        <f>DefaultValues!$B$4</f>
        <v>5</v>
      </c>
      <c r="L1204" s="1">
        <f>DefaultValues!$C$4</f>
        <v>0.5</v>
      </c>
      <c r="M1204" s="1" t="str">
        <f>DefaultValues!$D$4</f>
        <v xml:space="preserve">- Within interchange - </v>
      </c>
      <c r="N1204" s="1">
        <v>754.66497800000002</v>
      </c>
      <c r="O1204" s="1">
        <f>ABS(Table4[[#This Row],[EndMP]]-Table4[[#This Row],[StartMP]])</f>
        <v>0.25300599999999918</v>
      </c>
      <c r="P1204" s="1" t="str">
        <f>IF( AND( Table4[[#This Row],[Route]]=ClosureLocation!$B$3, ClosureLocation!$B$6 &gt;= Table4[[#This Row],[StartMP]], ClosureLocation!$B$6 &lt;= Table4[[#This Row],[EndMP]]), "Yes", "")</f>
        <v/>
      </c>
      <c r="Q1204" s="1" t="str">
        <f>IF( AND( Table4[[#This Row],[Route]]=ClosureLocation!$B$3, ClosureLocation!$B$6 &lt;= Table4[[#This Row],[StartMP]], ClosureLocation!$B$6 &gt;= Table4[[#This Row],[EndMP]]), "Yes", "")</f>
        <v/>
      </c>
      <c r="R1204" s="1" t="str">
        <f>IF( OR( Table4[[#This Row],[PrimaryMatch]]="Yes", Table4[[#This Row],[SecondaryMatch]]="Yes"), "Yes", "")</f>
        <v/>
      </c>
    </row>
    <row r="1205" spans="1:18" hidden="1" x14ac:dyDescent="0.25">
      <c r="A1205" t="s">
        <v>310</v>
      </c>
      <c r="B1205" t="s">
        <v>3209</v>
      </c>
      <c r="C1205" t="s">
        <v>3210</v>
      </c>
      <c r="D1205" t="s">
        <v>3444</v>
      </c>
      <c r="E1205" s="1">
        <v>243.47399899999999</v>
      </c>
      <c r="F1205" s="1">
        <v>242.79899599999999</v>
      </c>
      <c r="K1205" s="39">
        <f>DefaultValues!$B$4</f>
        <v>5</v>
      </c>
      <c r="L1205" s="1">
        <f>DefaultValues!$C$4</f>
        <v>0.5</v>
      </c>
      <c r="M1205" s="1" t="str">
        <f>DefaultValues!$D$4</f>
        <v xml:space="preserve">- Within interchange - </v>
      </c>
      <c r="N1205" s="1">
        <v>756.52600099999995</v>
      </c>
      <c r="O1205" s="1">
        <f>ABS(Table4[[#This Row],[EndMP]]-Table4[[#This Row],[StartMP]])</f>
        <v>0.67500300000000379</v>
      </c>
      <c r="P1205" s="1" t="str">
        <f>IF( AND( Table4[[#This Row],[Route]]=ClosureLocation!$B$3, ClosureLocation!$B$6 &gt;= Table4[[#This Row],[StartMP]], ClosureLocation!$B$6 &lt;= Table4[[#This Row],[EndMP]]), "Yes", "")</f>
        <v/>
      </c>
      <c r="Q1205" s="1" t="str">
        <f>IF( AND( Table4[[#This Row],[Route]]=ClosureLocation!$B$3, ClosureLocation!$B$6 &lt;= Table4[[#This Row],[StartMP]], ClosureLocation!$B$6 &gt;= Table4[[#This Row],[EndMP]]), "Yes", "")</f>
        <v/>
      </c>
      <c r="R1205" s="1" t="str">
        <f>IF( OR( Table4[[#This Row],[PrimaryMatch]]="Yes", Table4[[#This Row],[SecondaryMatch]]="Yes"), "Yes", "")</f>
        <v/>
      </c>
    </row>
    <row r="1206" spans="1:18" hidden="1" x14ac:dyDescent="0.25">
      <c r="A1206" t="s">
        <v>310</v>
      </c>
      <c r="B1206" t="s">
        <v>3209</v>
      </c>
      <c r="C1206" t="s">
        <v>3210</v>
      </c>
      <c r="D1206" t="s">
        <v>3444</v>
      </c>
      <c r="E1206" s="1">
        <v>240.324997</v>
      </c>
      <c r="F1206" s="1">
        <v>239.99200400000001</v>
      </c>
      <c r="K1206" s="39">
        <f>DefaultValues!$B$4</f>
        <v>5</v>
      </c>
      <c r="L1206" s="1">
        <f>DefaultValues!$C$4</f>
        <v>0.5</v>
      </c>
      <c r="M1206" s="1" t="str">
        <f>DefaultValues!$D$4</f>
        <v xml:space="preserve">- Within interchange - </v>
      </c>
      <c r="N1206" s="1">
        <v>759.67498799999998</v>
      </c>
      <c r="O1206" s="1">
        <f>ABS(Table4[[#This Row],[EndMP]]-Table4[[#This Row],[StartMP]])</f>
        <v>0.33299299999998766</v>
      </c>
      <c r="P1206" s="1" t="str">
        <f>IF( AND( Table4[[#This Row],[Route]]=ClosureLocation!$B$3, ClosureLocation!$B$6 &gt;= Table4[[#This Row],[StartMP]], ClosureLocation!$B$6 &lt;= Table4[[#This Row],[EndMP]]), "Yes", "")</f>
        <v/>
      </c>
      <c r="Q1206" s="1" t="str">
        <f>IF( AND( Table4[[#This Row],[Route]]=ClosureLocation!$B$3, ClosureLocation!$B$6 &lt;= Table4[[#This Row],[StartMP]], ClosureLocation!$B$6 &gt;= Table4[[#This Row],[EndMP]]), "Yes", "")</f>
        <v/>
      </c>
      <c r="R1206" s="1" t="str">
        <f>IF( OR( Table4[[#This Row],[PrimaryMatch]]="Yes", Table4[[#This Row],[SecondaryMatch]]="Yes"), "Yes", "")</f>
        <v/>
      </c>
    </row>
    <row r="1207" spans="1:18" hidden="1" x14ac:dyDescent="0.25">
      <c r="A1207" t="s">
        <v>310</v>
      </c>
      <c r="B1207" t="s">
        <v>3209</v>
      </c>
      <c r="C1207" t="s">
        <v>3210</v>
      </c>
      <c r="D1207" t="s">
        <v>3444</v>
      </c>
      <c r="E1207" s="1">
        <v>235.38400300000001</v>
      </c>
      <c r="F1207" s="1">
        <v>234.94799800000001</v>
      </c>
      <c r="K1207" s="39">
        <f>DefaultValues!$B$4</f>
        <v>5</v>
      </c>
      <c r="L1207" s="1">
        <f>DefaultValues!$C$4</f>
        <v>0.5</v>
      </c>
      <c r="M1207" s="1" t="str">
        <f>DefaultValues!$D$4</f>
        <v xml:space="preserve">- Within interchange - </v>
      </c>
      <c r="N1207" s="1">
        <v>764.61602800000003</v>
      </c>
      <c r="O1207" s="1">
        <f>ABS(Table4[[#This Row],[EndMP]]-Table4[[#This Row],[StartMP]])</f>
        <v>0.43600499999999442</v>
      </c>
      <c r="P1207" s="1" t="str">
        <f>IF( AND( Table4[[#This Row],[Route]]=ClosureLocation!$B$3, ClosureLocation!$B$6 &gt;= Table4[[#This Row],[StartMP]], ClosureLocation!$B$6 &lt;= Table4[[#This Row],[EndMP]]), "Yes", "")</f>
        <v/>
      </c>
      <c r="Q1207" s="1" t="str">
        <f>IF( AND( Table4[[#This Row],[Route]]=ClosureLocation!$B$3, ClosureLocation!$B$6 &lt;= Table4[[#This Row],[StartMP]], ClosureLocation!$B$6 &gt;= Table4[[#This Row],[EndMP]]), "Yes", "")</f>
        <v/>
      </c>
      <c r="R1207" s="1" t="str">
        <f>IF( OR( Table4[[#This Row],[PrimaryMatch]]="Yes", Table4[[#This Row],[SecondaryMatch]]="Yes"), "Yes", "")</f>
        <v/>
      </c>
    </row>
    <row r="1208" spans="1:18" hidden="1" x14ac:dyDescent="0.25">
      <c r="A1208" t="s">
        <v>310</v>
      </c>
      <c r="B1208" t="s">
        <v>3209</v>
      </c>
      <c r="C1208" t="s">
        <v>3210</v>
      </c>
      <c r="D1208" t="s">
        <v>3444</v>
      </c>
      <c r="E1208" s="1">
        <v>232.38400300000001</v>
      </c>
      <c r="F1208" s="1">
        <v>231.87300099999999</v>
      </c>
      <c r="K1208" s="39">
        <f>DefaultValues!$B$4</f>
        <v>5</v>
      </c>
      <c r="L1208" s="1">
        <f>DefaultValues!$C$4</f>
        <v>0.5</v>
      </c>
      <c r="M1208" s="1" t="str">
        <f>DefaultValues!$D$4</f>
        <v xml:space="preserve">- Within interchange - </v>
      </c>
      <c r="N1208" s="1">
        <v>767.61602800000003</v>
      </c>
      <c r="O1208" s="1">
        <f>ABS(Table4[[#This Row],[EndMP]]-Table4[[#This Row],[StartMP]])</f>
        <v>0.51100200000001905</v>
      </c>
      <c r="P1208" s="1" t="str">
        <f>IF( AND( Table4[[#This Row],[Route]]=ClosureLocation!$B$3, ClosureLocation!$B$6 &gt;= Table4[[#This Row],[StartMP]], ClosureLocation!$B$6 &lt;= Table4[[#This Row],[EndMP]]), "Yes", "")</f>
        <v/>
      </c>
      <c r="Q1208" s="1" t="str">
        <f>IF( AND( Table4[[#This Row],[Route]]=ClosureLocation!$B$3, ClosureLocation!$B$6 &lt;= Table4[[#This Row],[StartMP]], ClosureLocation!$B$6 &gt;= Table4[[#This Row],[EndMP]]), "Yes", "")</f>
        <v/>
      </c>
      <c r="R1208" s="1" t="str">
        <f>IF( OR( Table4[[#This Row],[PrimaryMatch]]="Yes", Table4[[#This Row],[SecondaryMatch]]="Yes"), "Yes", "")</f>
        <v/>
      </c>
    </row>
    <row r="1209" spans="1:18" hidden="1" x14ac:dyDescent="0.25">
      <c r="A1209" t="s">
        <v>310</v>
      </c>
      <c r="B1209" t="s">
        <v>3209</v>
      </c>
      <c r="C1209" t="s">
        <v>3210</v>
      </c>
      <c r="D1209" t="s">
        <v>3444</v>
      </c>
      <c r="E1209" s="1">
        <v>229.42700199999999</v>
      </c>
      <c r="F1209" s="1">
        <v>228.89999399999999</v>
      </c>
      <c r="K1209" s="39">
        <f>DefaultValues!$B$4</f>
        <v>5</v>
      </c>
      <c r="L1209" s="1">
        <f>DefaultValues!$C$4</f>
        <v>0.5</v>
      </c>
      <c r="M1209" s="1" t="str">
        <f>DefaultValues!$D$4</f>
        <v xml:space="preserve">- Within interchange - </v>
      </c>
      <c r="N1209" s="1">
        <v>770.57299799999998</v>
      </c>
      <c r="O1209" s="1">
        <f>ABS(Table4[[#This Row],[EndMP]]-Table4[[#This Row],[StartMP]])</f>
        <v>0.52700799999999504</v>
      </c>
      <c r="P1209" s="1" t="str">
        <f>IF( AND( Table4[[#This Row],[Route]]=ClosureLocation!$B$3, ClosureLocation!$B$6 &gt;= Table4[[#This Row],[StartMP]], ClosureLocation!$B$6 &lt;= Table4[[#This Row],[EndMP]]), "Yes", "")</f>
        <v/>
      </c>
      <c r="Q1209" s="1" t="str">
        <f>IF( AND( Table4[[#This Row],[Route]]=ClosureLocation!$B$3, ClosureLocation!$B$6 &lt;= Table4[[#This Row],[StartMP]], ClosureLocation!$B$6 &gt;= Table4[[#This Row],[EndMP]]), "Yes", "")</f>
        <v/>
      </c>
      <c r="R1209" s="1" t="str">
        <f>IF( OR( Table4[[#This Row],[PrimaryMatch]]="Yes", Table4[[#This Row],[SecondaryMatch]]="Yes"), "Yes", "")</f>
        <v/>
      </c>
    </row>
    <row r="1210" spans="1:18" hidden="1" x14ac:dyDescent="0.25">
      <c r="A1210" t="s">
        <v>310</v>
      </c>
      <c r="B1210" t="s">
        <v>3209</v>
      </c>
      <c r="C1210" t="s">
        <v>3210</v>
      </c>
      <c r="D1210" t="s">
        <v>3444</v>
      </c>
      <c r="E1210" s="1">
        <v>228.229004</v>
      </c>
      <c r="F1210" s="1">
        <v>227.34700000000001</v>
      </c>
      <c r="K1210" s="39">
        <f>DefaultValues!$B$4</f>
        <v>5</v>
      </c>
      <c r="L1210" s="1">
        <f>DefaultValues!$C$4</f>
        <v>0.5</v>
      </c>
      <c r="M1210" s="1" t="str">
        <f>DefaultValues!$D$4</f>
        <v xml:space="preserve">- Within interchange - </v>
      </c>
      <c r="N1210" s="1">
        <v>771.77099599999997</v>
      </c>
      <c r="O1210" s="1">
        <f>ABS(Table4[[#This Row],[EndMP]]-Table4[[#This Row],[StartMP]])</f>
        <v>0.8820039999999949</v>
      </c>
      <c r="P1210" s="1" t="str">
        <f>IF( AND( Table4[[#This Row],[Route]]=ClosureLocation!$B$3, ClosureLocation!$B$6 &gt;= Table4[[#This Row],[StartMP]], ClosureLocation!$B$6 &lt;= Table4[[#This Row],[EndMP]]), "Yes", "")</f>
        <v/>
      </c>
      <c r="Q1210" s="1" t="str">
        <f>IF( AND( Table4[[#This Row],[Route]]=ClosureLocation!$B$3, ClosureLocation!$B$6 &lt;= Table4[[#This Row],[StartMP]], ClosureLocation!$B$6 &gt;= Table4[[#This Row],[EndMP]]), "Yes", "")</f>
        <v/>
      </c>
      <c r="R1210" s="1" t="str">
        <f>IF( OR( Table4[[#This Row],[PrimaryMatch]]="Yes", Table4[[#This Row],[SecondaryMatch]]="Yes"), "Yes", "")</f>
        <v/>
      </c>
    </row>
    <row r="1211" spans="1:18" hidden="1" x14ac:dyDescent="0.25">
      <c r="A1211" t="s">
        <v>310</v>
      </c>
      <c r="B1211" t="s">
        <v>3209</v>
      </c>
      <c r="C1211" t="s">
        <v>3210</v>
      </c>
      <c r="D1211" t="s">
        <v>3444</v>
      </c>
      <c r="E1211" s="1">
        <v>226.429001</v>
      </c>
      <c r="F1211" s="1">
        <v>225.733994</v>
      </c>
      <c r="K1211" s="39">
        <f>DefaultValues!$B$4</f>
        <v>5</v>
      </c>
      <c r="L1211" s="1">
        <f>DefaultValues!$C$4</f>
        <v>0.5</v>
      </c>
      <c r="M1211" s="1" t="str">
        <f>DefaultValues!$D$4</f>
        <v xml:space="preserve">- Within interchange - </v>
      </c>
      <c r="N1211" s="1">
        <v>773.57098399999995</v>
      </c>
      <c r="O1211" s="1">
        <f>ABS(Table4[[#This Row],[EndMP]]-Table4[[#This Row],[StartMP]])</f>
        <v>0.69500700000000393</v>
      </c>
      <c r="P1211" s="1" t="str">
        <f>IF( AND( Table4[[#This Row],[Route]]=ClosureLocation!$B$3, ClosureLocation!$B$6 &gt;= Table4[[#This Row],[StartMP]], ClosureLocation!$B$6 &lt;= Table4[[#This Row],[EndMP]]), "Yes", "")</f>
        <v/>
      </c>
      <c r="Q1211" s="1" t="str">
        <f>IF( AND( Table4[[#This Row],[Route]]=ClosureLocation!$B$3, ClosureLocation!$B$6 &lt;= Table4[[#This Row],[StartMP]], ClosureLocation!$B$6 &gt;= Table4[[#This Row],[EndMP]]), "Yes", "")</f>
        <v/>
      </c>
      <c r="R1211" s="1" t="str">
        <f>IF( OR( Table4[[#This Row],[PrimaryMatch]]="Yes", Table4[[#This Row],[SecondaryMatch]]="Yes"), "Yes", "")</f>
        <v/>
      </c>
    </row>
    <row r="1212" spans="1:18" hidden="1" x14ac:dyDescent="0.25">
      <c r="A1212" t="s">
        <v>310</v>
      </c>
      <c r="B1212" t="s">
        <v>3209</v>
      </c>
      <c r="C1212" t="s">
        <v>3210</v>
      </c>
      <c r="D1212" t="s">
        <v>3444</v>
      </c>
      <c r="E1212" s="1">
        <v>225.36000100000001</v>
      </c>
      <c r="F1212" s="1">
        <v>224.787003</v>
      </c>
      <c r="K1212" s="39">
        <f>DefaultValues!$B$4</f>
        <v>5</v>
      </c>
      <c r="L1212" s="1">
        <f>DefaultValues!$C$4</f>
        <v>0.5</v>
      </c>
      <c r="M1212" s="1" t="str">
        <f>DefaultValues!$D$4</f>
        <v xml:space="preserve">- Within interchange - </v>
      </c>
      <c r="N1212" s="1">
        <v>774.64001499999995</v>
      </c>
      <c r="O1212" s="1">
        <f>ABS(Table4[[#This Row],[EndMP]]-Table4[[#This Row],[StartMP]])</f>
        <v>0.57299800000001255</v>
      </c>
      <c r="P1212" s="1" t="str">
        <f>IF( AND( Table4[[#This Row],[Route]]=ClosureLocation!$B$3, ClosureLocation!$B$6 &gt;= Table4[[#This Row],[StartMP]], ClosureLocation!$B$6 &lt;= Table4[[#This Row],[EndMP]]), "Yes", "")</f>
        <v/>
      </c>
      <c r="Q1212" s="1" t="str">
        <f>IF( AND( Table4[[#This Row],[Route]]=ClosureLocation!$B$3, ClosureLocation!$B$6 &lt;= Table4[[#This Row],[StartMP]], ClosureLocation!$B$6 &gt;= Table4[[#This Row],[EndMP]]), "Yes", "")</f>
        <v/>
      </c>
      <c r="R1212" s="1" t="str">
        <f>IF( OR( Table4[[#This Row],[PrimaryMatch]]="Yes", Table4[[#This Row],[SecondaryMatch]]="Yes"), "Yes", "")</f>
        <v/>
      </c>
    </row>
    <row r="1213" spans="1:18" hidden="1" x14ac:dyDescent="0.25">
      <c r="A1213" t="s">
        <v>310</v>
      </c>
      <c r="B1213" t="s">
        <v>3209</v>
      </c>
      <c r="C1213" t="s">
        <v>3210</v>
      </c>
      <c r="D1213" t="s">
        <v>3444</v>
      </c>
      <c r="E1213" s="1">
        <v>223.274002</v>
      </c>
      <c r="F1213" s="1">
        <v>222.878006</v>
      </c>
      <c r="K1213" s="39">
        <f>DefaultValues!$B$4</f>
        <v>5</v>
      </c>
      <c r="L1213" s="1">
        <f>DefaultValues!$C$4</f>
        <v>0.5</v>
      </c>
      <c r="M1213" s="1" t="str">
        <f>DefaultValues!$D$4</f>
        <v xml:space="preserve">- Within interchange - </v>
      </c>
      <c r="N1213" s="1">
        <v>776.72601299999997</v>
      </c>
      <c r="O1213" s="1">
        <f>ABS(Table4[[#This Row],[EndMP]]-Table4[[#This Row],[StartMP]])</f>
        <v>0.39599599999999668</v>
      </c>
      <c r="P1213" s="1" t="str">
        <f>IF( AND( Table4[[#This Row],[Route]]=ClosureLocation!$B$3, ClosureLocation!$B$6 &gt;= Table4[[#This Row],[StartMP]], ClosureLocation!$B$6 &lt;= Table4[[#This Row],[EndMP]]), "Yes", "")</f>
        <v/>
      </c>
      <c r="Q1213" s="1" t="str">
        <f>IF( AND( Table4[[#This Row],[Route]]=ClosureLocation!$B$3, ClosureLocation!$B$6 &lt;= Table4[[#This Row],[StartMP]], ClosureLocation!$B$6 &gt;= Table4[[#This Row],[EndMP]]), "Yes", "")</f>
        <v/>
      </c>
      <c r="R1213" s="1" t="str">
        <f>IF( OR( Table4[[#This Row],[PrimaryMatch]]="Yes", Table4[[#This Row],[SecondaryMatch]]="Yes"), "Yes", "")</f>
        <v/>
      </c>
    </row>
    <row r="1214" spans="1:18" hidden="1" x14ac:dyDescent="0.25">
      <c r="A1214" t="s">
        <v>310</v>
      </c>
      <c r="B1214" t="s">
        <v>3209</v>
      </c>
      <c r="C1214" t="s">
        <v>3210</v>
      </c>
      <c r="D1214" t="s">
        <v>3444</v>
      </c>
      <c r="E1214" s="1">
        <v>221.29200700000001</v>
      </c>
      <c r="F1214" s="1">
        <v>220.845001</v>
      </c>
      <c r="K1214" s="39">
        <f>DefaultValues!$B$4</f>
        <v>5</v>
      </c>
      <c r="L1214" s="1">
        <f>DefaultValues!$C$4</f>
        <v>0.5</v>
      </c>
      <c r="M1214" s="1" t="str">
        <f>DefaultValues!$D$4</f>
        <v xml:space="preserve">- Within interchange - </v>
      </c>
      <c r="N1214" s="1">
        <v>778.70800799999995</v>
      </c>
      <c r="O1214" s="1">
        <f>ABS(Table4[[#This Row],[EndMP]]-Table4[[#This Row],[StartMP]])</f>
        <v>0.447006000000016</v>
      </c>
      <c r="P1214" s="1" t="str">
        <f>IF( AND( Table4[[#This Row],[Route]]=ClosureLocation!$B$3, ClosureLocation!$B$6 &gt;= Table4[[#This Row],[StartMP]], ClosureLocation!$B$6 &lt;= Table4[[#This Row],[EndMP]]), "Yes", "")</f>
        <v/>
      </c>
      <c r="Q1214" s="1" t="str">
        <f>IF( AND( Table4[[#This Row],[Route]]=ClosureLocation!$B$3, ClosureLocation!$B$6 &lt;= Table4[[#This Row],[StartMP]], ClosureLocation!$B$6 &gt;= Table4[[#This Row],[EndMP]]), "Yes", "")</f>
        <v/>
      </c>
      <c r="R1214" s="1" t="str">
        <f>IF( OR( Table4[[#This Row],[PrimaryMatch]]="Yes", Table4[[#This Row],[SecondaryMatch]]="Yes"), "Yes", "")</f>
        <v/>
      </c>
    </row>
    <row r="1215" spans="1:18" hidden="1" x14ac:dyDescent="0.25">
      <c r="A1215" t="s">
        <v>310</v>
      </c>
      <c r="B1215" t="s">
        <v>3209</v>
      </c>
      <c r="C1215" t="s">
        <v>3210</v>
      </c>
      <c r="D1215" t="s">
        <v>3444</v>
      </c>
      <c r="E1215" s="1">
        <v>220.154999</v>
      </c>
      <c r="F1215" s="1">
        <v>219.39700300000001</v>
      </c>
      <c r="K1215" s="39">
        <f>DefaultValues!$B$4</f>
        <v>5</v>
      </c>
      <c r="L1215" s="1">
        <f>DefaultValues!$C$4</f>
        <v>0.5</v>
      </c>
      <c r="M1215" s="1" t="str">
        <f>DefaultValues!$D$4</f>
        <v xml:space="preserve">- Within interchange - </v>
      </c>
      <c r="N1215" s="1">
        <v>779.84497099999999</v>
      </c>
      <c r="O1215" s="1">
        <f>ABS(Table4[[#This Row],[EndMP]]-Table4[[#This Row],[StartMP]])</f>
        <v>0.75799599999999145</v>
      </c>
      <c r="P1215" s="1" t="str">
        <f>IF( AND( Table4[[#This Row],[Route]]=ClosureLocation!$B$3, ClosureLocation!$B$6 &gt;= Table4[[#This Row],[StartMP]], ClosureLocation!$B$6 &lt;= Table4[[#This Row],[EndMP]]), "Yes", "")</f>
        <v/>
      </c>
      <c r="Q1215" s="1" t="str">
        <f>IF( AND( Table4[[#This Row],[Route]]=ClosureLocation!$B$3, ClosureLocation!$B$6 &lt;= Table4[[#This Row],[StartMP]], ClosureLocation!$B$6 &gt;= Table4[[#This Row],[EndMP]]), "Yes", "")</f>
        <v/>
      </c>
      <c r="R1215" s="1" t="str">
        <f>IF( OR( Table4[[#This Row],[PrimaryMatch]]="Yes", Table4[[#This Row],[SecondaryMatch]]="Yes"), "Yes", "")</f>
        <v/>
      </c>
    </row>
    <row r="1216" spans="1:18" hidden="1" x14ac:dyDescent="0.25">
      <c r="A1216" t="s">
        <v>310</v>
      </c>
      <c r="B1216" t="s">
        <v>3209</v>
      </c>
      <c r="C1216" t="s">
        <v>3210</v>
      </c>
      <c r="D1216" t="s">
        <v>3444</v>
      </c>
      <c r="E1216" s="1">
        <v>218.63699299999999</v>
      </c>
      <c r="F1216" s="1">
        <v>218.162003</v>
      </c>
      <c r="K1216" s="39">
        <f>DefaultValues!$B$4</f>
        <v>5</v>
      </c>
      <c r="L1216" s="1">
        <f>DefaultValues!$C$4</f>
        <v>0.5</v>
      </c>
      <c r="M1216" s="1" t="str">
        <f>DefaultValues!$D$4</f>
        <v xml:space="preserve">- Within interchange - </v>
      </c>
      <c r="N1216" s="1">
        <v>781.362976</v>
      </c>
      <c r="O1216" s="1">
        <f>ABS(Table4[[#This Row],[EndMP]]-Table4[[#This Row],[StartMP]])</f>
        <v>0.47498999999999114</v>
      </c>
      <c r="P1216" s="1" t="str">
        <f>IF( AND( Table4[[#This Row],[Route]]=ClosureLocation!$B$3, ClosureLocation!$B$6 &gt;= Table4[[#This Row],[StartMP]], ClosureLocation!$B$6 &lt;= Table4[[#This Row],[EndMP]]), "Yes", "")</f>
        <v/>
      </c>
      <c r="Q1216" s="1" t="str">
        <f>IF( AND( Table4[[#This Row],[Route]]=ClosureLocation!$B$3, ClosureLocation!$B$6 &lt;= Table4[[#This Row],[StartMP]], ClosureLocation!$B$6 &gt;= Table4[[#This Row],[EndMP]]), "Yes", "")</f>
        <v/>
      </c>
      <c r="R1216" s="1" t="str">
        <f>IF( OR( Table4[[#This Row],[PrimaryMatch]]="Yes", Table4[[#This Row],[SecondaryMatch]]="Yes"), "Yes", "")</f>
        <v/>
      </c>
    </row>
    <row r="1217" spans="1:18" hidden="1" x14ac:dyDescent="0.25">
      <c r="A1217" t="s">
        <v>310</v>
      </c>
      <c r="B1217" t="s">
        <v>3209</v>
      </c>
      <c r="C1217" t="s">
        <v>3210</v>
      </c>
      <c r="D1217" t="s">
        <v>3444</v>
      </c>
      <c r="E1217" s="1">
        <v>217.38000500000001</v>
      </c>
      <c r="F1217" s="1">
        <v>215.774002</v>
      </c>
      <c r="K1217" s="39">
        <f>DefaultValues!$B$4</f>
        <v>5</v>
      </c>
      <c r="L1217" s="1">
        <f>DefaultValues!$C$4</f>
        <v>0.5</v>
      </c>
      <c r="M1217" s="1" t="str">
        <f>DefaultValues!$D$4</f>
        <v xml:space="preserve">- Within interchange - </v>
      </c>
      <c r="N1217" s="1">
        <v>782.61999500000002</v>
      </c>
      <c r="O1217" s="1">
        <f>ABS(Table4[[#This Row],[EndMP]]-Table4[[#This Row],[StartMP]])</f>
        <v>1.6060030000000154</v>
      </c>
      <c r="P1217" s="1" t="str">
        <f>IF( AND( Table4[[#This Row],[Route]]=ClosureLocation!$B$3, ClosureLocation!$B$6 &gt;= Table4[[#This Row],[StartMP]], ClosureLocation!$B$6 &lt;= Table4[[#This Row],[EndMP]]), "Yes", "")</f>
        <v/>
      </c>
      <c r="Q1217" s="1" t="str">
        <f>IF( AND( Table4[[#This Row],[Route]]=ClosureLocation!$B$3, ClosureLocation!$B$6 &lt;= Table4[[#This Row],[StartMP]], ClosureLocation!$B$6 &gt;= Table4[[#This Row],[EndMP]]), "Yes", "")</f>
        <v/>
      </c>
      <c r="R1217" s="1" t="str">
        <f>IF( OR( Table4[[#This Row],[PrimaryMatch]]="Yes", Table4[[#This Row],[SecondaryMatch]]="Yes"), "Yes", "")</f>
        <v/>
      </c>
    </row>
    <row r="1218" spans="1:18" hidden="1" x14ac:dyDescent="0.25">
      <c r="A1218" t="s">
        <v>310</v>
      </c>
      <c r="B1218" t="s">
        <v>3209</v>
      </c>
      <c r="C1218" t="s">
        <v>3210</v>
      </c>
      <c r="D1218" t="s">
        <v>3444</v>
      </c>
      <c r="E1218" s="1">
        <v>215.49499499999999</v>
      </c>
      <c r="F1218" s="1">
        <v>214.94399999999999</v>
      </c>
      <c r="K1218" s="39">
        <f>DefaultValues!$B$4</f>
        <v>5</v>
      </c>
      <c r="L1218" s="1">
        <f>DefaultValues!$C$4</f>
        <v>0.5</v>
      </c>
      <c r="M1218" s="1" t="str">
        <f>DefaultValues!$D$4</f>
        <v xml:space="preserve">- Within interchange - </v>
      </c>
      <c r="N1218" s="1">
        <v>784.50500499999998</v>
      </c>
      <c r="O1218" s="1">
        <f>ABS(Table4[[#This Row],[EndMP]]-Table4[[#This Row],[StartMP]])</f>
        <v>0.55099500000000035</v>
      </c>
      <c r="P1218" s="1" t="str">
        <f>IF( AND( Table4[[#This Row],[Route]]=ClosureLocation!$B$3, ClosureLocation!$B$6 &gt;= Table4[[#This Row],[StartMP]], ClosureLocation!$B$6 &lt;= Table4[[#This Row],[EndMP]]), "Yes", "")</f>
        <v/>
      </c>
      <c r="Q1218" s="1" t="str">
        <f>IF( AND( Table4[[#This Row],[Route]]=ClosureLocation!$B$3, ClosureLocation!$B$6 &lt;= Table4[[#This Row],[StartMP]], ClosureLocation!$B$6 &gt;= Table4[[#This Row],[EndMP]]), "Yes", "")</f>
        <v/>
      </c>
      <c r="R1218" s="1" t="str">
        <f>IF( OR( Table4[[#This Row],[PrimaryMatch]]="Yes", Table4[[#This Row],[SecondaryMatch]]="Yes"), "Yes", "")</f>
        <v/>
      </c>
    </row>
    <row r="1219" spans="1:18" hidden="1" x14ac:dyDescent="0.25">
      <c r="A1219" t="s">
        <v>310</v>
      </c>
      <c r="B1219" t="s">
        <v>3209</v>
      </c>
      <c r="C1219" t="s">
        <v>3210</v>
      </c>
      <c r="D1219" t="s">
        <v>3444</v>
      </c>
      <c r="E1219" s="1">
        <v>214.22200000000001</v>
      </c>
      <c r="F1219" s="1">
        <v>212.81899999999999</v>
      </c>
      <c r="K1219" s="39">
        <f>DefaultValues!$B$4</f>
        <v>5</v>
      </c>
      <c r="L1219" s="1">
        <f>DefaultValues!$C$4</f>
        <v>0.5</v>
      </c>
      <c r="M1219" s="1" t="str">
        <f>DefaultValues!$D$4</f>
        <v xml:space="preserve">- Within interchange - </v>
      </c>
      <c r="N1219" s="1">
        <v>785.77801499999998</v>
      </c>
      <c r="O1219" s="1">
        <f>ABS(Table4[[#This Row],[EndMP]]-Table4[[#This Row],[StartMP]])</f>
        <v>1.40300000000002</v>
      </c>
      <c r="P1219" s="1" t="str">
        <f>IF( AND( Table4[[#This Row],[Route]]=ClosureLocation!$B$3, ClosureLocation!$B$6 &gt;= Table4[[#This Row],[StartMP]], ClosureLocation!$B$6 &lt;= Table4[[#This Row],[EndMP]]), "Yes", "")</f>
        <v/>
      </c>
      <c r="Q1219" s="1" t="str">
        <f>IF( AND( Table4[[#This Row],[Route]]=ClosureLocation!$B$3, ClosureLocation!$B$6 &lt;= Table4[[#This Row],[StartMP]], ClosureLocation!$B$6 &gt;= Table4[[#This Row],[EndMP]]), "Yes", "")</f>
        <v/>
      </c>
      <c r="R1219" s="1" t="str">
        <f>IF( OR( Table4[[#This Row],[PrimaryMatch]]="Yes", Table4[[#This Row],[SecondaryMatch]]="Yes"), "Yes", "")</f>
        <v/>
      </c>
    </row>
    <row r="1220" spans="1:18" hidden="1" x14ac:dyDescent="0.25">
      <c r="A1220" t="s">
        <v>310</v>
      </c>
      <c r="B1220" t="s">
        <v>3209</v>
      </c>
      <c r="C1220" t="s">
        <v>3210</v>
      </c>
      <c r="D1220" t="s">
        <v>3444</v>
      </c>
      <c r="E1220" s="1">
        <v>212.354996</v>
      </c>
      <c r="F1220" s="1">
        <v>211.770004</v>
      </c>
      <c r="K1220" s="39">
        <f>DefaultValues!$B$4</f>
        <v>5</v>
      </c>
      <c r="L1220" s="1">
        <f>DefaultValues!$C$4</f>
        <v>0.5</v>
      </c>
      <c r="M1220" s="1" t="str">
        <f>DefaultValues!$D$4</f>
        <v xml:space="preserve">- Within interchange - </v>
      </c>
      <c r="N1220" s="1">
        <v>787.64502000000005</v>
      </c>
      <c r="O1220" s="1">
        <f>ABS(Table4[[#This Row],[EndMP]]-Table4[[#This Row],[StartMP]])</f>
        <v>0.58499199999999973</v>
      </c>
      <c r="P1220" s="1" t="str">
        <f>IF( AND( Table4[[#This Row],[Route]]=ClosureLocation!$B$3, ClosureLocation!$B$6 &gt;= Table4[[#This Row],[StartMP]], ClosureLocation!$B$6 &lt;= Table4[[#This Row],[EndMP]]), "Yes", "")</f>
        <v/>
      </c>
      <c r="Q1220" s="1" t="str">
        <f>IF( AND( Table4[[#This Row],[Route]]=ClosureLocation!$B$3, ClosureLocation!$B$6 &lt;= Table4[[#This Row],[StartMP]], ClosureLocation!$B$6 &gt;= Table4[[#This Row],[EndMP]]), "Yes", "")</f>
        <v/>
      </c>
      <c r="R1220" s="1" t="str">
        <f>IF( OR( Table4[[#This Row],[PrimaryMatch]]="Yes", Table4[[#This Row],[SecondaryMatch]]="Yes"), "Yes", "")</f>
        <v/>
      </c>
    </row>
    <row r="1221" spans="1:18" hidden="1" x14ac:dyDescent="0.25">
      <c r="A1221" t="s">
        <v>310</v>
      </c>
      <c r="B1221" t="s">
        <v>3209</v>
      </c>
      <c r="C1221" t="s">
        <v>3210</v>
      </c>
      <c r="D1221" t="s">
        <v>3444</v>
      </c>
      <c r="E1221" s="1">
        <v>211.60299699999999</v>
      </c>
      <c r="F1221" s="1">
        <v>210.669006</v>
      </c>
      <c r="K1221" s="39">
        <f>DefaultValues!$B$4</f>
        <v>5</v>
      </c>
      <c r="L1221" s="1">
        <f>DefaultValues!$C$4</f>
        <v>0.5</v>
      </c>
      <c r="M1221" s="1" t="str">
        <f>DefaultValues!$D$4</f>
        <v xml:space="preserve">- Within interchange - </v>
      </c>
      <c r="N1221" s="1">
        <v>788.396973</v>
      </c>
      <c r="O1221" s="1">
        <f>ABS(Table4[[#This Row],[EndMP]]-Table4[[#This Row],[StartMP]])</f>
        <v>0.9339909999999918</v>
      </c>
      <c r="P1221" s="1" t="str">
        <f>IF( AND( Table4[[#This Row],[Route]]=ClosureLocation!$B$3, ClosureLocation!$B$6 &gt;= Table4[[#This Row],[StartMP]], ClosureLocation!$B$6 &lt;= Table4[[#This Row],[EndMP]]), "Yes", "")</f>
        <v/>
      </c>
      <c r="Q1221" s="1" t="str">
        <f>IF( AND( Table4[[#This Row],[Route]]=ClosureLocation!$B$3, ClosureLocation!$B$6 &lt;= Table4[[#This Row],[StartMP]], ClosureLocation!$B$6 &gt;= Table4[[#This Row],[EndMP]]), "Yes", "")</f>
        <v/>
      </c>
      <c r="R1221" s="1" t="str">
        <f>IF( OR( Table4[[#This Row],[PrimaryMatch]]="Yes", Table4[[#This Row],[SecondaryMatch]]="Yes"), "Yes", "")</f>
        <v/>
      </c>
    </row>
    <row r="1222" spans="1:18" hidden="1" x14ac:dyDescent="0.25">
      <c r="A1222" t="s">
        <v>310</v>
      </c>
      <c r="B1222" t="s">
        <v>3209</v>
      </c>
      <c r="C1222" t="s">
        <v>3210</v>
      </c>
      <c r="D1222" t="s">
        <v>3444</v>
      </c>
      <c r="E1222" s="1">
        <v>210.53199799999999</v>
      </c>
      <c r="F1222" s="1">
        <v>210.06199599999999</v>
      </c>
      <c r="K1222" s="39">
        <f>DefaultValues!$B$4</f>
        <v>5</v>
      </c>
      <c r="L1222" s="1">
        <f>DefaultValues!$C$4</f>
        <v>0.5</v>
      </c>
      <c r="M1222" s="1" t="str">
        <f>DefaultValues!$D$4</f>
        <v xml:space="preserve">- Within interchange - </v>
      </c>
      <c r="N1222" s="1">
        <v>789.46801800000003</v>
      </c>
      <c r="O1222" s="1">
        <f>ABS(Table4[[#This Row],[EndMP]]-Table4[[#This Row],[StartMP]])</f>
        <v>0.47000199999999381</v>
      </c>
      <c r="P1222" s="1" t="str">
        <f>IF( AND( Table4[[#This Row],[Route]]=ClosureLocation!$B$3, ClosureLocation!$B$6 &gt;= Table4[[#This Row],[StartMP]], ClosureLocation!$B$6 &lt;= Table4[[#This Row],[EndMP]]), "Yes", "")</f>
        <v/>
      </c>
      <c r="Q1222" s="1" t="str">
        <f>IF( AND( Table4[[#This Row],[Route]]=ClosureLocation!$B$3, ClosureLocation!$B$6 &lt;= Table4[[#This Row],[StartMP]], ClosureLocation!$B$6 &gt;= Table4[[#This Row],[EndMP]]), "Yes", "")</f>
        <v/>
      </c>
      <c r="R1222" s="1" t="str">
        <f>IF( OR( Table4[[#This Row],[PrimaryMatch]]="Yes", Table4[[#This Row],[SecondaryMatch]]="Yes"), "Yes", "")</f>
        <v/>
      </c>
    </row>
    <row r="1223" spans="1:18" hidden="1" x14ac:dyDescent="0.25">
      <c r="A1223" t="s">
        <v>310</v>
      </c>
      <c r="B1223" t="s">
        <v>3209</v>
      </c>
      <c r="C1223" t="s">
        <v>3210</v>
      </c>
      <c r="D1223" t="s">
        <v>3444</v>
      </c>
      <c r="E1223" s="1">
        <v>209.60200499999999</v>
      </c>
      <c r="F1223" s="1">
        <v>208.76800499999999</v>
      </c>
      <c r="K1223" s="39">
        <f>DefaultValues!$B$4</f>
        <v>5</v>
      </c>
      <c r="L1223" s="1">
        <f>DefaultValues!$C$4</f>
        <v>0.5</v>
      </c>
      <c r="M1223" s="1" t="str">
        <f>DefaultValues!$D$4</f>
        <v xml:space="preserve">- Within interchange - </v>
      </c>
      <c r="N1223" s="1">
        <v>790.39801</v>
      </c>
      <c r="O1223" s="1">
        <f>ABS(Table4[[#This Row],[EndMP]]-Table4[[#This Row],[StartMP]])</f>
        <v>0.83400000000000318</v>
      </c>
      <c r="P1223" s="1" t="str">
        <f>IF( AND( Table4[[#This Row],[Route]]=ClosureLocation!$B$3, ClosureLocation!$B$6 &gt;= Table4[[#This Row],[StartMP]], ClosureLocation!$B$6 &lt;= Table4[[#This Row],[EndMP]]), "Yes", "")</f>
        <v/>
      </c>
      <c r="Q1223" s="1" t="str">
        <f>IF( AND( Table4[[#This Row],[Route]]=ClosureLocation!$B$3, ClosureLocation!$B$6 &lt;= Table4[[#This Row],[StartMP]], ClosureLocation!$B$6 &gt;= Table4[[#This Row],[EndMP]]), "Yes", "")</f>
        <v/>
      </c>
      <c r="R1223" s="1" t="str">
        <f>IF( OR( Table4[[#This Row],[PrimaryMatch]]="Yes", Table4[[#This Row],[SecondaryMatch]]="Yes"), "Yes", "")</f>
        <v/>
      </c>
    </row>
    <row r="1224" spans="1:18" hidden="1" x14ac:dyDescent="0.25">
      <c r="A1224" t="s">
        <v>310</v>
      </c>
      <c r="B1224" t="s">
        <v>3209</v>
      </c>
      <c r="C1224" t="s">
        <v>3210</v>
      </c>
      <c r="D1224" t="s">
        <v>3444</v>
      </c>
      <c r="E1224" s="1">
        <v>208.220001</v>
      </c>
      <c r="F1224" s="1">
        <v>207.36099200000001</v>
      </c>
      <c r="K1224" s="39">
        <f>DefaultValues!$B$4</f>
        <v>5</v>
      </c>
      <c r="L1224" s="1">
        <f>DefaultValues!$C$4</f>
        <v>0.5</v>
      </c>
      <c r="M1224" s="1" t="str">
        <f>DefaultValues!$D$4</f>
        <v xml:space="preserve">- Within interchange - </v>
      </c>
      <c r="N1224" s="1">
        <v>791.78002900000001</v>
      </c>
      <c r="O1224" s="1">
        <f>ABS(Table4[[#This Row],[EndMP]]-Table4[[#This Row],[StartMP]])</f>
        <v>0.85900899999998614</v>
      </c>
      <c r="P1224" s="1" t="str">
        <f>IF( AND( Table4[[#This Row],[Route]]=ClosureLocation!$B$3, ClosureLocation!$B$6 &gt;= Table4[[#This Row],[StartMP]], ClosureLocation!$B$6 &lt;= Table4[[#This Row],[EndMP]]), "Yes", "")</f>
        <v/>
      </c>
      <c r="Q1224" s="1" t="str">
        <f>IF( AND( Table4[[#This Row],[Route]]=ClosureLocation!$B$3, ClosureLocation!$B$6 &lt;= Table4[[#This Row],[StartMP]], ClosureLocation!$B$6 &gt;= Table4[[#This Row],[EndMP]]), "Yes", "")</f>
        <v/>
      </c>
      <c r="R1224" s="1" t="str">
        <f>IF( OR( Table4[[#This Row],[PrimaryMatch]]="Yes", Table4[[#This Row],[SecondaryMatch]]="Yes"), "Yes", "")</f>
        <v/>
      </c>
    </row>
    <row r="1225" spans="1:18" hidden="1" x14ac:dyDescent="0.25">
      <c r="A1225" t="s">
        <v>310</v>
      </c>
      <c r="B1225" t="s">
        <v>3209</v>
      </c>
      <c r="C1225" t="s">
        <v>3210</v>
      </c>
      <c r="D1225" t="s">
        <v>3444</v>
      </c>
      <c r="E1225" s="1">
        <v>207.20799299999999</v>
      </c>
      <c r="F1225" s="1">
        <v>204.733002</v>
      </c>
      <c r="K1225" s="39">
        <f>DefaultValues!$B$4</f>
        <v>5</v>
      </c>
      <c r="L1225" s="1">
        <f>DefaultValues!$C$4</f>
        <v>0.5</v>
      </c>
      <c r="M1225" s="1" t="str">
        <f>DefaultValues!$D$4</f>
        <v xml:space="preserve">- Within interchange - </v>
      </c>
      <c r="N1225" s="1">
        <v>792.79199200000005</v>
      </c>
      <c r="O1225" s="1">
        <f>ABS(Table4[[#This Row],[EndMP]]-Table4[[#This Row],[StartMP]])</f>
        <v>2.4749909999999886</v>
      </c>
      <c r="P1225" s="1" t="str">
        <f>IF( AND( Table4[[#This Row],[Route]]=ClosureLocation!$B$3, ClosureLocation!$B$6 &gt;= Table4[[#This Row],[StartMP]], ClosureLocation!$B$6 &lt;= Table4[[#This Row],[EndMP]]), "Yes", "")</f>
        <v/>
      </c>
      <c r="Q1225" s="1" t="str">
        <f>IF( AND( Table4[[#This Row],[Route]]=ClosureLocation!$B$3, ClosureLocation!$B$6 &lt;= Table4[[#This Row],[StartMP]], ClosureLocation!$B$6 &gt;= Table4[[#This Row],[EndMP]]), "Yes", "")</f>
        <v/>
      </c>
      <c r="R1225" s="1" t="str">
        <f>IF( OR( Table4[[#This Row],[PrimaryMatch]]="Yes", Table4[[#This Row],[SecondaryMatch]]="Yes"), "Yes", "")</f>
        <v/>
      </c>
    </row>
    <row r="1226" spans="1:18" hidden="1" x14ac:dyDescent="0.25">
      <c r="A1226" t="s">
        <v>310</v>
      </c>
      <c r="B1226" t="s">
        <v>3209</v>
      </c>
      <c r="C1226" t="s">
        <v>3210</v>
      </c>
      <c r="D1226" t="s">
        <v>3444</v>
      </c>
      <c r="E1226" s="1">
        <v>204.35699500000001</v>
      </c>
      <c r="F1226" s="1">
        <v>203.22500600000001</v>
      </c>
      <c r="K1226" s="39">
        <f>DefaultValues!$B$4</f>
        <v>5</v>
      </c>
      <c r="L1226" s="1">
        <f>DefaultValues!$C$4</f>
        <v>0.5</v>
      </c>
      <c r="M1226" s="1" t="str">
        <f>DefaultValues!$D$4</f>
        <v xml:space="preserve">- Within interchange - </v>
      </c>
      <c r="N1226" s="1">
        <v>795.64300500000002</v>
      </c>
      <c r="O1226" s="1">
        <f>ABS(Table4[[#This Row],[EndMP]]-Table4[[#This Row],[StartMP]])</f>
        <v>1.1319890000000044</v>
      </c>
      <c r="P1226" s="1" t="str">
        <f>IF( AND( Table4[[#This Row],[Route]]=ClosureLocation!$B$3, ClosureLocation!$B$6 &gt;= Table4[[#This Row],[StartMP]], ClosureLocation!$B$6 &lt;= Table4[[#This Row],[EndMP]]), "Yes", "")</f>
        <v/>
      </c>
      <c r="Q1226" s="1" t="str">
        <f>IF( AND( Table4[[#This Row],[Route]]=ClosureLocation!$B$3, ClosureLocation!$B$6 &lt;= Table4[[#This Row],[StartMP]], ClosureLocation!$B$6 &gt;= Table4[[#This Row],[EndMP]]), "Yes", "")</f>
        <v/>
      </c>
      <c r="R1226" s="1" t="str">
        <f>IF( OR( Table4[[#This Row],[PrimaryMatch]]="Yes", Table4[[#This Row],[SecondaryMatch]]="Yes"), "Yes", "")</f>
        <v/>
      </c>
    </row>
    <row r="1227" spans="1:18" hidden="1" x14ac:dyDescent="0.25">
      <c r="A1227" t="s">
        <v>310</v>
      </c>
      <c r="B1227" t="s">
        <v>3209</v>
      </c>
      <c r="C1227" t="s">
        <v>3210</v>
      </c>
      <c r="D1227" t="s">
        <v>3444</v>
      </c>
      <c r="E1227" s="1">
        <v>202.97700499999999</v>
      </c>
      <c r="F1227" s="1">
        <v>202.39799500000001</v>
      </c>
      <c r="K1227" s="39">
        <f>DefaultValues!$B$4</f>
        <v>5</v>
      </c>
      <c r="L1227" s="1">
        <f>DefaultValues!$C$4</f>
        <v>0.5</v>
      </c>
      <c r="M1227" s="1" t="str">
        <f>DefaultValues!$D$4</f>
        <v xml:space="preserve">- Within interchange - </v>
      </c>
      <c r="N1227" s="1">
        <v>797.02301</v>
      </c>
      <c r="O1227" s="1">
        <f>ABS(Table4[[#This Row],[EndMP]]-Table4[[#This Row],[StartMP]])</f>
        <v>0.57900999999998248</v>
      </c>
      <c r="P1227" s="1" t="str">
        <f>IF( AND( Table4[[#This Row],[Route]]=ClosureLocation!$B$3, ClosureLocation!$B$6 &gt;= Table4[[#This Row],[StartMP]], ClosureLocation!$B$6 &lt;= Table4[[#This Row],[EndMP]]), "Yes", "")</f>
        <v/>
      </c>
      <c r="Q1227" s="1" t="str">
        <f>IF( AND( Table4[[#This Row],[Route]]=ClosureLocation!$B$3, ClosureLocation!$B$6 &lt;= Table4[[#This Row],[StartMP]], ClosureLocation!$B$6 &gt;= Table4[[#This Row],[EndMP]]), "Yes", "")</f>
        <v/>
      </c>
      <c r="R1227" s="1" t="str">
        <f>IF( OR( Table4[[#This Row],[PrimaryMatch]]="Yes", Table4[[#This Row],[SecondaryMatch]]="Yes"), "Yes", "")</f>
        <v/>
      </c>
    </row>
    <row r="1228" spans="1:18" hidden="1" x14ac:dyDescent="0.25">
      <c r="A1228" t="s">
        <v>310</v>
      </c>
      <c r="B1228" t="s">
        <v>3209</v>
      </c>
      <c r="C1228" t="s">
        <v>3210</v>
      </c>
      <c r="D1228" t="s">
        <v>3444</v>
      </c>
      <c r="E1228" s="1">
        <v>201.96800200000001</v>
      </c>
      <c r="F1228" s="1">
        <v>201.26899700000001</v>
      </c>
      <c r="K1228" s="39">
        <f>DefaultValues!$B$4</f>
        <v>5</v>
      </c>
      <c r="L1228" s="1">
        <f>DefaultValues!$C$4</f>
        <v>0.5</v>
      </c>
      <c r="M1228" s="1" t="str">
        <f>DefaultValues!$D$4</f>
        <v xml:space="preserve">- Within interchange - </v>
      </c>
      <c r="N1228" s="1">
        <v>798.03198199999997</v>
      </c>
      <c r="O1228" s="1">
        <f>ABS(Table4[[#This Row],[EndMP]]-Table4[[#This Row],[StartMP]])</f>
        <v>0.69900499999999965</v>
      </c>
      <c r="P1228" s="1" t="str">
        <f>IF( AND( Table4[[#This Row],[Route]]=ClosureLocation!$B$3, ClosureLocation!$B$6 &gt;= Table4[[#This Row],[StartMP]], ClosureLocation!$B$6 &lt;= Table4[[#This Row],[EndMP]]), "Yes", "")</f>
        <v/>
      </c>
      <c r="Q1228" s="1" t="str">
        <f>IF( AND( Table4[[#This Row],[Route]]=ClosureLocation!$B$3, ClosureLocation!$B$6 &lt;= Table4[[#This Row],[StartMP]], ClosureLocation!$B$6 &gt;= Table4[[#This Row],[EndMP]]), "Yes", "")</f>
        <v/>
      </c>
      <c r="R1228" s="1" t="str">
        <f>IF( OR( Table4[[#This Row],[PrimaryMatch]]="Yes", Table4[[#This Row],[SecondaryMatch]]="Yes"), "Yes", "")</f>
        <v/>
      </c>
    </row>
    <row r="1229" spans="1:18" hidden="1" x14ac:dyDescent="0.25">
      <c r="A1229" t="s">
        <v>310</v>
      </c>
      <c r="B1229" t="s">
        <v>3209</v>
      </c>
      <c r="C1229" t="s">
        <v>3210</v>
      </c>
      <c r="D1229" t="s">
        <v>3444</v>
      </c>
      <c r="E1229" s="1">
        <v>200.60000600000001</v>
      </c>
      <c r="F1229" s="1">
        <v>199.08200099999999</v>
      </c>
      <c r="K1229" s="39">
        <f>DefaultValues!$B$4</f>
        <v>5</v>
      </c>
      <c r="L1229" s="1">
        <f>DefaultValues!$C$4</f>
        <v>0.5</v>
      </c>
      <c r="M1229" s="1" t="str">
        <f>DefaultValues!$D$4</f>
        <v xml:space="preserve">- Within interchange - </v>
      </c>
      <c r="N1229" s="1">
        <v>799.40002400000003</v>
      </c>
      <c r="O1229" s="1">
        <f>ABS(Table4[[#This Row],[EndMP]]-Table4[[#This Row],[StartMP]])</f>
        <v>1.5180050000000165</v>
      </c>
      <c r="P1229" s="1" t="str">
        <f>IF( AND( Table4[[#This Row],[Route]]=ClosureLocation!$B$3, ClosureLocation!$B$6 &gt;= Table4[[#This Row],[StartMP]], ClosureLocation!$B$6 &lt;= Table4[[#This Row],[EndMP]]), "Yes", "")</f>
        <v/>
      </c>
      <c r="Q1229" s="1" t="str">
        <f>IF( AND( Table4[[#This Row],[Route]]=ClosureLocation!$B$3, ClosureLocation!$B$6 &lt;= Table4[[#This Row],[StartMP]], ClosureLocation!$B$6 &gt;= Table4[[#This Row],[EndMP]]), "Yes", "")</f>
        <v/>
      </c>
      <c r="R1229" s="1" t="str">
        <f>IF( OR( Table4[[#This Row],[PrimaryMatch]]="Yes", Table4[[#This Row],[SecondaryMatch]]="Yes"), "Yes", "")</f>
        <v/>
      </c>
    </row>
    <row r="1230" spans="1:18" hidden="1" x14ac:dyDescent="0.25">
      <c r="A1230" t="s">
        <v>310</v>
      </c>
      <c r="B1230" t="s">
        <v>3209</v>
      </c>
      <c r="C1230" t="s">
        <v>3210</v>
      </c>
      <c r="D1230" t="s">
        <v>3444</v>
      </c>
      <c r="E1230" s="1">
        <v>198.62699900000001</v>
      </c>
      <c r="F1230" s="1">
        <v>198.11000100000001</v>
      </c>
      <c r="K1230" s="39">
        <f>DefaultValues!$B$4</f>
        <v>5</v>
      </c>
      <c r="L1230" s="1">
        <f>DefaultValues!$C$4</f>
        <v>0.5</v>
      </c>
      <c r="M1230" s="1" t="str">
        <f>DefaultValues!$D$4</f>
        <v xml:space="preserve">- Within interchange - </v>
      </c>
      <c r="N1230" s="1">
        <v>801.37298599999997</v>
      </c>
      <c r="O1230" s="1">
        <f>ABS(Table4[[#This Row],[EndMP]]-Table4[[#This Row],[StartMP]])</f>
        <v>0.51699800000000096</v>
      </c>
      <c r="P1230" s="1" t="str">
        <f>IF( AND( Table4[[#This Row],[Route]]=ClosureLocation!$B$3, ClosureLocation!$B$6 &gt;= Table4[[#This Row],[StartMP]], ClosureLocation!$B$6 &lt;= Table4[[#This Row],[EndMP]]), "Yes", "")</f>
        <v/>
      </c>
      <c r="Q1230" s="1" t="str">
        <f>IF( AND( Table4[[#This Row],[Route]]=ClosureLocation!$B$3, ClosureLocation!$B$6 &lt;= Table4[[#This Row],[StartMP]], ClosureLocation!$B$6 &gt;= Table4[[#This Row],[EndMP]]), "Yes", "")</f>
        <v/>
      </c>
      <c r="R1230" s="1" t="str">
        <f>IF( OR( Table4[[#This Row],[PrimaryMatch]]="Yes", Table4[[#This Row],[SecondaryMatch]]="Yes"), "Yes", "")</f>
        <v/>
      </c>
    </row>
    <row r="1231" spans="1:18" hidden="1" x14ac:dyDescent="0.25">
      <c r="A1231" t="s">
        <v>310</v>
      </c>
      <c r="B1231" t="s">
        <v>3209</v>
      </c>
      <c r="C1231" t="s">
        <v>3210</v>
      </c>
      <c r="D1231" t="s">
        <v>3444</v>
      </c>
      <c r="E1231" s="1">
        <v>197.40400700000001</v>
      </c>
      <c r="F1231" s="1">
        <v>197</v>
      </c>
      <c r="K1231" s="39">
        <f>DefaultValues!$B$4</f>
        <v>5</v>
      </c>
      <c r="L1231" s="1">
        <f>DefaultValues!$C$4</f>
        <v>0.5</v>
      </c>
      <c r="M1231" s="1" t="str">
        <f>DefaultValues!$D$4</f>
        <v xml:space="preserve">- Within interchange - </v>
      </c>
      <c r="N1231" s="1">
        <v>802.59600799999998</v>
      </c>
      <c r="O1231" s="1">
        <f>ABS(Table4[[#This Row],[EndMP]]-Table4[[#This Row],[StartMP]])</f>
        <v>0.40400700000000711</v>
      </c>
      <c r="P1231" s="1" t="str">
        <f>IF( AND( Table4[[#This Row],[Route]]=ClosureLocation!$B$3, ClosureLocation!$B$6 &gt;= Table4[[#This Row],[StartMP]], ClosureLocation!$B$6 &lt;= Table4[[#This Row],[EndMP]]), "Yes", "")</f>
        <v/>
      </c>
      <c r="Q1231" s="1" t="str">
        <f>IF( AND( Table4[[#This Row],[Route]]=ClosureLocation!$B$3, ClosureLocation!$B$6 &lt;= Table4[[#This Row],[StartMP]], ClosureLocation!$B$6 &gt;= Table4[[#This Row],[EndMP]]), "Yes", "")</f>
        <v/>
      </c>
      <c r="R1231" s="1" t="str">
        <f>IF( OR( Table4[[#This Row],[PrimaryMatch]]="Yes", Table4[[#This Row],[SecondaryMatch]]="Yes"), "Yes", "")</f>
        <v/>
      </c>
    </row>
    <row r="1232" spans="1:18" hidden="1" x14ac:dyDescent="0.25">
      <c r="A1232" t="s">
        <v>310</v>
      </c>
      <c r="B1232" t="s">
        <v>3209</v>
      </c>
      <c r="C1232" t="s">
        <v>3210</v>
      </c>
      <c r="D1232" t="s">
        <v>3444</v>
      </c>
      <c r="E1232" s="1">
        <v>196.52200300000001</v>
      </c>
      <c r="F1232" s="1">
        <v>195.86099200000001</v>
      </c>
      <c r="K1232" s="39">
        <f>DefaultValues!$B$4</f>
        <v>5</v>
      </c>
      <c r="L1232" s="1">
        <f>DefaultValues!$C$4</f>
        <v>0.5</v>
      </c>
      <c r="M1232" s="1" t="str">
        <f>DefaultValues!$D$4</f>
        <v xml:space="preserve">- Within interchange - </v>
      </c>
      <c r="N1232" s="1">
        <v>803.478027</v>
      </c>
      <c r="O1232" s="1">
        <f>ABS(Table4[[#This Row],[EndMP]]-Table4[[#This Row],[StartMP]])</f>
        <v>0.66101100000000201</v>
      </c>
      <c r="P1232" s="1" t="str">
        <f>IF( AND( Table4[[#This Row],[Route]]=ClosureLocation!$B$3, ClosureLocation!$B$6 &gt;= Table4[[#This Row],[StartMP]], ClosureLocation!$B$6 &lt;= Table4[[#This Row],[EndMP]]), "Yes", "")</f>
        <v/>
      </c>
      <c r="Q1232" s="1" t="str">
        <f>IF( AND( Table4[[#This Row],[Route]]=ClosureLocation!$B$3, ClosureLocation!$B$6 &lt;= Table4[[#This Row],[StartMP]], ClosureLocation!$B$6 &gt;= Table4[[#This Row],[EndMP]]), "Yes", "")</f>
        <v/>
      </c>
      <c r="R1232" s="1" t="str">
        <f>IF( OR( Table4[[#This Row],[PrimaryMatch]]="Yes", Table4[[#This Row],[SecondaryMatch]]="Yes"), "Yes", "")</f>
        <v/>
      </c>
    </row>
    <row r="1233" spans="1:18" hidden="1" x14ac:dyDescent="0.25">
      <c r="A1233" t="s">
        <v>310</v>
      </c>
      <c r="B1233" t="s">
        <v>3209</v>
      </c>
      <c r="C1233" t="s">
        <v>3210</v>
      </c>
      <c r="D1233" t="s">
        <v>3444</v>
      </c>
      <c r="E1233" s="1">
        <v>195.391006</v>
      </c>
      <c r="F1233" s="1">
        <v>193.820007</v>
      </c>
      <c r="K1233" s="39">
        <f>DefaultValues!$B$4</f>
        <v>5</v>
      </c>
      <c r="L1233" s="1">
        <f>DefaultValues!$C$4</f>
        <v>0.5</v>
      </c>
      <c r="M1233" s="1" t="str">
        <f>DefaultValues!$D$4</f>
        <v xml:space="preserve">- Within interchange - </v>
      </c>
      <c r="N1233" s="1">
        <v>804.60900900000001</v>
      </c>
      <c r="O1233" s="1">
        <f>ABS(Table4[[#This Row],[EndMP]]-Table4[[#This Row],[StartMP]])</f>
        <v>1.5709990000000005</v>
      </c>
      <c r="P1233" s="1" t="str">
        <f>IF( AND( Table4[[#This Row],[Route]]=ClosureLocation!$B$3, ClosureLocation!$B$6 &gt;= Table4[[#This Row],[StartMP]], ClosureLocation!$B$6 &lt;= Table4[[#This Row],[EndMP]]), "Yes", "")</f>
        <v/>
      </c>
      <c r="Q1233" s="1" t="str">
        <f>IF( AND( Table4[[#This Row],[Route]]=ClosureLocation!$B$3, ClosureLocation!$B$6 &lt;= Table4[[#This Row],[StartMP]], ClosureLocation!$B$6 &gt;= Table4[[#This Row],[EndMP]]), "Yes", "")</f>
        <v/>
      </c>
      <c r="R1233" s="1" t="str">
        <f>IF( OR( Table4[[#This Row],[PrimaryMatch]]="Yes", Table4[[#This Row],[SecondaryMatch]]="Yes"), "Yes", "")</f>
        <v/>
      </c>
    </row>
    <row r="1234" spans="1:18" hidden="1" x14ac:dyDescent="0.25">
      <c r="A1234" t="s">
        <v>310</v>
      </c>
      <c r="B1234" t="s">
        <v>3209</v>
      </c>
      <c r="C1234" t="s">
        <v>3210</v>
      </c>
      <c r="D1234" t="s">
        <v>3444</v>
      </c>
      <c r="E1234" s="1">
        <v>193.37300099999999</v>
      </c>
      <c r="F1234" s="1">
        <v>192.66999799999999</v>
      </c>
      <c r="K1234" s="39">
        <f>DefaultValues!$B$4</f>
        <v>5</v>
      </c>
      <c r="L1234" s="1">
        <f>DefaultValues!$C$4</f>
        <v>0.5</v>
      </c>
      <c r="M1234" s="1" t="str">
        <f>DefaultValues!$D$4</f>
        <v xml:space="preserve">- Within interchange - </v>
      </c>
      <c r="N1234" s="1">
        <v>806.62701400000003</v>
      </c>
      <c r="O1234" s="1">
        <f>ABS(Table4[[#This Row],[EndMP]]-Table4[[#This Row],[StartMP]])</f>
        <v>0.70300299999999538</v>
      </c>
      <c r="P1234" s="1" t="str">
        <f>IF( AND( Table4[[#This Row],[Route]]=ClosureLocation!$B$3, ClosureLocation!$B$6 &gt;= Table4[[#This Row],[StartMP]], ClosureLocation!$B$6 &lt;= Table4[[#This Row],[EndMP]]), "Yes", "")</f>
        <v/>
      </c>
      <c r="Q1234" s="1" t="str">
        <f>IF( AND( Table4[[#This Row],[Route]]=ClosureLocation!$B$3, ClosureLocation!$B$6 &lt;= Table4[[#This Row],[StartMP]], ClosureLocation!$B$6 &gt;= Table4[[#This Row],[EndMP]]), "Yes", "")</f>
        <v/>
      </c>
      <c r="R1234" s="1" t="str">
        <f>IF( OR( Table4[[#This Row],[PrimaryMatch]]="Yes", Table4[[#This Row],[SecondaryMatch]]="Yes"), "Yes", "")</f>
        <v/>
      </c>
    </row>
    <row r="1235" spans="1:18" hidden="1" x14ac:dyDescent="0.25">
      <c r="A1235" t="s">
        <v>310</v>
      </c>
      <c r="B1235" t="s">
        <v>3209</v>
      </c>
      <c r="C1235" t="s">
        <v>3210</v>
      </c>
      <c r="D1235" t="s">
        <v>3444</v>
      </c>
      <c r="E1235" s="1">
        <v>192.38400300000001</v>
      </c>
      <c r="F1235" s="1">
        <v>191.959</v>
      </c>
      <c r="K1235" s="39">
        <f>DefaultValues!$B$4</f>
        <v>5</v>
      </c>
      <c r="L1235" s="1">
        <f>DefaultValues!$C$4</f>
        <v>0.5</v>
      </c>
      <c r="M1235" s="1" t="str">
        <f>DefaultValues!$D$4</f>
        <v xml:space="preserve">- Within interchange - </v>
      </c>
      <c r="N1235" s="1">
        <v>807.61602800000003</v>
      </c>
      <c r="O1235" s="1">
        <f>ABS(Table4[[#This Row],[EndMP]]-Table4[[#This Row],[StartMP]])</f>
        <v>0.42500300000000379</v>
      </c>
      <c r="P1235" s="1" t="str">
        <f>IF( AND( Table4[[#This Row],[Route]]=ClosureLocation!$B$3, ClosureLocation!$B$6 &gt;= Table4[[#This Row],[StartMP]], ClosureLocation!$B$6 &lt;= Table4[[#This Row],[EndMP]]), "Yes", "")</f>
        <v/>
      </c>
      <c r="Q1235" s="1" t="str">
        <f>IF( AND( Table4[[#This Row],[Route]]=ClosureLocation!$B$3, ClosureLocation!$B$6 &lt;= Table4[[#This Row],[StartMP]], ClosureLocation!$B$6 &gt;= Table4[[#This Row],[EndMP]]), "Yes", "")</f>
        <v/>
      </c>
      <c r="R1235" s="1" t="str">
        <f>IF( OR( Table4[[#This Row],[PrimaryMatch]]="Yes", Table4[[#This Row],[SecondaryMatch]]="Yes"), "Yes", "")</f>
        <v/>
      </c>
    </row>
    <row r="1236" spans="1:18" hidden="1" x14ac:dyDescent="0.25">
      <c r="A1236" t="s">
        <v>310</v>
      </c>
      <c r="B1236" t="s">
        <v>3209</v>
      </c>
      <c r="C1236" t="s">
        <v>3210</v>
      </c>
      <c r="D1236" t="s">
        <v>3444</v>
      </c>
      <c r="E1236" s="1">
        <v>188.692001</v>
      </c>
      <c r="F1236" s="1">
        <v>188.259995</v>
      </c>
      <c r="K1236" s="39">
        <f>DefaultValues!$B$4</f>
        <v>5</v>
      </c>
      <c r="L1236" s="1">
        <f>DefaultValues!$C$4</f>
        <v>0.5</v>
      </c>
      <c r="M1236" s="1" t="str">
        <f>DefaultValues!$D$4</f>
        <v xml:space="preserve">- Within interchange - </v>
      </c>
      <c r="N1236" s="1">
        <v>811.30798300000004</v>
      </c>
      <c r="O1236" s="1">
        <f>ABS(Table4[[#This Row],[EndMP]]-Table4[[#This Row],[StartMP]])</f>
        <v>0.43200600000000122</v>
      </c>
      <c r="P1236" s="1" t="str">
        <f>IF( AND( Table4[[#This Row],[Route]]=ClosureLocation!$B$3, ClosureLocation!$B$6 &gt;= Table4[[#This Row],[StartMP]], ClosureLocation!$B$6 &lt;= Table4[[#This Row],[EndMP]]), "Yes", "")</f>
        <v/>
      </c>
      <c r="Q1236" s="1" t="str">
        <f>IF( AND( Table4[[#This Row],[Route]]=ClosureLocation!$B$3, ClosureLocation!$B$6 &lt;= Table4[[#This Row],[StartMP]], ClosureLocation!$B$6 &gt;= Table4[[#This Row],[EndMP]]), "Yes", "")</f>
        <v/>
      </c>
      <c r="R1236" s="1" t="str">
        <f>IF( OR( Table4[[#This Row],[PrimaryMatch]]="Yes", Table4[[#This Row],[SecondaryMatch]]="Yes"), "Yes", "")</f>
        <v/>
      </c>
    </row>
    <row r="1237" spans="1:18" hidden="1" x14ac:dyDescent="0.25">
      <c r="A1237" t="s">
        <v>310</v>
      </c>
      <c r="B1237" t="s">
        <v>3209</v>
      </c>
      <c r="C1237" t="s">
        <v>3210</v>
      </c>
      <c r="D1237" t="s">
        <v>3444</v>
      </c>
      <c r="E1237" s="1">
        <v>187.16700700000001</v>
      </c>
      <c r="F1237" s="1">
        <v>186.73100299999999</v>
      </c>
      <c r="K1237" s="39">
        <f>DefaultValues!$B$4</f>
        <v>5</v>
      </c>
      <c r="L1237" s="1">
        <f>DefaultValues!$C$4</f>
        <v>0.5</v>
      </c>
      <c r="M1237" s="1" t="str">
        <f>DefaultValues!$D$4</f>
        <v xml:space="preserve">- Within interchange - </v>
      </c>
      <c r="N1237" s="1">
        <v>812.83300799999995</v>
      </c>
      <c r="O1237" s="1">
        <f>ABS(Table4[[#This Row],[EndMP]]-Table4[[#This Row],[StartMP]])</f>
        <v>0.43600400000002537</v>
      </c>
      <c r="P1237" s="1" t="str">
        <f>IF( AND( Table4[[#This Row],[Route]]=ClosureLocation!$B$3, ClosureLocation!$B$6 &gt;= Table4[[#This Row],[StartMP]], ClosureLocation!$B$6 &lt;= Table4[[#This Row],[EndMP]]), "Yes", "")</f>
        <v/>
      </c>
      <c r="Q1237" s="1" t="str">
        <f>IF( AND( Table4[[#This Row],[Route]]=ClosureLocation!$B$3, ClosureLocation!$B$6 &lt;= Table4[[#This Row],[StartMP]], ClosureLocation!$B$6 &gt;= Table4[[#This Row],[EndMP]]), "Yes", "")</f>
        <v/>
      </c>
      <c r="R1237" s="1" t="str">
        <f>IF( OR( Table4[[#This Row],[PrimaryMatch]]="Yes", Table4[[#This Row],[SecondaryMatch]]="Yes"), "Yes", "")</f>
        <v/>
      </c>
    </row>
    <row r="1238" spans="1:18" hidden="1" x14ac:dyDescent="0.25">
      <c r="A1238" t="s">
        <v>310</v>
      </c>
      <c r="B1238" t="s">
        <v>3209</v>
      </c>
      <c r="C1238" t="s">
        <v>3210</v>
      </c>
      <c r="D1238" t="s">
        <v>3444</v>
      </c>
      <c r="E1238" s="1">
        <v>184.587997</v>
      </c>
      <c r="F1238" s="1">
        <v>184</v>
      </c>
      <c r="K1238" s="39">
        <f>DefaultValues!$B$4</f>
        <v>5</v>
      </c>
      <c r="L1238" s="1">
        <f>DefaultValues!$C$4</f>
        <v>0.5</v>
      </c>
      <c r="M1238" s="1" t="str">
        <f>DefaultValues!$D$4</f>
        <v xml:space="preserve">- Within interchange - </v>
      </c>
      <c r="N1238" s="1">
        <v>815.41198699999995</v>
      </c>
      <c r="O1238" s="1">
        <f>ABS(Table4[[#This Row],[EndMP]]-Table4[[#This Row],[StartMP]])</f>
        <v>0.58799700000000144</v>
      </c>
      <c r="P1238" s="1" t="str">
        <f>IF( AND( Table4[[#This Row],[Route]]=ClosureLocation!$B$3, ClosureLocation!$B$6 &gt;= Table4[[#This Row],[StartMP]], ClosureLocation!$B$6 &lt;= Table4[[#This Row],[EndMP]]), "Yes", "")</f>
        <v/>
      </c>
      <c r="Q1238" s="1" t="str">
        <f>IF( AND( Table4[[#This Row],[Route]]=ClosureLocation!$B$3, ClosureLocation!$B$6 &lt;= Table4[[#This Row],[StartMP]], ClosureLocation!$B$6 &gt;= Table4[[#This Row],[EndMP]]), "Yes", "")</f>
        <v/>
      </c>
      <c r="R1238" s="1" t="str">
        <f>IF( OR( Table4[[#This Row],[PrimaryMatch]]="Yes", Table4[[#This Row],[SecondaryMatch]]="Yes"), "Yes", "")</f>
        <v/>
      </c>
    </row>
    <row r="1239" spans="1:18" hidden="1" x14ac:dyDescent="0.25">
      <c r="A1239" t="s">
        <v>310</v>
      </c>
      <c r="B1239" t="s">
        <v>3209</v>
      </c>
      <c r="C1239" t="s">
        <v>3210</v>
      </c>
      <c r="D1239" t="s">
        <v>3444</v>
      </c>
      <c r="E1239" s="1">
        <v>182.04800399999999</v>
      </c>
      <c r="F1239" s="1">
        <v>181.71499600000001</v>
      </c>
      <c r="K1239" s="39">
        <f>DefaultValues!$B$4</f>
        <v>5</v>
      </c>
      <c r="L1239" s="1">
        <f>DefaultValues!$C$4</f>
        <v>0.5</v>
      </c>
      <c r="M1239" s="1" t="str">
        <f>DefaultValues!$D$4</f>
        <v xml:space="preserve">- Within interchange - </v>
      </c>
      <c r="N1239" s="1">
        <v>817.95202600000005</v>
      </c>
      <c r="O1239" s="1">
        <f>ABS(Table4[[#This Row],[EndMP]]-Table4[[#This Row],[StartMP]])</f>
        <v>0.33300799999997821</v>
      </c>
      <c r="P1239" s="1" t="str">
        <f>IF( AND( Table4[[#This Row],[Route]]=ClosureLocation!$B$3, ClosureLocation!$B$6 &gt;= Table4[[#This Row],[StartMP]], ClosureLocation!$B$6 &lt;= Table4[[#This Row],[EndMP]]), "Yes", "")</f>
        <v/>
      </c>
      <c r="Q1239" s="1" t="str">
        <f>IF( AND( Table4[[#This Row],[Route]]=ClosureLocation!$B$3, ClosureLocation!$B$6 &lt;= Table4[[#This Row],[StartMP]], ClosureLocation!$B$6 &gt;= Table4[[#This Row],[EndMP]]), "Yes", "")</f>
        <v/>
      </c>
      <c r="R1239" s="1" t="str">
        <f>IF( OR( Table4[[#This Row],[PrimaryMatch]]="Yes", Table4[[#This Row],[SecondaryMatch]]="Yes"), "Yes", "")</f>
        <v/>
      </c>
    </row>
    <row r="1240" spans="1:18" hidden="1" x14ac:dyDescent="0.25">
      <c r="A1240" t="s">
        <v>310</v>
      </c>
      <c r="B1240" t="s">
        <v>3209</v>
      </c>
      <c r="C1240" t="s">
        <v>3210</v>
      </c>
      <c r="D1240" t="s">
        <v>3444</v>
      </c>
      <c r="E1240" s="1">
        <v>181.18499800000001</v>
      </c>
      <c r="F1240" s="1">
        <v>180.537994</v>
      </c>
      <c r="K1240" s="39">
        <f>DefaultValues!$B$4</f>
        <v>5</v>
      </c>
      <c r="L1240" s="1">
        <f>DefaultValues!$C$4</f>
        <v>0.5</v>
      </c>
      <c r="M1240" s="1" t="str">
        <f>DefaultValues!$D$4</f>
        <v xml:space="preserve">- Within interchange - </v>
      </c>
      <c r="N1240" s="1">
        <v>818.81500200000005</v>
      </c>
      <c r="O1240" s="1">
        <f>ABS(Table4[[#This Row],[EndMP]]-Table4[[#This Row],[StartMP]])</f>
        <v>0.64700400000000968</v>
      </c>
      <c r="P1240" s="1" t="str">
        <f>IF( AND( Table4[[#This Row],[Route]]=ClosureLocation!$B$3, ClosureLocation!$B$6 &gt;= Table4[[#This Row],[StartMP]], ClosureLocation!$B$6 &lt;= Table4[[#This Row],[EndMP]]), "Yes", "")</f>
        <v/>
      </c>
      <c r="Q1240" s="1" t="str">
        <f>IF( AND( Table4[[#This Row],[Route]]=ClosureLocation!$B$3, ClosureLocation!$B$6 &lt;= Table4[[#This Row],[StartMP]], ClosureLocation!$B$6 &gt;= Table4[[#This Row],[EndMP]]), "Yes", "")</f>
        <v/>
      </c>
      <c r="R1240" s="1" t="str">
        <f>IF( OR( Table4[[#This Row],[PrimaryMatch]]="Yes", Table4[[#This Row],[SecondaryMatch]]="Yes"), "Yes", "")</f>
        <v/>
      </c>
    </row>
    <row r="1241" spans="1:18" hidden="1" x14ac:dyDescent="0.25">
      <c r="A1241" t="s">
        <v>310</v>
      </c>
      <c r="B1241" t="s">
        <v>3209</v>
      </c>
      <c r="C1241" t="s">
        <v>3210</v>
      </c>
      <c r="D1241" t="s">
        <v>3444</v>
      </c>
      <c r="E1241" s="1">
        <v>174</v>
      </c>
      <c r="F1241" s="1">
        <v>173.600998</v>
      </c>
      <c r="K1241" s="39">
        <f>DefaultValues!$B$4</f>
        <v>5</v>
      </c>
      <c r="L1241" s="1">
        <f>DefaultValues!$C$4</f>
        <v>0.5</v>
      </c>
      <c r="M1241" s="1" t="str">
        <f>DefaultValues!$D$4</f>
        <v xml:space="preserve">- Within interchange - </v>
      </c>
      <c r="N1241" s="1">
        <v>826</v>
      </c>
      <c r="O1241" s="1">
        <f>ABS(Table4[[#This Row],[EndMP]]-Table4[[#This Row],[StartMP]])</f>
        <v>0.39900199999999586</v>
      </c>
      <c r="P1241" s="1" t="str">
        <f>IF( AND( Table4[[#This Row],[Route]]=ClosureLocation!$B$3, ClosureLocation!$B$6 &gt;= Table4[[#This Row],[StartMP]], ClosureLocation!$B$6 &lt;= Table4[[#This Row],[EndMP]]), "Yes", "")</f>
        <v/>
      </c>
      <c r="Q1241" s="1" t="str">
        <f>IF( AND( Table4[[#This Row],[Route]]=ClosureLocation!$B$3, ClosureLocation!$B$6 &lt;= Table4[[#This Row],[StartMP]], ClosureLocation!$B$6 &gt;= Table4[[#This Row],[EndMP]]), "Yes", "")</f>
        <v/>
      </c>
      <c r="R1241" s="1" t="str">
        <f>IF( OR( Table4[[#This Row],[PrimaryMatch]]="Yes", Table4[[#This Row],[SecondaryMatch]]="Yes"), "Yes", "")</f>
        <v/>
      </c>
    </row>
    <row r="1242" spans="1:18" hidden="1" x14ac:dyDescent="0.25">
      <c r="A1242" t="s">
        <v>310</v>
      </c>
      <c r="B1242" t="s">
        <v>3209</v>
      </c>
      <c r="C1242" t="s">
        <v>3210</v>
      </c>
      <c r="D1242" t="s">
        <v>3444</v>
      </c>
      <c r="E1242" s="1">
        <v>171.96499600000001</v>
      </c>
      <c r="F1242" s="1">
        <v>171.70799299999999</v>
      </c>
      <c r="K1242" s="39">
        <f>DefaultValues!$B$4</f>
        <v>5</v>
      </c>
      <c r="L1242" s="1">
        <f>DefaultValues!$C$4</f>
        <v>0.5</v>
      </c>
      <c r="M1242" s="1" t="str">
        <f>DefaultValues!$D$4</f>
        <v xml:space="preserve">- Within interchange - </v>
      </c>
      <c r="N1242" s="1">
        <v>828.03497300000004</v>
      </c>
      <c r="O1242" s="1">
        <f>ABS(Table4[[#This Row],[EndMP]]-Table4[[#This Row],[StartMP]])</f>
        <v>0.25700300000002585</v>
      </c>
      <c r="P1242" s="1" t="str">
        <f>IF( AND( Table4[[#This Row],[Route]]=ClosureLocation!$B$3, ClosureLocation!$B$6 &gt;= Table4[[#This Row],[StartMP]], ClosureLocation!$B$6 &lt;= Table4[[#This Row],[EndMP]]), "Yes", "")</f>
        <v/>
      </c>
      <c r="Q1242" s="1" t="str">
        <f>IF( AND( Table4[[#This Row],[Route]]=ClosureLocation!$B$3, ClosureLocation!$B$6 &lt;= Table4[[#This Row],[StartMP]], ClosureLocation!$B$6 &gt;= Table4[[#This Row],[EndMP]]), "Yes", "")</f>
        <v/>
      </c>
      <c r="R1242" s="1" t="str">
        <f>IF( OR( Table4[[#This Row],[PrimaryMatch]]="Yes", Table4[[#This Row],[SecondaryMatch]]="Yes"), "Yes", "")</f>
        <v/>
      </c>
    </row>
    <row r="1243" spans="1:18" hidden="1" x14ac:dyDescent="0.25">
      <c r="A1243" t="s">
        <v>310</v>
      </c>
      <c r="B1243" t="s">
        <v>3209</v>
      </c>
      <c r="C1243" t="s">
        <v>3210</v>
      </c>
      <c r="D1243" t="s">
        <v>3444</v>
      </c>
      <c r="E1243" s="1">
        <v>167.58999600000001</v>
      </c>
      <c r="F1243" s="1">
        <v>167.404999</v>
      </c>
      <c r="K1243" s="39">
        <f>DefaultValues!$B$4</f>
        <v>5</v>
      </c>
      <c r="L1243" s="1">
        <f>DefaultValues!$C$4</f>
        <v>0.5</v>
      </c>
      <c r="M1243" s="1" t="str">
        <f>DefaultValues!$D$4</f>
        <v xml:space="preserve">- Within interchange - </v>
      </c>
      <c r="N1243" s="1">
        <v>832.40997300000004</v>
      </c>
      <c r="O1243" s="1">
        <f>ABS(Table4[[#This Row],[EndMP]]-Table4[[#This Row],[StartMP]])</f>
        <v>0.18499700000000985</v>
      </c>
      <c r="P1243" s="1" t="str">
        <f>IF( AND( Table4[[#This Row],[Route]]=ClosureLocation!$B$3, ClosureLocation!$B$6 &gt;= Table4[[#This Row],[StartMP]], ClosureLocation!$B$6 &lt;= Table4[[#This Row],[EndMP]]), "Yes", "")</f>
        <v/>
      </c>
      <c r="Q1243" s="1" t="str">
        <f>IF( AND( Table4[[#This Row],[Route]]=ClosureLocation!$B$3, ClosureLocation!$B$6 &lt;= Table4[[#This Row],[StartMP]], ClosureLocation!$B$6 &gt;= Table4[[#This Row],[EndMP]]), "Yes", "")</f>
        <v/>
      </c>
      <c r="R1243" s="1" t="str">
        <f>IF( OR( Table4[[#This Row],[PrimaryMatch]]="Yes", Table4[[#This Row],[SecondaryMatch]]="Yes"), "Yes", "")</f>
        <v/>
      </c>
    </row>
    <row r="1244" spans="1:18" hidden="1" x14ac:dyDescent="0.25">
      <c r="A1244" t="s">
        <v>310</v>
      </c>
      <c r="B1244" t="s">
        <v>3209</v>
      </c>
      <c r="C1244" t="s">
        <v>3210</v>
      </c>
      <c r="D1244" t="s">
        <v>3444</v>
      </c>
      <c r="E1244" s="1">
        <v>163.49099699999999</v>
      </c>
      <c r="F1244" s="1">
        <v>163.16999799999999</v>
      </c>
      <c r="K1244" s="39">
        <f>DefaultValues!$B$4</f>
        <v>5</v>
      </c>
      <c r="L1244" s="1">
        <f>DefaultValues!$C$4</f>
        <v>0.5</v>
      </c>
      <c r="M1244" s="1" t="str">
        <f>DefaultValues!$D$4</f>
        <v xml:space="preserve">- Within interchange - </v>
      </c>
      <c r="N1244" s="1">
        <v>836.50897199999997</v>
      </c>
      <c r="O1244" s="1">
        <f>ABS(Table4[[#This Row],[EndMP]]-Table4[[#This Row],[StartMP]])</f>
        <v>0.32099900000000048</v>
      </c>
      <c r="P1244" s="1" t="str">
        <f>IF( AND( Table4[[#This Row],[Route]]=ClosureLocation!$B$3, ClosureLocation!$B$6 &gt;= Table4[[#This Row],[StartMP]], ClosureLocation!$B$6 &lt;= Table4[[#This Row],[EndMP]]), "Yes", "")</f>
        <v/>
      </c>
      <c r="Q1244" s="1" t="str">
        <f>IF( AND( Table4[[#This Row],[Route]]=ClosureLocation!$B$3, ClosureLocation!$B$6 &lt;= Table4[[#This Row],[StartMP]], ClosureLocation!$B$6 &gt;= Table4[[#This Row],[EndMP]]), "Yes", "")</f>
        <v/>
      </c>
      <c r="R1244" s="1" t="str">
        <f>IF( OR( Table4[[#This Row],[PrimaryMatch]]="Yes", Table4[[#This Row],[SecondaryMatch]]="Yes"), "Yes", "")</f>
        <v/>
      </c>
    </row>
    <row r="1245" spans="1:18" hidden="1" x14ac:dyDescent="0.25">
      <c r="A1245" t="s">
        <v>310</v>
      </c>
      <c r="B1245" t="s">
        <v>3209</v>
      </c>
      <c r="C1245" t="s">
        <v>3210</v>
      </c>
      <c r="D1245" t="s">
        <v>3444</v>
      </c>
      <c r="E1245" s="1">
        <v>160.5</v>
      </c>
      <c r="F1245" s="1">
        <v>160.154999</v>
      </c>
      <c r="K1245" s="39">
        <f>DefaultValues!$B$4</f>
        <v>5</v>
      </c>
      <c r="L1245" s="1">
        <f>DefaultValues!$C$4</f>
        <v>0.5</v>
      </c>
      <c r="M1245" s="1" t="str">
        <f>DefaultValues!$D$4</f>
        <v xml:space="preserve">- Within interchange - </v>
      </c>
      <c r="N1245" s="1">
        <v>839.5</v>
      </c>
      <c r="O1245" s="1">
        <f>ABS(Table4[[#This Row],[EndMP]]-Table4[[#This Row],[StartMP]])</f>
        <v>0.34500099999999634</v>
      </c>
      <c r="P1245" s="1" t="str">
        <f>IF( AND( Table4[[#This Row],[Route]]=ClosureLocation!$B$3, ClosureLocation!$B$6 &gt;= Table4[[#This Row],[StartMP]], ClosureLocation!$B$6 &lt;= Table4[[#This Row],[EndMP]]), "Yes", "")</f>
        <v/>
      </c>
      <c r="Q1245" s="1" t="str">
        <f>IF( AND( Table4[[#This Row],[Route]]=ClosureLocation!$B$3, ClosureLocation!$B$6 &lt;= Table4[[#This Row],[StartMP]], ClosureLocation!$B$6 &gt;= Table4[[#This Row],[EndMP]]), "Yes", "")</f>
        <v/>
      </c>
      <c r="R1245" s="1" t="str">
        <f>IF( OR( Table4[[#This Row],[PrimaryMatch]]="Yes", Table4[[#This Row],[SecondaryMatch]]="Yes"), "Yes", "")</f>
        <v/>
      </c>
    </row>
    <row r="1246" spans="1:18" hidden="1" x14ac:dyDescent="0.25">
      <c r="A1246" t="s">
        <v>310</v>
      </c>
      <c r="B1246" t="s">
        <v>3209</v>
      </c>
      <c r="C1246" t="s">
        <v>3210</v>
      </c>
      <c r="D1246" t="s">
        <v>3444</v>
      </c>
      <c r="E1246" s="1">
        <v>158.287994</v>
      </c>
      <c r="F1246" s="1">
        <v>158.01899700000001</v>
      </c>
      <c r="K1246" s="39">
        <f>DefaultValues!$B$4</f>
        <v>5</v>
      </c>
      <c r="L1246" s="1">
        <f>DefaultValues!$C$4</f>
        <v>0.5</v>
      </c>
      <c r="M1246" s="1" t="str">
        <f>DefaultValues!$D$4</f>
        <v xml:space="preserve">- Within interchange - </v>
      </c>
      <c r="N1246" s="1">
        <v>841.71197500000005</v>
      </c>
      <c r="O1246" s="1">
        <f>ABS(Table4[[#This Row],[EndMP]]-Table4[[#This Row],[StartMP]])</f>
        <v>0.26899699999998461</v>
      </c>
      <c r="P1246" s="1" t="str">
        <f>IF( AND( Table4[[#This Row],[Route]]=ClosureLocation!$B$3, ClosureLocation!$B$6 &gt;= Table4[[#This Row],[StartMP]], ClosureLocation!$B$6 &lt;= Table4[[#This Row],[EndMP]]), "Yes", "")</f>
        <v/>
      </c>
      <c r="Q1246" s="1" t="str">
        <f>IF( AND( Table4[[#This Row],[Route]]=ClosureLocation!$B$3, ClosureLocation!$B$6 &lt;= Table4[[#This Row],[StartMP]], ClosureLocation!$B$6 &gt;= Table4[[#This Row],[EndMP]]), "Yes", "")</f>
        <v/>
      </c>
      <c r="R1246" s="1" t="str">
        <f>IF( OR( Table4[[#This Row],[PrimaryMatch]]="Yes", Table4[[#This Row],[SecondaryMatch]]="Yes"), "Yes", "")</f>
        <v/>
      </c>
    </row>
    <row r="1247" spans="1:18" hidden="1" x14ac:dyDescent="0.25">
      <c r="A1247" t="s">
        <v>310</v>
      </c>
      <c r="B1247" t="s">
        <v>3209</v>
      </c>
      <c r="C1247" t="s">
        <v>3210</v>
      </c>
      <c r="D1247" t="s">
        <v>3444</v>
      </c>
      <c r="E1247" s="1">
        <v>156.125</v>
      </c>
      <c r="F1247" s="1">
        <v>155.74899300000001</v>
      </c>
      <c r="K1247" s="39">
        <f>DefaultValues!$B$4</f>
        <v>5</v>
      </c>
      <c r="L1247" s="1">
        <f>DefaultValues!$C$4</f>
        <v>0.5</v>
      </c>
      <c r="M1247" s="1" t="str">
        <f>DefaultValues!$D$4</f>
        <v xml:space="preserve">- Within interchange - </v>
      </c>
      <c r="N1247" s="1">
        <v>843.875</v>
      </c>
      <c r="O1247" s="1">
        <f>ABS(Table4[[#This Row],[EndMP]]-Table4[[#This Row],[StartMP]])</f>
        <v>0.3760069999999871</v>
      </c>
      <c r="P1247" s="1" t="str">
        <f>IF( AND( Table4[[#This Row],[Route]]=ClosureLocation!$B$3, ClosureLocation!$B$6 &gt;= Table4[[#This Row],[StartMP]], ClosureLocation!$B$6 &lt;= Table4[[#This Row],[EndMP]]), "Yes", "")</f>
        <v/>
      </c>
      <c r="Q1247" s="1" t="str">
        <f>IF( AND( Table4[[#This Row],[Route]]=ClosureLocation!$B$3, ClosureLocation!$B$6 &lt;= Table4[[#This Row],[StartMP]], ClosureLocation!$B$6 &gt;= Table4[[#This Row],[EndMP]]), "Yes", "")</f>
        <v/>
      </c>
      <c r="R1247" s="1" t="str">
        <f>IF( OR( Table4[[#This Row],[PrimaryMatch]]="Yes", Table4[[#This Row],[SecondaryMatch]]="Yes"), "Yes", "")</f>
        <v/>
      </c>
    </row>
    <row r="1248" spans="1:18" hidden="1" x14ac:dyDescent="0.25">
      <c r="A1248" t="s">
        <v>310</v>
      </c>
      <c r="B1248" t="s">
        <v>3209</v>
      </c>
      <c r="C1248" t="s">
        <v>3210</v>
      </c>
      <c r="D1248" t="s">
        <v>3444</v>
      </c>
      <c r="E1248" s="1">
        <v>153.14999399999999</v>
      </c>
      <c r="F1248" s="1">
        <v>152.90699799999999</v>
      </c>
      <c r="K1248" s="39">
        <f>DefaultValues!$B$4</f>
        <v>5</v>
      </c>
      <c r="L1248" s="1">
        <f>DefaultValues!$C$4</f>
        <v>0.5</v>
      </c>
      <c r="M1248" s="1" t="str">
        <f>DefaultValues!$D$4</f>
        <v xml:space="preserve">- Within interchange - </v>
      </c>
      <c r="N1248" s="1">
        <v>846.84997599999997</v>
      </c>
      <c r="O1248" s="1">
        <f>ABS(Table4[[#This Row],[EndMP]]-Table4[[#This Row],[StartMP]])</f>
        <v>0.2429960000000051</v>
      </c>
      <c r="P1248" s="1" t="str">
        <f>IF( AND( Table4[[#This Row],[Route]]=ClosureLocation!$B$3, ClosureLocation!$B$6 &gt;= Table4[[#This Row],[StartMP]], ClosureLocation!$B$6 &lt;= Table4[[#This Row],[EndMP]]), "Yes", "")</f>
        <v/>
      </c>
      <c r="Q1248" s="1" t="str">
        <f>IF( AND( Table4[[#This Row],[Route]]=ClosureLocation!$B$3, ClosureLocation!$B$6 &lt;= Table4[[#This Row],[StartMP]], ClosureLocation!$B$6 &gt;= Table4[[#This Row],[EndMP]]), "Yes", "")</f>
        <v/>
      </c>
      <c r="R1248" s="1" t="str">
        <f>IF( OR( Table4[[#This Row],[PrimaryMatch]]="Yes", Table4[[#This Row],[SecondaryMatch]]="Yes"), "Yes", "")</f>
        <v/>
      </c>
    </row>
    <row r="1249" spans="1:18" hidden="1" x14ac:dyDescent="0.25">
      <c r="A1249" t="s">
        <v>310</v>
      </c>
      <c r="B1249" t="s">
        <v>3209</v>
      </c>
      <c r="C1249" t="s">
        <v>3210</v>
      </c>
      <c r="D1249" t="s">
        <v>3444</v>
      </c>
      <c r="E1249" s="1">
        <v>151.537994</v>
      </c>
      <c r="F1249" s="1">
        <v>151.212006</v>
      </c>
      <c r="K1249" s="39">
        <f>DefaultValues!$B$4</f>
        <v>5</v>
      </c>
      <c r="L1249" s="1">
        <f>DefaultValues!$C$4</f>
        <v>0.5</v>
      </c>
      <c r="M1249" s="1" t="str">
        <f>DefaultValues!$D$4</f>
        <v xml:space="preserve">- Within interchange - </v>
      </c>
      <c r="N1249" s="1">
        <v>848.46197500000005</v>
      </c>
      <c r="O1249" s="1">
        <f>ABS(Table4[[#This Row],[EndMP]]-Table4[[#This Row],[StartMP]])</f>
        <v>0.32598799999999528</v>
      </c>
      <c r="P1249" s="1" t="str">
        <f>IF( AND( Table4[[#This Row],[Route]]=ClosureLocation!$B$3, ClosureLocation!$B$6 &gt;= Table4[[#This Row],[StartMP]], ClosureLocation!$B$6 &lt;= Table4[[#This Row],[EndMP]]), "Yes", "")</f>
        <v/>
      </c>
      <c r="Q1249" s="1" t="str">
        <f>IF( AND( Table4[[#This Row],[Route]]=ClosureLocation!$B$3, ClosureLocation!$B$6 &lt;= Table4[[#This Row],[StartMP]], ClosureLocation!$B$6 &gt;= Table4[[#This Row],[EndMP]]), "Yes", "")</f>
        <v/>
      </c>
      <c r="R1249" s="1" t="str">
        <f>IF( OR( Table4[[#This Row],[PrimaryMatch]]="Yes", Table4[[#This Row],[SecondaryMatch]]="Yes"), "Yes", "")</f>
        <v/>
      </c>
    </row>
    <row r="1250" spans="1:18" hidden="1" x14ac:dyDescent="0.25">
      <c r="A1250" t="s">
        <v>310</v>
      </c>
      <c r="B1250" t="s">
        <v>3209</v>
      </c>
      <c r="C1250" t="s">
        <v>3210</v>
      </c>
      <c r="D1250" t="s">
        <v>3444</v>
      </c>
      <c r="E1250" s="1">
        <v>150.65600599999999</v>
      </c>
      <c r="F1250" s="1">
        <v>149.983994</v>
      </c>
      <c r="K1250" s="39">
        <f>DefaultValues!$B$4</f>
        <v>5</v>
      </c>
      <c r="L1250" s="1">
        <f>DefaultValues!$C$4</f>
        <v>0.5</v>
      </c>
      <c r="M1250" s="1" t="str">
        <f>DefaultValues!$D$4</f>
        <v xml:space="preserve">- Within interchange - </v>
      </c>
      <c r="N1250" s="1">
        <v>849.34399399999995</v>
      </c>
      <c r="O1250" s="1">
        <f>ABS(Table4[[#This Row],[EndMP]]-Table4[[#This Row],[StartMP]])</f>
        <v>0.67201199999999517</v>
      </c>
      <c r="P1250" s="1" t="str">
        <f>IF( AND( Table4[[#This Row],[Route]]=ClosureLocation!$B$3, ClosureLocation!$B$6 &gt;= Table4[[#This Row],[StartMP]], ClosureLocation!$B$6 &lt;= Table4[[#This Row],[EndMP]]), "Yes", "")</f>
        <v/>
      </c>
      <c r="Q1250" s="1" t="str">
        <f>IF( AND( Table4[[#This Row],[Route]]=ClosureLocation!$B$3, ClosureLocation!$B$6 &lt;= Table4[[#This Row],[StartMP]], ClosureLocation!$B$6 &gt;= Table4[[#This Row],[EndMP]]), "Yes", "")</f>
        <v/>
      </c>
      <c r="R1250" s="1" t="str">
        <f>IF( OR( Table4[[#This Row],[PrimaryMatch]]="Yes", Table4[[#This Row],[SecondaryMatch]]="Yes"), "Yes", "")</f>
        <v/>
      </c>
    </row>
    <row r="1251" spans="1:18" hidden="1" x14ac:dyDescent="0.25">
      <c r="A1251" t="s">
        <v>310</v>
      </c>
      <c r="B1251" t="s">
        <v>3209</v>
      </c>
      <c r="C1251" t="s">
        <v>3210</v>
      </c>
      <c r="D1251" t="s">
        <v>3444</v>
      </c>
      <c r="E1251" s="1">
        <v>149.17399599999999</v>
      </c>
      <c r="F1251" s="1">
        <v>148.61099200000001</v>
      </c>
      <c r="K1251" s="39">
        <f>DefaultValues!$B$4</f>
        <v>5</v>
      </c>
      <c r="L1251" s="1">
        <f>DefaultValues!$C$4</f>
        <v>0.5</v>
      </c>
      <c r="M1251" s="1" t="str">
        <f>DefaultValues!$D$4</f>
        <v xml:space="preserve">- Within interchange - </v>
      </c>
      <c r="N1251" s="1">
        <v>850.82598900000005</v>
      </c>
      <c r="O1251" s="1">
        <f>ABS(Table4[[#This Row],[EndMP]]-Table4[[#This Row],[StartMP]])</f>
        <v>0.56300399999997808</v>
      </c>
      <c r="P1251" s="1" t="str">
        <f>IF( AND( Table4[[#This Row],[Route]]=ClosureLocation!$B$3, ClosureLocation!$B$6 &gt;= Table4[[#This Row],[StartMP]], ClosureLocation!$B$6 &lt;= Table4[[#This Row],[EndMP]]), "Yes", "")</f>
        <v/>
      </c>
      <c r="Q1251" s="1" t="str">
        <f>IF( AND( Table4[[#This Row],[Route]]=ClosureLocation!$B$3, ClosureLocation!$B$6 &lt;= Table4[[#This Row],[StartMP]], ClosureLocation!$B$6 &gt;= Table4[[#This Row],[EndMP]]), "Yes", "")</f>
        <v/>
      </c>
      <c r="R1251" s="1" t="str">
        <f>IF( OR( Table4[[#This Row],[PrimaryMatch]]="Yes", Table4[[#This Row],[SecondaryMatch]]="Yes"), "Yes", "")</f>
        <v/>
      </c>
    </row>
    <row r="1252" spans="1:18" hidden="1" x14ac:dyDescent="0.25">
      <c r="A1252" t="s">
        <v>310</v>
      </c>
      <c r="B1252" t="s">
        <v>3209</v>
      </c>
      <c r="C1252" t="s">
        <v>3210</v>
      </c>
      <c r="D1252" t="s">
        <v>3444</v>
      </c>
      <c r="E1252" s="1">
        <v>148</v>
      </c>
      <c r="F1252" s="1">
        <v>146.850998</v>
      </c>
      <c r="K1252" s="39">
        <f>DefaultValues!$B$4</f>
        <v>5</v>
      </c>
      <c r="L1252" s="1">
        <f>DefaultValues!$C$4</f>
        <v>0.5</v>
      </c>
      <c r="M1252" s="1" t="str">
        <f>DefaultValues!$D$4</f>
        <v xml:space="preserve">- Within interchange - </v>
      </c>
      <c r="N1252" s="1">
        <v>852</v>
      </c>
      <c r="O1252" s="1">
        <f>ABS(Table4[[#This Row],[EndMP]]-Table4[[#This Row],[StartMP]])</f>
        <v>1.1490019999999959</v>
      </c>
      <c r="P1252" s="1" t="str">
        <f>IF( AND( Table4[[#This Row],[Route]]=ClosureLocation!$B$3, ClosureLocation!$B$6 &gt;= Table4[[#This Row],[StartMP]], ClosureLocation!$B$6 &lt;= Table4[[#This Row],[EndMP]]), "Yes", "")</f>
        <v/>
      </c>
      <c r="Q1252" s="1" t="str">
        <f>IF( AND( Table4[[#This Row],[Route]]=ClosureLocation!$B$3, ClosureLocation!$B$6 &lt;= Table4[[#This Row],[StartMP]], ClosureLocation!$B$6 &gt;= Table4[[#This Row],[EndMP]]), "Yes", "")</f>
        <v/>
      </c>
      <c r="R1252" s="1" t="str">
        <f>IF( OR( Table4[[#This Row],[PrimaryMatch]]="Yes", Table4[[#This Row],[SecondaryMatch]]="Yes"), "Yes", "")</f>
        <v/>
      </c>
    </row>
    <row r="1253" spans="1:18" hidden="1" x14ac:dyDescent="0.25">
      <c r="A1253" t="s">
        <v>310</v>
      </c>
      <c r="B1253" t="s">
        <v>3209</v>
      </c>
      <c r="C1253" t="s">
        <v>3210</v>
      </c>
      <c r="D1253" t="s">
        <v>3444</v>
      </c>
      <c r="E1253" s="1">
        <v>146.378006</v>
      </c>
      <c r="F1253" s="1">
        <v>145.891998</v>
      </c>
      <c r="K1253" s="39">
        <f>DefaultValues!$B$4</f>
        <v>5</v>
      </c>
      <c r="L1253" s="1">
        <f>DefaultValues!$C$4</f>
        <v>0.5</v>
      </c>
      <c r="M1253" s="1" t="str">
        <f>DefaultValues!$D$4</f>
        <v xml:space="preserve">- Within interchange - </v>
      </c>
      <c r="N1253" s="1">
        <v>853.62200900000005</v>
      </c>
      <c r="O1253" s="1">
        <f>ABS(Table4[[#This Row],[EndMP]]-Table4[[#This Row],[StartMP]])</f>
        <v>0.48600799999999822</v>
      </c>
      <c r="P1253" s="1" t="str">
        <f>IF( AND( Table4[[#This Row],[Route]]=ClosureLocation!$B$3, ClosureLocation!$B$6 &gt;= Table4[[#This Row],[StartMP]], ClosureLocation!$B$6 &lt;= Table4[[#This Row],[EndMP]]), "Yes", "")</f>
        <v/>
      </c>
      <c r="Q1253" s="1" t="str">
        <f>IF( AND( Table4[[#This Row],[Route]]=ClosureLocation!$B$3, ClosureLocation!$B$6 &lt;= Table4[[#This Row],[StartMP]], ClosureLocation!$B$6 &gt;= Table4[[#This Row],[EndMP]]), "Yes", "")</f>
        <v/>
      </c>
      <c r="R1253" s="1" t="str">
        <f>IF( OR( Table4[[#This Row],[PrimaryMatch]]="Yes", Table4[[#This Row],[SecondaryMatch]]="Yes"), "Yes", "")</f>
        <v/>
      </c>
    </row>
    <row r="1254" spans="1:18" hidden="1" x14ac:dyDescent="0.25">
      <c r="A1254" t="s">
        <v>310</v>
      </c>
      <c r="B1254" t="s">
        <v>3209</v>
      </c>
      <c r="C1254" t="s">
        <v>3210</v>
      </c>
      <c r="D1254" t="s">
        <v>3444</v>
      </c>
      <c r="E1254" s="1">
        <v>144.76400799999999</v>
      </c>
      <c r="F1254" s="1">
        <v>144.29600500000001</v>
      </c>
      <c r="K1254" s="39">
        <f>DefaultValues!$B$4</f>
        <v>5</v>
      </c>
      <c r="L1254" s="1">
        <f>DefaultValues!$C$4</f>
        <v>0.5</v>
      </c>
      <c r="M1254" s="1" t="str">
        <f>DefaultValues!$D$4</f>
        <v xml:space="preserve">- Within interchange - </v>
      </c>
      <c r="N1254" s="1">
        <v>855.23602300000005</v>
      </c>
      <c r="O1254" s="1">
        <f>ABS(Table4[[#This Row],[EndMP]]-Table4[[#This Row],[StartMP]])</f>
        <v>0.46800299999998174</v>
      </c>
      <c r="P1254" s="1" t="str">
        <f>IF( AND( Table4[[#This Row],[Route]]=ClosureLocation!$B$3, ClosureLocation!$B$6 &gt;= Table4[[#This Row],[StartMP]], ClosureLocation!$B$6 &lt;= Table4[[#This Row],[EndMP]]), "Yes", "")</f>
        <v/>
      </c>
      <c r="Q1254" s="1" t="str">
        <f>IF( AND( Table4[[#This Row],[Route]]=ClosureLocation!$B$3, ClosureLocation!$B$6 &lt;= Table4[[#This Row],[StartMP]], ClosureLocation!$B$6 &gt;= Table4[[#This Row],[EndMP]]), "Yes", "")</f>
        <v/>
      </c>
      <c r="R1254" s="1" t="str">
        <f>IF( OR( Table4[[#This Row],[PrimaryMatch]]="Yes", Table4[[#This Row],[SecondaryMatch]]="Yes"), "Yes", "")</f>
        <v/>
      </c>
    </row>
    <row r="1255" spans="1:18" hidden="1" x14ac:dyDescent="0.25">
      <c r="A1255" t="s">
        <v>310</v>
      </c>
      <c r="B1255" t="s">
        <v>3209</v>
      </c>
      <c r="C1255" t="s">
        <v>3210</v>
      </c>
      <c r="D1255" t="s">
        <v>3444</v>
      </c>
      <c r="E1255" s="1">
        <v>143.83299299999999</v>
      </c>
      <c r="F1255" s="1">
        <v>143.27499399999999</v>
      </c>
      <c r="K1255" s="39">
        <f>DefaultValues!$B$4</f>
        <v>5</v>
      </c>
      <c r="L1255" s="1">
        <f>DefaultValues!$C$4</f>
        <v>0.5</v>
      </c>
      <c r="M1255" s="1" t="str">
        <f>DefaultValues!$D$4</f>
        <v xml:space="preserve">- Within interchange - </v>
      </c>
      <c r="N1255" s="1">
        <v>856.16699200000005</v>
      </c>
      <c r="O1255" s="1">
        <f>ABS(Table4[[#This Row],[EndMP]]-Table4[[#This Row],[StartMP]])</f>
        <v>0.55799899999999525</v>
      </c>
      <c r="P1255" s="1" t="str">
        <f>IF( AND( Table4[[#This Row],[Route]]=ClosureLocation!$B$3, ClosureLocation!$B$6 &gt;= Table4[[#This Row],[StartMP]], ClosureLocation!$B$6 &lt;= Table4[[#This Row],[EndMP]]), "Yes", "")</f>
        <v/>
      </c>
      <c r="Q1255" s="1" t="str">
        <f>IF( AND( Table4[[#This Row],[Route]]=ClosureLocation!$B$3, ClosureLocation!$B$6 &lt;= Table4[[#This Row],[StartMP]], ClosureLocation!$B$6 &gt;= Table4[[#This Row],[EndMP]]), "Yes", "")</f>
        <v/>
      </c>
      <c r="R1255" s="1" t="str">
        <f>IF( OR( Table4[[#This Row],[PrimaryMatch]]="Yes", Table4[[#This Row],[SecondaryMatch]]="Yes"), "Yes", "")</f>
        <v/>
      </c>
    </row>
    <row r="1256" spans="1:18" hidden="1" x14ac:dyDescent="0.25">
      <c r="A1256" t="s">
        <v>310</v>
      </c>
      <c r="B1256" t="s">
        <v>3209</v>
      </c>
      <c r="C1256" t="s">
        <v>3210</v>
      </c>
      <c r="D1256" t="s">
        <v>3444</v>
      </c>
      <c r="E1256" s="1">
        <v>143.108994</v>
      </c>
      <c r="F1256" s="1">
        <v>142.60000600000001</v>
      </c>
      <c r="K1256" s="39">
        <f>DefaultValues!$B$4</f>
        <v>5</v>
      </c>
      <c r="L1256" s="1">
        <f>DefaultValues!$C$4</f>
        <v>0.5</v>
      </c>
      <c r="M1256" s="1" t="str">
        <f>DefaultValues!$D$4</f>
        <v xml:space="preserve">- Within interchange - </v>
      </c>
      <c r="N1256" s="1">
        <v>856.89099099999999</v>
      </c>
      <c r="O1256" s="1">
        <f>ABS(Table4[[#This Row],[EndMP]]-Table4[[#This Row],[StartMP]])</f>
        <v>0.50898799999998801</v>
      </c>
      <c r="P1256" s="1" t="str">
        <f>IF( AND( Table4[[#This Row],[Route]]=ClosureLocation!$B$3, ClosureLocation!$B$6 &gt;= Table4[[#This Row],[StartMP]], ClosureLocation!$B$6 &lt;= Table4[[#This Row],[EndMP]]), "Yes", "")</f>
        <v/>
      </c>
      <c r="Q1256" s="1" t="str">
        <f>IF( AND( Table4[[#This Row],[Route]]=ClosureLocation!$B$3, ClosureLocation!$B$6 &lt;= Table4[[#This Row],[StartMP]], ClosureLocation!$B$6 &gt;= Table4[[#This Row],[EndMP]]), "Yes", "")</f>
        <v/>
      </c>
      <c r="R1256" s="1" t="str">
        <f>IF( OR( Table4[[#This Row],[PrimaryMatch]]="Yes", Table4[[#This Row],[SecondaryMatch]]="Yes"), "Yes", "")</f>
        <v/>
      </c>
    </row>
    <row r="1257" spans="1:18" hidden="1" x14ac:dyDescent="0.25">
      <c r="A1257" t="s">
        <v>310</v>
      </c>
      <c r="B1257" t="s">
        <v>3209</v>
      </c>
      <c r="C1257" t="s">
        <v>3210</v>
      </c>
      <c r="D1257" t="s">
        <v>3444</v>
      </c>
      <c r="E1257" s="1">
        <v>142.14799500000001</v>
      </c>
      <c r="F1257" s="1">
        <v>141.65400700000001</v>
      </c>
      <c r="K1257" s="39">
        <f>DefaultValues!$B$4</f>
        <v>5</v>
      </c>
      <c r="L1257" s="1">
        <f>DefaultValues!$C$4</f>
        <v>0.5</v>
      </c>
      <c r="M1257" s="1" t="str">
        <f>DefaultValues!$D$4</f>
        <v xml:space="preserve">- Within interchange - </v>
      </c>
      <c r="N1257" s="1">
        <v>857.85199</v>
      </c>
      <c r="O1257" s="1">
        <f>ABS(Table4[[#This Row],[EndMP]]-Table4[[#This Row],[StartMP]])</f>
        <v>0.49398800000000165</v>
      </c>
      <c r="P1257" s="1" t="str">
        <f>IF( AND( Table4[[#This Row],[Route]]=ClosureLocation!$B$3, ClosureLocation!$B$6 &gt;= Table4[[#This Row],[StartMP]], ClosureLocation!$B$6 &lt;= Table4[[#This Row],[EndMP]]), "Yes", "")</f>
        <v/>
      </c>
      <c r="Q1257" s="1" t="str">
        <f>IF( AND( Table4[[#This Row],[Route]]=ClosureLocation!$B$3, ClosureLocation!$B$6 &lt;= Table4[[#This Row],[StartMP]], ClosureLocation!$B$6 &gt;= Table4[[#This Row],[EndMP]]), "Yes", "")</f>
        <v/>
      </c>
      <c r="R1257" s="1" t="str">
        <f>IF( OR( Table4[[#This Row],[PrimaryMatch]]="Yes", Table4[[#This Row],[SecondaryMatch]]="Yes"), "Yes", "")</f>
        <v/>
      </c>
    </row>
    <row r="1258" spans="1:18" hidden="1" x14ac:dyDescent="0.25">
      <c r="A1258" t="s">
        <v>310</v>
      </c>
      <c r="B1258" t="s">
        <v>3209</v>
      </c>
      <c r="C1258" t="s">
        <v>3210</v>
      </c>
      <c r="D1258" t="s">
        <v>3444</v>
      </c>
      <c r="E1258" s="1">
        <v>141.11199999999999</v>
      </c>
      <c r="F1258" s="1">
        <v>141.01199299999999</v>
      </c>
      <c r="K1258" s="39">
        <f>DefaultValues!$B$4</f>
        <v>5</v>
      </c>
      <c r="L1258" s="1">
        <f>DefaultValues!$C$4</f>
        <v>0.5</v>
      </c>
      <c r="M1258" s="1" t="str">
        <f>DefaultValues!$D$4</f>
        <v xml:space="preserve">- Within interchange - </v>
      </c>
      <c r="N1258" s="1">
        <v>858.88800000000003</v>
      </c>
      <c r="O1258" s="1">
        <f>ABS(Table4[[#This Row],[EndMP]]-Table4[[#This Row],[StartMP]])</f>
        <v>0.10000700000000506</v>
      </c>
      <c r="P1258" s="1" t="str">
        <f>IF( AND( Table4[[#This Row],[Route]]=ClosureLocation!$B$3, ClosureLocation!$B$6 &gt;= Table4[[#This Row],[StartMP]], ClosureLocation!$B$6 &lt;= Table4[[#This Row],[EndMP]]), "Yes", "")</f>
        <v/>
      </c>
      <c r="Q1258" s="1" t="str">
        <f>IF( AND( Table4[[#This Row],[Route]]=ClosureLocation!$B$3, ClosureLocation!$B$6 &lt;= Table4[[#This Row],[StartMP]], ClosureLocation!$B$6 &gt;= Table4[[#This Row],[EndMP]]), "Yes", "")</f>
        <v/>
      </c>
      <c r="R1258" s="1" t="str">
        <f>IF( OR( Table4[[#This Row],[PrimaryMatch]]="Yes", Table4[[#This Row],[SecondaryMatch]]="Yes"), "Yes", "")</f>
        <v/>
      </c>
    </row>
    <row r="1259" spans="1:18" hidden="1" x14ac:dyDescent="0.25">
      <c r="A1259" t="s">
        <v>310</v>
      </c>
      <c r="B1259" t="s">
        <v>3209</v>
      </c>
      <c r="C1259" t="s">
        <v>3210</v>
      </c>
      <c r="D1259" t="s">
        <v>3444</v>
      </c>
      <c r="E1259" s="1">
        <v>140.041</v>
      </c>
      <c r="F1259" s="1">
        <v>139.48899800000001</v>
      </c>
      <c r="K1259" s="39">
        <f>DefaultValues!$B$4</f>
        <v>5</v>
      </c>
      <c r="L1259" s="1">
        <f>DefaultValues!$C$4</f>
        <v>0.5</v>
      </c>
      <c r="M1259" s="1" t="str">
        <f>DefaultValues!$D$4</f>
        <v xml:space="preserve">- Within interchange - </v>
      </c>
      <c r="N1259" s="1">
        <v>859.95898399999999</v>
      </c>
      <c r="O1259" s="1">
        <f>ABS(Table4[[#This Row],[EndMP]]-Table4[[#This Row],[StartMP]])</f>
        <v>0.55200199999998745</v>
      </c>
      <c r="P1259" s="1" t="str">
        <f>IF( AND( Table4[[#This Row],[Route]]=ClosureLocation!$B$3, ClosureLocation!$B$6 &gt;= Table4[[#This Row],[StartMP]], ClosureLocation!$B$6 &lt;= Table4[[#This Row],[EndMP]]), "Yes", "")</f>
        <v/>
      </c>
      <c r="Q1259" s="1" t="str">
        <f>IF( AND( Table4[[#This Row],[Route]]=ClosureLocation!$B$3, ClosureLocation!$B$6 &lt;= Table4[[#This Row],[StartMP]], ClosureLocation!$B$6 &gt;= Table4[[#This Row],[EndMP]]), "Yes", "")</f>
        <v/>
      </c>
      <c r="R1259" s="1" t="str">
        <f>IF( OR( Table4[[#This Row],[PrimaryMatch]]="Yes", Table4[[#This Row],[SecondaryMatch]]="Yes"), "Yes", "")</f>
        <v/>
      </c>
    </row>
    <row r="1260" spans="1:18" hidden="1" x14ac:dyDescent="0.25">
      <c r="A1260" t="s">
        <v>310</v>
      </c>
      <c r="B1260" t="s">
        <v>3209</v>
      </c>
      <c r="C1260" t="s">
        <v>3210</v>
      </c>
      <c r="D1260" t="s">
        <v>3444</v>
      </c>
      <c r="E1260" s="1">
        <v>139.20100400000001</v>
      </c>
      <c r="F1260" s="1">
        <v>138.85000600000001</v>
      </c>
      <c r="K1260" s="39">
        <f>DefaultValues!$B$4</f>
        <v>5</v>
      </c>
      <c r="L1260" s="1">
        <f>DefaultValues!$C$4</f>
        <v>0.5</v>
      </c>
      <c r="M1260" s="1" t="str">
        <f>DefaultValues!$D$4</f>
        <v xml:space="preserve">- Within interchange - </v>
      </c>
      <c r="N1260" s="1">
        <v>860.79901099999995</v>
      </c>
      <c r="O1260" s="1">
        <f>ABS(Table4[[#This Row],[EndMP]]-Table4[[#This Row],[StartMP]])</f>
        <v>0.35099800000000414</v>
      </c>
      <c r="P1260" s="1" t="str">
        <f>IF( AND( Table4[[#This Row],[Route]]=ClosureLocation!$B$3, ClosureLocation!$B$6 &gt;= Table4[[#This Row],[StartMP]], ClosureLocation!$B$6 &lt;= Table4[[#This Row],[EndMP]]), "Yes", "")</f>
        <v/>
      </c>
      <c r="Q1260" s="1" t="str">
        <f>IF( AND( Table4[[#This Row],[Route]]=ClosureLocation!$B$3, ClosureLocation!$B$6 &lt;= Table4[[#This Row],[StartMP]], ClosureLocation!$B$6 &gt;= Table4[[#This Row],[EndMP]]), "Yes", "")</f>
        <v/>
      </c>
      <c r="R1260" s="1" t="str">
        <f>IF( OR( Table4[[#This Row],[PrimaryMatch]]="Yes", Table4[[#This Row],[SecondaryMatch]]="Yes"), "Yes", "")</f>
        <v/>
      </c>
    </row>
    <row r="1261" spans="1:18" hidden="1" x14ac:dyDescent="0.25">
      <c r="A1261" t="s">
        <v>310</v>
      </c>
      <c r="B1261" t="s">
        <v>3209</v>
      </c>
      <c r="C1261" t="s">
        <v>3210</v>
      </c>
      <c r="D1261" t="s">
        <v>3444</v>
      </c>
      <c r="E1261" s="1">
        <v>138.05200199999999</v>
      </c>
      <c r="F1261" s="1">
        <v>137.496002</v>
      </c>
      <c r="K1261" s="39">
        <f>DefaultValues!$B$4</f>
        <v>5</v>
      </c>
      <c r="L1261" s="1">
        <f>DefaultValues!$C$4</f>
        <v>0.5</v>
      </c>
      <c r="M1261" s="1" t="str">
        <f>DefaultValues!$D$4</f>
        <v xml:space="preserve">- Within interchange - </v>
      </c>
      <c r="N1261" s="1">
        <v>861.94799799999998</v>
      </c>
      <c r="O1261" s="1">
        <f>ABS(Table4[[#This Row],[EndMP]]-Table4[[#This Row],[StartMP]])</f>
        <v>0.55599999999998317</v>
      </c>
      <c r="P1261" s="1" t="str">
        <f>IF( AND( Table4[[#This Row],[Route]]=ClosureLocation!$B$3, ClosureLocation!$B$6 &gt;= Table4[[#This Row],[StartMP]], ClosureLocation!$B$6 &lt;= Table4[[#This Row],[EndMP]]), "Yes", "")</f>
        <v/>
      </c>
      <c r="Q1261" s="1" t="str">
        <f>IF( AND( Table4[[#This Row],[Route]]=ClosureLocation!$B$3, ClosureLocation!$B$6 &lt;= Table4[[#This Row],[StartMP]], ClosureLocation!$B$6 &gt;= Table4[[#This Row],[EndMP]]), "Yes", "")</f>
        <v/>
      </c>
      <c r="R1261" s="1" t="str">
        <f>IF( OR( Table4[[#This Row],[PrimaryMatch]]="Yes", Table4[[#This Row],[SecondaryMatch]]="Yes"), "Yes", "")</f>
        <v/>
      </c>
    </row>
    <row r="1262" spans="1:18" hidden="1" x14ac:dyDescent="0.25">
      <c r="A1262" t="s">
        <v>310</v>
      </c>
      <c r="B1262" t="s">
        <v>3209</v>
      </c>
      <c r="C1262" t="s">
        <v>3210</v>
      </c>
      <c r="D1262" t="s">
        <v>3444</v>
      </c>
      <c r="E1262" s="1">
        <v>135.317001</v>
      </c>
      <c r="F1262" s="1">
        <v>135.16700700000001</v>
      </c>
      <c r="K1262" s="39">
        <f>DefaultValues!$B$4</f>
        <v>5</v>
      </c>
      <c r="L1262" s="1">
        <f>DefaultValues!$C$4</f>
        <v>0.5</v>
      </c>
      <c r="M1262" s="1" t="str">
        <f>DefaultValues!$D$4</f>
        <v xml:space="preserve">- Within interchange - </v>
      </c>
      <c r="N1262" s="1">
        <v>864.68298300000004</v>
      </c>
      <c r="O1262" s="1">
        <f>ABS(Table4[[#This Row],[EndMP]]-Table4[[#This Row],[StartMP]])</f>
        <v>0.14999399999999241</v>
      </c>
      <c r="P1262" s="1" t="str">
        <f>IF( AND( Table4[[#This Row],[Route]]=ClosureLocation!$B$3, ClosureLocation!$B$6 &gt;= Table4[[#This Row],[StartMP]], ClosureLocation!$B$6 &lt;= Table4[[#This Row],[EndMP]]), "Yes", "")</f>
        <v/>
      </c>
      <c r="Q1262" s="1" t="str">
        <f>IF( AND( Table4[[#This Row],[Route]]=ClosureLocation!$B$3, ClosureLocation!$B$6 &lt;= Table4[[#This Row],[StartMP]], ClosureLocation!$B$6 &gt;= Table4[[#This Row],[EndMP]]), "Yes", "")</f>
        <v/>
      </c>
      <c r="R1262" s="1" t="str">
        <f>IF( OR( Table4[[#This Row],[PrimaryMatch]]="Yes", Table4[[#This Row],[SecondaryMatch]]="Yes"), "Yes", "")</f>
        <v/>
      </c>
    </row>
    <row r="1263" spans="1:18" hidden="1" x14ac:dyDescent="0.25">
      <c r="A1263" t="s">
        <v>310</v>
      </c>
      <c r="B1263" t="s">
        <v>3209</v>
      </c>
      <c r="C1263" t="s">
        <v>3210</v>
      </c>
      <c r="D1263" t="s">
        <v>3444</v>
      </c>
      <c r="E1263" s="1">
        <v>131.95700099999999</v>
      </c>
      <c r="F1263" s="1">
        <v>131.36700400000001</v>
      </c>
      <c r="K1263" s="39">
        <f>DefaultValues!$B$4</f>
        <v>5</v>
      </c>
      <c r="L1263" s="1">
        <f>DefaultValues!$C$4</f>
        <v>0.5</v>
      </c>
      <c r="M1263" s="1" t="str">
        <f>DefaultValues!$D$4</f>
        <v xml:space="preserve">- Within interchange - </v>
      </c>
      <c r="N1263" s="1">
        <v>868.04303000000004</v>
      </c>
      <c r="O1263" s="1">
        <f>ABS(Table4[[#This Row],[EndMP]]-Table4[[#This Row],[StartMP]])</f>
        <v>0.58999699999998256</v>
      </c>
      <c r="P1263" s="1" t="str">
        <f>IF( AND( Table4[[#This Row],[Route]]=ClosureLocation!$B$3, ClosureLocation!$B$6 &gt;= Table4[[#This Row],[StartMP]], ClosureLocation!$B$6 &lt;= Table4[[#This Row],[EndMP]]), "Yes", "")</f>
        <v/>
      </c>
      <c r="Q1263" s="1" t="str">
        <f>IF( AND( Table4[[#This Row],[Route]]=ClosureLocation!$B$3, ClosureLocation!$B$6 &lt;= Table4[[#This Row],[StartMP]], ClosureLocation!$B$6 &gt;= Table4[[#This Row],[EndMP]]), "Yes", "")</f>
        <v/>
      </c>
      <c r="R1263" s="1" t="str">
        <f>IF( OR( Table4[[#This Row],[PrimaryMatch]]="Yes", Table4[[#This Row],[SecondaryMatch]]="Yes"), "Yes", "")</f>
        <v/>
      </c>
    </row>
    <row r="1264" spans="1:18" hidden="1" x14ac:dyDescent="0.25">
      <c r="A1264" t="s">
        <v>310</v>
      </c>
      <c r="B1264" t="s">
        <v>3209</v>
      </c>
      <c r="C1264" t="s">
        <v>3210</v>
      </c>
      <c r="D1264" t="s">
        <v>3444</v>
      </c>
      <c r="E1264" s="1">
        <v>127.99700199999999</v>
      </c>
      <c r="F1264" s="1">
        <v>127.714996</v>
      </c>
      <c r="K1264" s="39">
        <f>DefaultValues!$B$4</f>
        <v>5</v>
      </c>
      <c r="L1264" s="1">
        <f>DefaultValues!$C$4</f>
        <v>0.5</v>
      </c>
      <c r="M1264" s="1" t="str">
        <f>DefaultValues!$D$4</f>
        <v xml:space="preserve">- Within interchange - </v>
      </c>
      <c r="N1264" s="1">
        <v>872.00299099999995</v>
      </c>
      <c r="O1264" s="1">
        <f>ABS(Table4[[#This Row],[EndMP]]-Table4[[#This Row],[StartMP]])</f>
        <v>0.28200599999999554</v>
      </c>
      <c r="P1264" s="1" t="str">
        <f>IF( AND( Table4[[#This Row],[Route]]=ClosureLocation!$B$3, ClosureLocation!$B$6 &gt;= Table4[[#This Row],[StartMP]], ClosureLocation!$B$6 &lt;= Table4[[#This Row],[EndMP]]), "Yes", "")</f>
        <v/>
      </c>
      <c r="Q1264" s="1" t="str">
        <f>IF( AND( Table4[[#This Row],[Route]]=ClosureLocation!$B$3, ClosureLocation!$B$6 &lt;= Table4[[#This Row],[StartMP]], ClosureLocation!$B$6 &gt;= Table4[[#This Row],[EndMP]]), "Yes", "")</f>
        <v/>
      </c>
      <c r="R1264" s="1" t="str">
        <f>IF( OR( Table4[[#This Row],[PrimaryMatch]]="Yes", Table4[[#This Row],[SecondaryMatch]]="Yes"), "Yes", "")</f>
        <v/>
      </c>
    </row>
    <row r="1265" spans="1:18" hidden="1" x14ac:dyDescent="0.25">
      <c r="A1265" t="s">
        <v>310</v>
      </c>
      <c r="B1265" t="s">
        <v>3209</v>
      </c>
      <c r="C1265" t="s">
        <v>3210</v>
      </c>
      <c r="D1265" t="s">
        <v>3444</v>
      </c>
      <c r="E1265" s="1">
        <v>124.727997</v>
      </c>
      <c r="F1265" s="1">
        <v>124.373001</v>
      </c>
      <c r="K1265" s="39">
        <f>DefaultValues!$B$4</f>
        <v>5</v>
      </c>
      <c r="L1265" s="1">
        <f>DefaultValues!$C$4</f>
        <v>0.5</v>
      </c>
      <c r="M1265" s="1" t="str">
        <f>DefaultValues!$D$4</f>
        <v xml:space="preserve">- Within interchange - </v>
      </c>
      <c r="N1265" s="1">
        <v>875.271973</v>
      </c>
      <c r="O1265" s="1">
        <f>ABS(Table4[[#This Row],[EndMP]]-Table4[[#This Row],[StartMP]])</f>
        <v>0.35499599999999987</v>
      </c>
      <c r="P1265" s="1" t="str">
        <f>IF( AND( Table4[[#This Row],[Route]]=ClosureLocation!$B$3, ClosureLocation!$B$6 &gt;= Table4[[#This Row],[StartMP]], ClosureLocation!$B$6 &lt;= Table4[[#This Row],[EndMP]]), "Yes", "")</f>
        <v/>
      </c>
      <c r="Q1265" s="1" t="str">
        <f>IF( AND( Table4[[#This Row],[Route]]=ClosureLocation!$B$3, ClosureLocation!$B$6 &lt;= Table4[[#This Row],[StartMP]], ClosureLocation!$B$6 &gt;= Table4[[#This Row],[EndMP]]), "Yes", "")</f>
        <v/>
      </c>
      <c r="R1265" s="1" t="str">
        <f>IF( OR( Table4[[#This Row],[PrimaryMatch]]="Yes", Table4[[#This Row],[SecondaryMatch]]="Yes"), "Yes", "")</f>
        <v/>
      </c>
    </row>
    <row r="1266" spans="1:18" hidden="1" x14ac:dyDescent="0.25">
      <c r="A1266" t="s">
        <v>310</v>
      </c>
      <c r="B1266" t="s">
        <v>3209</v>
      </c>
      <c r="C1266" t="s">
        <v>3210</v>
      </c>
      <c r="D1266" t="s">
        <v>3444</v>
      </c>
      <c r="E1266" s="1">
        <v>123.396004</v>
      </c>
      <c r="F1266" s="1">
        <v>123.00599699999999</v>
      </c>
      <c r="K1266" s="39">
        <f>DefaultValues!$B$4</f>
        <v>5</v>
      </c>
      <c r="L1266" s="1">
        <f>DefaultValues!$C$4</f>
        <v>0.5</v>
      </c>
      <c r="M1266" s="1" t="str">
        <f>DefaultValues!$D$4</f>
        <v xml:space="preserve">- Within interchange - </v>
      </c>
      <c r="N1266" s="1">
        <v>876.60400400000003</v>
      </c>
      <c r="O1266" s="1">
        <f>ABS(Table4[[#This Row],[EndMP]]-Table4[[#This Row],[StartMP]])</f>
        <v>0.39000700000001132</v>
      </c>
      <c r="P1266" s="1" t="str">
        <f>IF( AND( Table4[[#This Row],[Route]]=ClosureLocation!$B$3, ClosureLocation!$B$6 &gt;= Table4[[#This Row],[StartMP]], ClosureLocation!$B$6 &lt;= Table4[[#This Row],[EndMP]]), "Yes", "")</f>
        <v/>
      </c>
      <c r="Q1266" s="1" t="str">
        <f>IF( AND( Table4[[#This Row],[Route]]=ClosureLocation!$B$3, ClosureLocation!$B$6 &lt;= Table4[[#This Row],[StartMP]], ClosureLocation!$B$6 &gt;= Table4[[#This Row],[EndMP]]), "Yes", "")</f>
        <v/>
      </c>
      <c r="R1266" s="1" t="str">
        <f>IF( OR( Table4[[#This Row],[PrimaryMatch]]="Yes", Table4[[#This Row],[SecondaryMatch]]="Yes"), "Yes", "")</f>
        <v/>
      </c>
    </row>
    <row r="1267" spans="1:18" hidden="1" x14ac:dyDescent="0.25">
      <c r="A1267" t="s">
        <v>310</v>
      </c>
      <c r="B1267" t="s">
        <v>3209</v>
      </c>
      <c r="C1267" t="s">
        <v>3210</v>
      </c>
      <c r="D1267" t="s">
        <v>3444</v>
      </c>
      <c r="E1267" s="1">
        <v>121.72199999999999</v>
      </c>
      <c r="F1267" s="1">
        <v>121.60900100000001</v>
      </c>
      <c r="K1267" s="39">
        <f>DefaultValues!$B$4</f>
        <v>5</v>
      </c>
      <c r="L1267" s="1">
        <f>DefaultValues!$C$4</f>
        <v>0.5</v>
      </c>
      <c r="M1267" s="1" t="str">
        <f>DefaultValues!$D$4</f>
        <v xml:space="preserve">- Within interchange - </v>
      </c>
      <c r="N1267" s="1">
        <v>878.27801499999998</v>
      </c>
      <c r="O1267" s="1">
        <f>ABS(Table4[[#This Row],[EndMP]]-Table4[[#This Row],[StartMP]])</f>
        <v>0.11299899999998786</v>
      </c>
      <c r="P1267" s="1" t="str">
        <f>IF( AND( Table4[[#This Row],[Route]]=ClosureLocation!$B$3, ClosureLocation!$B$6 &gt;= Table4[[#This Row],[StartMP]], ClosureLocation!$B$6 &lt;= Table4[[#This Row],[EndMP]]), "Yes", "")</f>
        <v/>
      </c>
      <c r="Q1267" s="1" t="str">
        <f>IF( AND( Table4[[#This Row],[Route]]=ClosureLocation!$B$3, ClosureLocation!$B$6 &lt;= Table4[[#This Row],[StartMP]], ClosureLocation!$B$6 &gt;= Table4[[#This Row],[EndMP]]), "Yes", "")</f>
        <v/>
      </c>
      <c r="R1267" s="1" t="str">
        <f>IF( OR( Table4[[#This Row],[PrimaryMatch]]="Yes", Table4[[#This Row],[SecondaryMatch]]="Yes"), "Yes", "")</f>
        <v/>
      </c>
    </row>
    <row r="1268" spans="1:18" hidden="1" x14ac:dyDescent="0.25">
      <c r="A1268" t="s">
        <v>310</v>
      </c>
      <c r="B1268" t="s">
        <v>3209</v>
      </c>
      <c r="C1268" t="s">
        <v>3210</v>
      </c>
      <c r="D1268" t="s">
        <v>3444</v>
      </c>
      <c r="E1268" s="1">
        <v>118.971001</v>
      </c>
      <c r="F1268" s="1">
        <v>118.668999</v>
      </c>
      <c r="K1268" s="39">
        <f>DefaultValues!$B$4</f>
        <v>5</v>
      </c>
      <c r="L1268" s="1">
        <f>DefaultValues!$C$4</f>
        <v>0.5</v>
      </c>
      <c r="M1268" s="1" t="str">
        <f>DefaultValues!$D$4</f>
        <v xml:space="preserve">- Within interchange - </v>
      </c>
      <c r="N1268" s="1">
        <v>881.02899200000002</v>
      </c>
      <c r="O1268" s="1">
        <f>ABS(Table4[[#This Row],[EndMP]]-Table4[[#This Row],[StartMP]])</f>
        <v>0.30200200000000166</v>
      </c>
      <c r="P1268" s="1" t="str">
        <f>IF( AND( Table4[[#This Row],[Route]]=ClosureLocation!$B$3, ClosureLocation!$B$6 &gt;= Table4[[#This Row],[StartMP]], ClosureLocation!$B$6 &lt;= Table4[[#This Row],[EndMP]]), "Yes", "")</f>
        <v/>
      </c>
      <c r="Q1268" s="1" t="str">
        <f>IF( AND( Table4[[#This Row],[Route]]=ClosureLocation!$B$3, ClosureLocation!$B$6 &lt;= Table4[[#This Row],[StartMP]], ClosureLocation!$B$6 &gt;= Table4[[#This Row],[EndMP]]), "Yes", "")</f>
        <v/>
      </c>
      <c r="R1268" s="1" t="str">
        <f>IF( OR( Table4[[#This Row],[PrimaryMatch]]="Yes", Table4[[#This Row],[SecondaryMatch]]="Yes"), "Yes", "")</f>
        <v/>
      </c>
    </row>
    <row r="1269" spans="1:18" hidden="1" x14ac:dyDescent="0.25">
      <c r="A1269" t="s">
        <v>310</v>
      </c>
      <c r="B1269" t="s">
        <v>3209</v>
      </c>
      <c r="C1269" t="s">
        <v>3210</v>
      </c>
      <c r="D1269" t="s">
        <v>3444</v>
      </c>
      <c r="E1269" s="1">
        <v>115.93800400000001</v>
      </c>
      <c r="F1269" s="1">
        <v>115.594002</v>
      </c>
      <c r="K1269" s="39">
        <f>DefaultValues!$B$4</f>
        <v>5</v>
      </c>
      <c r="L1269" s="1">
        <f>DefaultValues!$C$4</f>
        <v>0.5</v>
      </c>
      <c r="M1269" s="1" t="str">
        <f>DefaultValues!$D$4</f>
        <v xml:space="preserve">- Within interchange - </v>
      </c>
      <c r="N1269" s="1">
        <v>884.06201199999998</v>
      </c>
      <c r="O1269" s="1">
        <f>ABS(Table4[[#This Row],[EndMP]]-Table4[[#This Row],[StartMP]])</f>
        <v>0.34400200000000325</v>
      </c>
      <c r="P1269" s="1" t="str">
        <f>IF( AND( Table4[[#This Row],[Route]]=ClosureLocation!$B$3, ClosureLocation!$B$6 &gt;= Table4[[#This Row],[StartMP]], ClosureLocation!$B$6 &lt;= Table4[[#This Row],[EndMP]]), "Yes", "")</f>
        <v/>
      </c>
      <c r="Q1269" s="1" t="str">
        <f>IF( AND( Table4[[#This Row],[Route]]=ClosureLocation!$B$3, ClosureLocation!$B$6 &lt;= Table4[[#This Row],[StartMP]], ClosureLocation!$B$6 &gt;= Table4[[#This Row],[EndMP]]), "Yes", "")</f>
        <v/>
      </c>
      <c r="R1269" s="1" t="str">
        <f>IF( OR( Table4[[#This Row],[PrimaryMatch]]="Yes", Table4[[#This Row],[SecondaryMatch]]="Yes"), "Yes", "")</f>
        <v/>
      </c>
    </row>
    <row r="1270" spans="1:18" hidden="1" x14ac:dyDescent="0.25">
      <c r="A1270" t="s">
        <v>310</v>
      </c>
      <c r="B1270" t="s">
        <v>3209</v>
      </c>
      <c r="C1270" t="s">
        <v>3210</v>
      </c>
      <c r="D1270" t="s">
        <v>3444</v>
      </c>
      <c r="E1270" s="1">
        <v>114.08200100000001</v>
      </c>
      <c r="F1270" s="1">
        <v>113.727997</v>
      </c>
      <c r="K1270" s="39">
        <f>DefaultValues!$B$4</f>
        <v>5</v>
      </c>
      <c r="L1270" s="1">
        <f>DefaultValues!$C$4</f>
        <v>0.5</v>
      </c>
      <c r="M1270" s="1" t="str">
        <f>DefaultValues!$D$4</f>
        <v xml:space="preserve">- Within interchange - </v>
      </c>
      <c r="N1270" s="1">
        <v>885.91803000000004</v>
      </c>
      <c r="O1270" s="1">
        <f>ABS(Table4[[#This Row],[EndMP]]-Table4[[#This Row],[StartMP]])</f>
        <v>0.35400400000000332</v>
      </c>
      <c r="P1270" s="1" t="str">
        <f>IF( AND( Table4[[#This Row],[Route]]=ClosureLocation!$B$3, ClosureLocation!$B$6 &gt;= Table4[[#This Row],[StartMP]], ClosureLocation!$B$6 &lt;= Table4[[#This Row],[EndMP]]), "Yes", "")</f>
        <v/>
      </c>
      <c r="Q1270" s="1" t="str">
        <f>IF( AND( Table4[[#This Row],[Route]]=ClosureLocation!$B$3, ClosureLocation!$B$6 &lt;= Table4[[#This Row],[StartMP]], ClosureLocation!$B$6 &gt;= Table4[[#This Row],[EndMP]]), "Yes", "")</f>
        <v/>
      </c>
      <c r="R1270" s="1" t="str">
        <f>IF( OR( Table4[[#This Row],[PrimaryMatch]]="Yes", Table4[[#This Row],[SecondaryMatch]]="Yes"), "Yes", "")</f>
        <v/>
      </c>
    </row>
    <row r="1271" spans="1:18" hidden="1" x14ac:dyDescent="0.25">
      <c r="A1271" t="s">
        <v>310</v>
      </c>
      <c r="B1271" t="s">
        <v>3209</v>
      </c>
      <c r="C1271" t="s">
        <v>3210</v>
      </c>
      <c r="D1271" t="s">
        <v>3444</v>
      </c>
      <c r="E1271" s="1">
        <v>111.810997</v>
      </c>
      <c r="F1271" s="1">
        <v>111.391998</v>
      </c>
      <c r="K1271" s="39">
        <f>DefaultValues!$B$4</f>
        <v>5</v>
      </c>
      <c r="L1271" s="1">
        <f>DefaultValues!$C$4</f>
        <v>0.5</v>
      </c>
      <c r="M1271" s="1" t="str">
        <f>DefaultValues!$D$4</f>
        <v xml:space="preserve">- Within interchange - </v>
      </c>
      <c r="N1271" s="1">
        <v>888.18902600000001</v>
      </c>
      <c r="O1271" s="1">
        <f>ABS(Table4[[#This Row],[EndMP]]-Table4[[#This Row],[StartMP]])</f>
        <v>0.41899899999999946</v>
      </c>
      <c r="P1271" s="1" t="str">
        <f>IF( AND( Table4[[#This Row],[Route]]=ClosureLocation!$B$3, ClosureLocation!$B$6 &gt;= Table4[[#This Row],[StartMP]], ClosureLocation!$B$6 &lt;= Table4[[#This Row],[EndMP]]), "Yes", "")</f>
        <v/>
      </c>
      <c r="Q1271" s="1" t="str">
        <f>IF( AND( Table4[[#This Row],[Route]]=ClosureLocation!$B$3, ClosureLocation!$B$6 &lt;= Table4[[#This Row],[StartMP]], ClosureLocation!$B$6 &gt;= Table4[[#This Row],[EndMP]]), "Yes", "")</f>
        <v/>
      </c>
      <c r="R1271" s="1" t="str">
        <f>IF( OR( Table4[[#This Row],[PrimaryMatch]]="Yes", Table4[[#This Row],[SecondaryMatch]]="Yes"), "Yes", "")</f>
        <v/>
      </c>
    </row>
    <row r="1272" spans="1:18" hidden="1" x14ac:dyDescent="0.25">
      <c r="A1272" t="s">
        <v>310</v>
      </c>
      <c r="B1272" t="s">
        <v>3209</v>
      </c>
      <c r="C1272" t="s">
        <v>3210</v>
      </c>
      <c r="D1272" t="s">
        <v>3444</v>
      </c>
      <c r="E1272" s="1">
        <v>110.39299800000001</v>
      </c>
      <c r="F1272" s="1">
        <v>109.93699599999999</v>
      </c>
      <c r="K1272" s="39">
        <f>DefaultValues!$B$4</f>
        <v>5</v>
      </c>
      <c r="L1272" s="1">
        <f>DefaultValues!$C$4</f>
        <v>0.5</v>
      </c>
      <c r="M1272" s="1" t="str">
        <f>DefaultValues!$D$4</f>
        <v xml:space="preserve">- Within interchange - </v>
      </c>
      <c r="N1272" s="1">
        <v>889.60699499999998</v>
      </c>
      <c r="O1272" s="1">
        <f>ABS(Table4[[#This Row],[EndMP]]-Table4[[#This Row],[StartMP]])</f>
        <v>0.45600200000001223</v>
      </c>
      <c r="P1272" s="1" t="str">
        <f>IF( AND( Table4[[#This Row],[Route]]=ClosureLocation!$B$3, ClosureLocation!$B$6 &gt;= Table4[[#This Row],[StartMP]], ClosureLocation!$B$6 &lt;= Table4[[#This Row],[EndMP]]), "Yes", "")</f>
        <v/>
      </c>
      <c r="Q1272" s="1" t="str">
        <f>IF( AND( Table4[[#This Row],[Route]]=ClosureLocation!$B$3, ClosureLocation!$B$6 &lt;= Table4[[#This Row],[StartMP]], ClosureLocation!$B$6 &gt;= Table4[[#This Row],[EndMP]]), "Yes", "")</f>
        <v/>
      </c>
      <c r="R1272" s="1" t="str">
        <f>IF( OR( Table4[[#This Row],[PrimaryMatch]]="Yes", Table4[[#This Row],[SecondaryMatch]]="Yes"), "Yes", "")</f>
        <v/>
      </c>
    </row>
    <row r="1273" spans="1:18" hidden="1" x14ac:dyDescent="0.25">
      <c r="A1273" t="s">
        <v>310</v>
      </c>
      <c r="B1273" t="s">
        <v>3209</v>
      </c>
      <c r="C1273" t="s">
        <v>3210</v>
      </c>
      <c r="D1273" t="s">
        <v>3444</v>
      </c>
      <c r="E1273" s="1">
        <v>108.141998</v>
      </c>
      <c r="F1273" s="1">
        <v>107.829002</v>
      </c>
      <c r="K1273" s="39">
        <f>DefaultValues!$B$4</f>
        <v>5</v>
      </c>
      <c r="L1273" s="1">
        <f>DefaultValues!$C$4</f>
        <v>0.5</v>
      </c>
      <c r="M1273" s="1" t="str">
        <f>DefaultValues!$D$4</f>
        <v xml:space="preserve">- Within interchange - </v>
      </c>
      <c r="N1273" s="1">
        <v>891.85797100000002</v>
      </c>
      <c r="O1273" s="1">
        <f>ABS(Table4[[#This Row],[EndMP]]-Table4[[#This Row],[StartMP]])</f>
        <v>0.31299599999999828</v>
      </c>
      <c r="P1273" s="1" t="str">
        <f>IF( AND( Table4[[#This Row],[Route]]=ClosureLocation!$B$3, ClosureLocation!$B$6 &gt;= Table4[[#This Row],[StartMP]], ClosureLocation!$B$6 &lt;= Table4[[#This Row],[EndMP]]), "Yes", "")</f>
        <v/>
      </c>
      <c r="Q1273" s="1" t="str">
        <f>IF( AND( Table4[[#This Row],[Route]]=ClosureLocation!$B$3, ClosureLocation!$B$6 &lt;= Table4[[#This Row],[StartMP]], ClosureLocation!$B$6 &gt;= Table4[[#This Row],[EndMP]]), "Yes", "")</f>
        <v/>
      </c>
      <c r="R1273" s="1" t="str">
        <f>IF( OR( Table4[[#This Row],[PrimaryMatch]]="Yes", Table4[[#This Row],[SecondaryMatch]]="Yes"), "Yes", "")</f>
        <v/>
      </c>
    </row>
    <row r="1274" spans="1:18" hidden="1" x14ac:dyDescent="0.25">
      <c r="A1274" t="s">
        <v>310</v>
      </c>
      <c r="B1274" t="s">
        <v>3209</v>
      </c>
      <c r="C1274" t="s">
        <v>3210</v>
      </c>
      <c r="D1274" t="s">
        <v>3444</v>
      </c>
      <c r="E1274" s="1">
        <v>104.00099899999999</v>
      </c>
      <c r="F1274" s="1">
        <v>103.74099699999999</v>
      </c>
      <c r="K1274" s="39">
        <f>DefaultValues!$B$4</f>
        <v>5</v>
      </c>
      <c r="L1274" s="1">
        <f>DefaultValues!$C$4</f>
        <v>0.5</v>
      </c>
      <c r="M1274" s="1" t="str">
        <f>DefaultValues!$D$4</f>
        <v xml:space="preserve">- Within interchange - </v>
      </c>
      <c r="N1274" s="1">
        <v>895.99902299999997</v>
      </c>
      <c r="O1274" s="1">
        <f>ABS(Table4[[#This Row],[EndMP]]-Table4[[#This Row],[StartMP]])</f>
        <v>0.26000200000000007</v>
      </c>
      <c r="P1274" s="1" t="str">
        <f>IF( AND( Table4[[#This Row],[Route]]=ClosureLocation!$B$3, ClosureLocation!$B$6 &gt;= Table4[[#This Row],[StartMP]], ClosureLocation!$B$6 &lt;= Table4[[#This Row],[EndMP]]), "Yes", "")</f>
        <v/>
      </c>
      <c r="Q1274" s="1" t="str">
        <f>IF( AND( Table4[[#This Row],[Route]]=ClosureLocation!$B$3, ClosureLocation!$B$6 &lt;= Table4[[#This Row],[StartMP]], ClosureLocation!$B$6 &gt;= Table4[[#This Row],[EndMP]]), "Yes", "")</f>
        <v/>
      </c>
      <c r="R1274" s="1" t="str">
        <f>IF( OR( Table4[[#This Row],[PrimaryMatch]]="Yes", Table4[[#This Row],[SecondaryMatch]]="Yes"), "Yes", "")</f>
        <v/>
      </c>
    </row>
    <row r="1275" spans="1:18" hidden="1" x14ac:dyDescent="0.25">
      <c r="A1275" t="s">
        <v>310</v>
      </c>
      <c r="B1275" t="s">
        <v>3209</v>
      </c>
      <c r="C1275" t="s">
        <v>3210</v>
      </c>
      <c r="D1275" t="s">
        <v>3444</v>
      </c>
      <c r="E1275" s="1">
        <v>102.501999</v>
      </c>
      <c r="F1275" s="1">
        <v>102.052002</v>
      </c>
      <c r="K1275" s="39">
        <f>DefaultValues!$B$4</f>
        <v>5</v>
      </c>
      <c r="L1275" s="1">
        <f>DefaultValues!$C$4</f>
        <v>0.5</v>
      </c>
      <c r="M1275" s="1" t="str">
        <f>DefaultValues!$D$4</f>
        <v xml:space="preserve">- Within interchange - </v>
      </c>
      <c r="N1275" s="1">
        <v>897.49798599999997</v>
      </c>
      <c r="O1275" s="1">
        <f>ABS(Table4[[#This Row],[EndMP]]-Table4[[#This Row],[StartMP]])</f>
        <v>0.44999699999999621</v>
      </c>
      <c r="P1275" s="1" t="str">
        <f>IF( AND( Table4[[#This Row],[Route]]=ClosureLocation!$B$3, ClosureLocation!$B$6 &gt;= Table4[[#This Row],[StartMP]], ClosureLocation!$B$6 &lt;= Table4[[#This Row],[EndMP]]), "Yes", "")</f>
        <v/>
      </c>
      <c r="Q1275" s="1" t="str">
        <f>IF( AND( Table4[[#This Row],[Route]]=ClosureLocation!$B$3, ClosureLocation!$B$6 &lt;= Table4[[#This Row],[StartMP]], ClosureLocation!$B$6 &gt;= Table4[[#This Row],[EndMP]]), "Yes", "")</f>
        <v/>
      </c>
      <c r="R1275" s="1" t="str">
        <f>IF( OR( Table4[[#This Row],[PrimaryMatch]]="Yes", Table4[[#This Row],[SecondaryMatch]]="Yes"), "Yes", "")</f>
        <v/>
      </c>
    </row>
    <row r="1276" spans="1:18" hidden="1" x14ac:dyDescent="0.25">
      <c r="A1276" t="s">
        <v>310</v>
      </c>
      <c r="B1276" t="s">
        <v>3209</v>
      </c>
      <c r="C1276" t="s">
        <v>3210</v>
      </c>
      <c r="D1276" t="s">
        <v>3444</v>
      </c>
      <c r="E1276" s="1">
        <v>101.708</v>
      </c>
      <c r="F1276" s="1">
        <v>101.172997</v>
      </c>
      <c r="K1276" s="39">
        <f>DefaultValues!$B$4</f>
        <v>5</v>
      </c>
      <c r="L1276" s="1">
        <f>DefaultValues!$C$4</f>
        <v>0.5</v>
      </c>
      <c r="M1276" s="1" t="str">
        <f>DefaultValues!$D$4</f>
        <v xml:space="preserve">- Within interchange - </v>
      </c>
      <c r="N1276" s="1">
        <v>898.29199200000005</v>
      </c>
      <c r="O1276" s="1">
        <f>ABS(Table4[[#This Row],[EndMP]]-Table4[[#This Row],[StartMP]])</f>
        <v>0.53500300000000323</v>
      </c>
      <c r="P1276" s="1" t="str">
        <f>IF( AND( Table4[[#This Row],[Route]]=ClosureLocation!$B$3, ClosureLocation!$B$6 &gt;= Table4[[#This Row],[StartMP]], ClosureLocation!$B$6 &lt;= Table4[[#This Row],[EndMP]]), "Yes", "")</f>
        <v/>
      </c>
      <c r="Q1276" s="1" t="str">
        <f>IF( AND( Table4[[#This Row],[Route]]=ClosureLocation!$B$3, ClosureLocation!$B$6 &lt;= Table4[[#This Row],[StartMP]], ClosureLocation!$B$6 &gt;= Table4[[#This Row],[EndMP]]), "Yes", "")</f>
        <v/>
      </c>
      <c r="R1276" s="1" t="str">
        <f>IF( OR( Table4[[#This Row],[PrimaryMatch]]="Yes", Table4[[#This Row],[SecondaryMatch]]="Yes"), "Yes", "")</f>
        <v/>
      </c>
    </row>
    <row r="1277" spans="1:18" hidden="1" x14ac:dyDescent="0.25">
      <c r="A1277" t="s">
        <v>310</v>
      </c>
      <c r="B1277" t="s">
        <v>3209</v>
      </c>
      <c r="C1277" t="s">
        <v>3210</v>
      </c>
      <c r="D1277" t="s">
        <v>3444</v>
      </c>
      <c r="E1277" s="1">
        <v>101</v>
      </c>
      <c r="F1277" s="1">
        <v>100.496002</v>
      </c>
      <c r="K1277" s="39">
        <f>DefaultValues!$B$4</f>
        <v>5</v>
      </c>
      <c r="L1277" s="1">
        <f>DefaultValues!$C$4</f>
        <v>0.5</v>
      </c>
      <c r="M1277" s="1" t="str">
        <f>DefaultValues!$D$4</f>
        <v xml:space="preserve">- Within interchange - </v>
      </c>
      <c r="N1277" s="1">
        <v>899</v>
      </c>
      <c r="O1277" s="1">
        <f>ABS(Table4[[#This Row],[EndMP]]-Table4[[#This Row],[StartMP]])</f>
        <v>0.50399799999999573</v>
      </c>
      <c r="P1277" s="1" t="str">
        <f>IF( AND( Table4[[#This Row],[Route]]=ClosureLocation!$B$3, ClosureLocation!$B$6 &gt;= Table4[[#This Row],[StartMP]], ClosureLocation!$B$6 &lt;= Table4[[#This Row],[EndMP]]), "Yes", "")</f>
        <v/>
      </c>
      <c r="Q1277" s="1" t="str">
        <f>IF( AND( Table4[[#This Row],[Route]]=ClosureLocation!$B$3, ClosureLocation!$B$6 &lt;= Table4[[#This Row],[StartMP]], ClosureLocation!$B$6 &gt;= Table4[[#This Row],[EndMP]]), "Yes", "")</f>
        <v/>
      </c>
      <c r="R1277" s="1" t="str">
        <f>IF( OR( Table4[[#This Row],[PrimaryMatch]]="Yes", Table4[[#This Row],[SecondaryMatch]]="Yes"), "Yes", "")</f>
        <v/>
      </c>
    </row>
    <row r="1278" spans="1:18" hidden="1" x14ac:dyDescent="0.25">
      <c r="A1278" t="s">
        <v>310</v>
      </c>
      <c r="B1278" t="s">
        <v>3209</v>
      </c>
      <c r="C1278" t="s">
        <v>3210</v>
      </c>
      <c r="D1278" t="s">
        <v>3444</v>
      </c>
      <c r="E1278" s="1">
        <v>100.221001</v>
      </c>
      <c r="F1278" s="1">
        <v>100</v>
      </c>
      <c r="K1278" s="39">
        <f>DefaultValues!$B$4</f>
        <v>5</v>
      </c>
      <c r="L1278" s="1">
        <f>DefaultValues!$C$4</f>
        <v>0.5</v>
      </c>
      <c r="M1278" s="1" t="str">
        <f>DefaultValues!$D$4</f>
        <v xml:space="preserve">- Within interchange - </v>
      </c>
      <c r="N1278" s="1">
        <v>899.77899200000002</v>
      </c>
      <c r="O1278" s="1">
        <f>ABS(Table4[[#This Row],[EndMP]]-Table4[[#This Row],[StartMP]])</f>
        <v>0.22100100000000111</v>
      </c>
      <c r="P1278" s="1" t="str">
        <f>IF( AND( Table4[[#This Row],[Route]]=ClosureLocation!$B$3, ClosureLocation!$B$6 &gt;= Table4[[#This Row],[StartMP]], ClosureLocation!$B$6 &lt;= Table4[[#This Row],[EndMP]]), "Yes", "")</f>
        <v/>
      </c>
      <c r="Q1278" s="1" t="str">
        <f>IF( AND( Table4[[#This Row],[Route]]=ClosureLocation!$B$3, ClosureLocation!$B$6 &lt;= Table4[[#This Row],[StartMP]], ClosureLocation!$B$6 &gt;= Table4[[#This Row],[EndMP]]), "Yes", "")</f>
        <v/>
      </c>
      <c r="R1278" s="1" t="str">
        <f>IF( OR( Table4[[#This Row],[PrimaryMatch]]="Yes", Table4[[#This Row],[SecondaryMatch]]="Yes"), "Yes", "")</f>
        <v/>
      </c>
    </row>
    <row r="1279" spans="1:18" hidden="1" x14ac:dyDescent="0.25">
      <c r="A1279" t="s">
        <v>310</v>
      </c>
      <c r="B1279" t="s">
        <v>3209</v>
      </c>
      <c r="C1279" t="s">
        <v>3210</v>
      </c>
      <c r="D1279" t="s">
        <v>3444</v>
      </c>
      <c r="E1279" s="1">
        <v>99.527000000000001</v>
      </c>
      <c r="F1279" s="1">
        <v>99.155997999999997</v>
      </c>
      <c r="K1279" s="39">
        <f>DefaultValues!$B$4</f>
        <v>5</v>
      </c>
      <c r="L1279" s="1">
        <f>DefaultValues!$C$4</f>
        <v>0.5</v>
      </c>
      <c r="M1279" s="1" t="str">
        <f>DefaultValues!$D$4</f>
        <v xml:space="preserve">- Within interchange - </v>
      </c>
      <c r="N1279" s="1">
        <v>900.47302200000001</v>
      </c>
      <c r="O1279" s="1">
        <f>ABS(Table4[[#This Row],[EndMP]]-Table4[[#This Row],[StartMP]])</f>
        <v>0.37100200000000427</v>
      </c>
      <c r="P1279" s="1" t="str">
        <f>IF( AND( Table4[[#This Row],[Route]]=ClosureLocation!$B$3, ClosureLocation!$B$6 &gt;= Table4[[#This Row],[StartMP]], ClosureLocation!$B$6 &lt;= Table4[[#This Row],[EndMP]]), "Yes", "")</f>
        <v/>
      </c>
      <c r="Q1279" s="1" t="str">
        <f>IF( AND( Table4[[#This Row],[Route]]=ClosureLocation!$B$3, ClosureLocation!$B$6 &lt;= Table4[[#This Row],[StartMP]], ClosureLocation!$B$6 &gt;= Table4[[#This Row],[EndMP]]), "Yes", "")</f>
        <v/>
      </c>
      <c r="R1279" s="1" t="str">
        <f>IF( OR( Table4[[#This Row],[PrimaryMatch]]="Yes", Table4[[#This Row],[SecondaryMatch]]="Yes"), "Yes", "")</f>
        <v/>
      </c>
    </row>
    <row r="1280" spans="1:18" hidden="1" x14ac:dyDescent="0.25">
      <c r="A1280" t="s">
        <v>310</v>
      </c>
      <c r="B1280" t="s">
        <v>3209</v>
      </c>
      <c r="C1280" t="s">
        <v>3210</v>
      </c>
      <c r="D1280" t="s">
        <v>3444</v>
      </c>
      <c r="E1280" s="1">
        <v>98.727997000000002</v>
      </c>
      <c r="F1280" s="1">
        <v>98.387000999999998</v>
      </c>
      <c r="K1280" s="39">
        <f>DefaultValues!$B$4</f>
        <v>5</v>
      </c>
      <c r="L1280" s="1">
        <f>DefaultValues!$C$4</f>
        <v>0.5</v>
      </c>
      <c r="M1280" s="1" t="str">
        <f>DefaultValues!$D$4</f>
        <v xml:space="preserve">- Within interchange - </v>
      </c>
      <c r="N1280" s="1">
        <v>901.271973</v>
      </c>
      <c r="O1280" s="1">
        <f>ABS(Table4[[#This Row],[EndMP]]-Table4[[#This Row],[StartMP]])</f>
        <v>0.34099600000000407</v>
      </c>
      <c r="P1280" s="1" t="str">
        <f>IF( AND( Table4[[#This Row],[Route]]=ClosureLocation!$B$3, ClosureLocation!$B$6 &gt;= Table4[[#This Row],[StartMP]], ClosureLocation!$B$6 &lt;= Table4[[#This Row],[EndMP]]), "Yes", "")</f>
        <v/>
      </c>
      <c r="Q1280" s="1" t="str">
        <f>IF( AND( Table4[[#This Row],[Route]]=ClosureLocation!$B$3, ClosureLocation!$B$6 &lt;= Table4[[#This Row],[StartMP]], ClosureLocation!$B$6 &gt;= Table4[[#This Row],[EndMP]]), "Yes", "")</f>
        <v/>
      </c>
      <c r="R1280" s="1" t="str">
        <f>IF( OR( Table4[[#This Row],[PrimaryMatch]]="Yes", Table4[[#This Row],[SecondaryMatch]]="Yes"), "Yes", "")</f>
        <v/>
      </c>
    </row>
    <row r="1281" spans="1:18" hidden="1" x14ac:dyDescent="0.25">
      <c r="A1281" t="s">
        <v>310</v>
      </c>
      <c r="B1281" t="s">
        <v>3209</v>
      </c>
      <c r="C1281" t="s">
        <v>3210</v>
      </c>
      <c r="D1281" t="s">
        <v>3444</v>
      </c>
      <c r="E1281" s="1">
        <v>97.837997000000001</v>
      </c>
      <c r="F1281" s="1">
        <v>97.774001999999996</v>
      </c>
      <c r="K1281" s="39">
        <f>DefaultValues!$B$4</f>
        <v>5</v>
      </c>
      <c r="L1281" s="1">
        <f>DefaultValues!$C$4</f>
        <v>0.5</v>
      </c>
      <c r="M1281" s="1" t="str">
        <f>DefaultValues!$D$4</f>
        <v xml:space="preserve">- Within interchange - </v>
      </c>
      <c r="N1281" s="1">
        <v>902.16198699999995</v>
      </c>
      <c r="O1281" s="1">
        <f>ABS(Table4[[#This Row],[EndMP]]-Table4[[#This Row],[StartMP]])</f>
        <v>6.3995000000005575E-2</v>
      </c>
      <c r="P1281" s="1" t="str">
        <f>IF( AND( Table4[[#This Row],[Route]]=ClosureLocation!$B$3, ClosureLocation!$B$6 &gt;= Table4[[#This Row],[StartMP]], ClosureLocation!$B$6 &lt;= Table4[[#This Row],[EndMP]]), "Yes", "")</f>
        <v/>
      </c>
      <c r="Q1281" s="1" t="str">
        <f>IF( AND( Table4[[#This Row],[Route]]=ClosureLocation!$B$3, ClosureLocation!$B$6 &lt;= Table4[[#This Row],[StartMP]], ClosureLocation!$B$6 &gt;= Table4[[#This Row],[EndMP]]), "Yes", "")</f>
        <v/>
      </c>
      <c r="R1281" s="1" t="str">
        <f>IF( OR( Table4[[#This Row],[PrimaryMatch]]="Yes", Table4[[#This Row],[SecondaryMatch]]="Yes"), "Yes", "")</f>
        <v/>
      </c>
    </row>
    <row r="1282" spans="1:18" hidden="1" x14ac:dyDescent="0.25">
      <c r="A1282" t="s">
        <v>310</v>
      </c>
      <c r="B1282" t="s">
        <v>3209</v>
      </c>
      <c r="C1282" t="s">
        <v>3210</v>
      </c>
      <c r="D1282" t="s">
        <v>3444</v>
      </c>
      <c r="E1282" s="1">
        <v>97.528998999999999</v>
      </c>
      <c r="F1282" s="1">
        <v>97.331001000000001</v>
      </c>
      <c r="K1282" s="39">
        <f>DefaultValues!$B$4</f>
        <v>5</v>
      </c>
      <c r="L1282" s="1">
        <f>DefaultValues!$C$4</f>
        <v>0.5</v>
      </c>
      <c r="M1282" s="1" t="str">
        <f>DefaultValues!$D$4</f>
        <v xml:space="preserve">- Within interchange - </v>
      </c>
      <c r="N1282" s="1">
        <v>902.47100799999998</v>
      </c>
      <c r="O1282" s="1">
        <f>ABS(Table4[[#This Row],[EndMP]]-Table4[[#This Row],[StartMP]])</f>
        <v>0.19799799999999834</v>
      </c>
      <c r="P1282" s="1" t="str">
        <f>IF( AND( Table4[[#This Row],[Route]]=ClosureLocation!$B$3, ClosureLocation!$B$6 &gt;= Table4[[#This Row],[StartMP]], ClosureLocation!$B$6 &lt;= Table4[[#This Row],[EndMP]]), "Yes", "")</f>
        <v/>
      </c>
      <c r="Q1282" s="1" t="str">
        <f>IF( AND( Table4[[#This Row],[Route]]=ClosureLocation!$B$3, ClosureLocation!$B$6 &lt;= Table4[[#This Row],[StartMP]], ClosureLocation!$B$6 &gt;= Table4[[#This Row],[EndMP]]), "Yes", "")</f>
        <v/>
      </c>
      <c r="R1282" s="1" t="str">
        <f>IF( OR( Table4[[#This Row],[PrimaryMatch]]="Yes", Table4[[#This Row],[SecondaryMatch]]="Yes"), "Yes", "")</f>
        <v/>
      </c>
    </row>
    <row r="1283" spans="1:18" hidden="1" x14ac:dyDescent="0.25">
      <c r="A1283" t="s">
        <v>310</v>
      </c>
      <c r="B1283" t="s">
        <v>3209</v>
      </c>
      <c r="C1283" t="s">
        <v>3210</v>
      </c>
      <c r="D1283" t="s">
        <v>3444</v>
      </c>
      <c r="E1283" s="1">
        <v>96.828002999999995</v>
      </c>
      <c r="F1283" s="1">
        <v>96.561995999999994</v>
      </c>
      <c r="K1283" s="39">
        <f>DefaultValues!$B$4</f>
        <v>5</v>
      </c>
      <c r="L1283" s="1">
        <f>DefaultValues!$C$4</f>
        <v>0.5</v>
      </c>
      <c r="M1283" s="1" t="str">
        <f>DefaultValues!$D$4</f>
        <v xml:space="preserve">- Within interchange - </v>
      </c>
      <c r="N1283" s="1">
        <v>903.17199700000003</v>
      </c>
      <c r="O1283" s="1">
        <f>ABS(Table4[[#This Row],[EndMP]]-Table4[[#This Row],[StartMP]])</f>
        <v>0.26600700000000188</v>
      </c>
      <c r="P1283" s="1" t="str">
        <f>IF( AND( Table4[[#This Row],[Route]]=ClosureLocation!$B$3, ClosureLocation!$B$6 &gt;= Table4[[#This Row],[StartMP]], ClosureLocation!$B$6 &lt;= Table4[[#This Row],[EndMP]]), "Yes", "")</f>
        <v/>
      </c>
      <c r="Q1283" s="1" t="str">
        <f>IF( AND( Table4[[#This Row],[Route]]=ClosureLocation!$B$3, ClosureLocation!$B$6 &lt;= Table4[[#This Row],[StartMP]], ClosureLocation!$B$6 &gt;= Table4[[#This Row],[EndMP]]), "Yes", "")</f>
        <v/>
      </c>
      <c r="R1283" s="1" t="str">
        <f>IF( OR( Table4[[#This Row],[PrimaryMatch]]="Yes", Table4[[#This Row],[SecondaryMatch]]="Yes"), "Yes", "")</f>
        <v/>
      </c>
    </row>
    <row r="1284" spans="1:18" hidden="1" x14ac:dyDescent="0.25">
      <c r="A1284" t="s">
        <v>310</v>
      </c>
      <c r="B1284" t="s">
        <v>3209</v>
      </c>
      <c r="C1284" t="s">
        <v>3210</v>
      </c>
      <c r="D1284" t="s">
        <v>3444</v>
      </c>
      <c r="E1284" s="1">
        <v>96.059997999999993</v>
      </c>
      <c r="F1284" s="1">
        <v>95.809997999999993</v>
      </c>
      <c r="K1284" s="39">
        <f>DefaultValues!$B$4</f>
        <v>5</v>
      </c>
      <c r="L1284" s="1">
        <f>DefaultValues!$C$4</f>
        <v>0.5</v>
      </c>
      <c r="M1284" s="1" t="str">
        <f>DefaultValues!$D$4</f>
        <v xml:space="preserve">- Within interchange - </v>
      </c>
      <c r="N1284" s="1">
        <v>903.94000200000005</v>
      </c>
      <c r="O1284" s="1">
        <f>ABS(Table4[[#This Row],[EndMP]]-Table4[[#This Row],[StartMP]])</f>
        <v>0.25</v>
      </c>
      <c r="P1284" s="1" t="str">
        <f>IF( AND( Table4[[#This Row],[Route]]=ClosureLocation!$B$3, ClosureLocation!$B$6 &gt;= Table4[[#This Row],[StartMP]], ClosureLocation!$B$6 &lt;= Table4[[#This Row],[EndMP]]), "Yes", "")</f>
        <v/>
      </c>
      <c r="Q1284" s="1" t="str">
        <f>IF( AND( Table4[[#This Row],[Route]]=ClosureLocation!$B$3, ClosureLocation!$B$6 &lt;= Table4[[#This Row],[StartMP]], ClosureLocation!$B$6 &gt;= Table4[[#This Row],[EndMP]]), "Yes", "")</f>
        <v/>
      </c>
      <c r="R1284" s="1" t="str">
        <f>IF( OR( Table4[[#This Row],[PrimaryMatch]]="Yes", Table4[[#This Row],[SecondaryMatch]]="Yes"), "Yes", "")</f>
        <v/>
      </c>
    </row>
    <row r="1285" spans="1:18" hidden="1" x14ac:dyDescent="0.25">
      <c r="A1285" t="s">
        <v>310</v>
      </c>
      <c r="B1285" t="s">
        <v>3209</v>
      </c>
      <c r="C1285" t="s">
        <v>3210</v>
      </c>
      <c r="D1285" t="s">
        <v>3444</v>
      </c>
      <c r="E1285" s="1">
        <v>94.927002000000002</v>
      </c>
      <c r="F1285" s="1">
        <v>94.640998999999994</v>
      </c>
      <c r="K1285" s="39">
        <f>DefaultValues!$B$4</f>
        <v>5</v>
      </c>
      <c r="L1285" s="1">
        <f>DefaultValues!$C$4</f>
        <v>0.5</v>
      </c>
      <c r="M1285" s="1" t="str">
        <f>DefaultValues!$D$4</f>
        <v xml:space="preserve">- Within interchange - </v>
      </c>
      <c r="N1285" s="1">
        <v>905.07299799999998</v>
      </c>
      <c r="O1285" s="1">
        <f>ABS(Table4[[#This Row],[EndMP]]-Table4[[#This Row],[StartMP]])</f>
        <v>0.286003000000008</v>
      </c>
      <c r="P1285" s="1" t="str">
        <f>IF( AND( Table4[[#This Row],[Route]]=ClosureLocation!$B$3, ClosureLocation!$B$6 &gt;= Table4[[#This Row],[StartMP]], ClosureLocation!$B$6 &lt;= Table4[[#This Row],[EndMP]]), "Yes", "")</f>
        <v/>
      </c>
      <c r="Q1285" s="1" t="str">
        <f>IF( AND( Table4[[#This Row],[Route]]=ClosureLocation!$B$3, ClosureLocation!$B$6 &lt;= Table4[[#This Row],[StartMP]], ClosureLocation!$B$6 &gt;= Table4[[#This Row],[EndMP]]), "Yes", "")</f>
        <v/>
      </c>
      <c r="R1285" s="1" t="str">
        <f>IF( OR( Table4[[#This Row],[PrimaryMatch]]="Yes", Table4[[#This Row],[SecondaryMatch]]="Yes"), "Yes", "")</f>
        <v/>
      </c>
    </row>
    <row r="1286" spans="1:18" hidden="1" x14ac:dyDescent="0.25">
      <c r="A1286" t="s">
        <v>310</v>
      </c>
      <c r="B1286" t="s">
        <v>3209</v>
      </c>
      <c r="C1286" t="s">
        <v>3210</v>
      </c>
      <c r="D1286" t="s">
        <v>3444</v>
      </c>
      <c r="E1286" s="1">
        <v>90.777000000000001</v>
      </c>
      <c r="F1286" s="1">
        <v>90.457999999999998</v>
      </c>
      <c r="K1286" s="39">
        <f>DefaultValues!$B$4</f>
        <v>5</v>
      </c>
      <c r="L1286" s="1">
        <f>DefaultValues!$C$4</f>
        <v>0.5</v>
      </c>
      <c r="M1286" s="1" t="str">
        <f>DefaultValues!$D$4</f>
        <v xml:space="preserve">- Within interchange - </v>
      </c>
      <c r="N1286" s="1">
        <v>909.22302200000001</v>
      </c>
      <c r="O1286" s="1">
        <f>ABS(Table4[[#This Row],[EndMP]]-Table4[[#This Row],[StartMP]])</f>
        <v>0.31900000000000261</v>
      </c>
      <c r="P1286" s="1" t="str">
        <f>IF( AND( Table4[[#This Row],[Route]]=ClosureLocation!$B$3, ClosureLocation!$B$6 &gt;= Table4[[#This Row],[StartMP]], ClosureLocation!$B$6 &lt;= Table4[[#This Row],[EndMP]]), "Yes", "")</f>
        <v/>
      </c>
      <c r="Q1286" s="1" t="str">
        <f>IF( AND( Table4[[#This Row],[Route]]=ClosureLocation!$B$3, ClosureLocation!$B$6 &lt;= Table4[[#This Row],[StartMP]], ClosureLocation!$B$6 &gt;= Table4[[#This Row],[EndMP]]), "Yes", "")</f>
        <v/>
      </c>
      <c r="R1286" s="1" t="str">
        <f>IF( OR( Table4[[#This Row],[PrimaryMatch]]="Yes", Table4[[#This Row],[SecondaryMatch]]="Yes"), "Yes", "")</f>
        <v/>
      </c>
    </row>
    <row r="1287" spans="1:18" hidden="1" x14ac:dyDescent="0.25">
      <c r="A1287" t="s">
        <v>310</v>
      </c>
      <c r="B1287" t="s">
        <v>3209</v>
      </c>
      <c r="C1287" t="s">
        <v>3210</v>
      </c>
      <c r="D1287" t="s">
        <v>3444</v>
      </c>
      <c r="E1287" s="1">
        <v>88.149001999999996</v>
      </c>
      <c r="F1287" s="1">
        <v>87.672996999999995</v>
      </c>
      <c r="K1287" s="39">
        <f>DefaultValues!$B$4</f>
        <v>5</v>
      </c>
      <c r="L1287" s="1">
        <f>DefaultValues!$C$4</f>
        <v>0.5</v>
      </c>
      <c r="M1287" s="1" t="str">
        <f>DefaultValues!$D$4</f>
        <v xml:space="preserve">- Within interchange - </v>
      </c>
      <c r="N1287" s="1">
        <v>911.85101299999997</v>
      </c>
      <c r="O1287" s="1">
        <f>ABS(Table4[[#This Row],[EndMP]]-Table4[[#This Row],[StartMP]])</f>
        <v>0.47600500000000068</v>
      </c>
      <c r="P1287" s="1" t="str">
        <f>IF( AND( Table4[[#This Row],[Route]]=ClosureLocation!$B$3, ClosureLocation!$B$6 &gt;= Table4[[#This Row],[StartMP]], ClosureLocation!$B$6 &lt;= Table4[[#This Row],[EndMP]]), "Yes", "")</f>
        <v/>
      </c>
      <c r="Q1287" s="1" t="str">
        <f>IF( AND( Table4[[#This Row],[Route]]=ClosureLocation!$B$3, ClosureLocation!$B$6 &lt;= Table4[[#This Row],[StartMP]], ClosureLocation!$B$6 &gt;= Table4[[#This Row],[EndMP]]), "Yes", "")</f>
        <v/>
      </c>
      <c r="R1287" s="1" t="str">
        <f>IF( OR( Table4[[#This Row],[PrimaryMatch]]="Yes", Table4[[#This Row],[SecondaryMatch]]="Yes"), "Yes", "")</f>
        <v/>
      </c>
    </row>
    <row r="1288" spans="1:18" hidden="1" x14ac:dyDescent="0.25">
      <c r="A1288" t="s">
        <v>310</v>
      </c>
      <c r="B1288" t="s">
        <v>3209</v>
      </c>
      <c r="C1288" t="s">
        <v>3210</v>
      </c>
      <c r="D1288" t="s">
        <v>3444</v>
      </c>
      <c r="E1288" s="1">
        <v>87.127998000000005</v>
      </c>
      <c r="F1288" s="1">
        <v>87.050003000000004</v>
      </c>
      <c r="K1288" s="39">
        <f>DefaultValues!$B$4</f>
        <v>5</v>
      </c>
      <c r="L1288" s="1">
        <f>DefaultValues!$C$4</f>
        <v>0.5</v>
      </c>
      <c r="M1288" s="1" t="str">
        <f>DefaultValues!$D$4</f>
        <v xml:space="preserve">- Within interchange - </v>
      </c>
      <c r="N1288" s="1">
        <v>912.87200900000005</v>
      </c>
      <c r="O1288" s="1">
        <f>ABS(Table4[[#This Row],[EndMP]]-Table4[[#This Row],[StartMP]])</f>
        <v>7.7995000000001369E-2</v>
      </c>
      <c r="P1288" s="1" t="str">
        <f>IF( AND( Table4[[#This Row],[Route]]=ClosureLocation!$B$3, ClosureLocation!$B$6 &gt;= Table4[[#This Row],[StartMP]], ClosureLocation!$B$6 &lt;= Table4[[#This Row],[EndMP]]), "Yes", "")</f>
        <v/>
      </c>
      <c r="Q1288" s="1" t="str">
        <f>IF( AND( Table4[[#This Row],[Route]]=ClosureLocation!$B$3, ClosureLocation!$B$6 &lt;= Table4[[#This Row],[StartMP]], ClosureLocation!$B$6 &gt;= Table4[[#This Row],[EndMP]]), "Yes", "")</f>
        <v/>
      </c>
      <c r="R1288" s="1" t="str">
        <f>IF( OR( Table4[[#This Row],[PrimaryMatch]]="Yes", Table4[[#This Row],[SecondaryMatch]]="Yes"), "Yes", "")</f>
        <v/>
      </c>
    </row>
    <row r="1289" spans="1:18" hidden="1" x14ac:dyDescent="0.25">
      <c r="A1289" t="s">
        <v>310</v>
      </c>
      <c r="B1289" t="s">
        <v>3209</v>
      </c>
      <c r="C1289" t="s">
        <v>3210</v>
      </c>
      <c r="D1289" t="s">
        <v>3444</v>
      </c>
      <c r="E1289" s="1">
        <v>83.660004000000001</v>
      </c>
      <c r="F1289" s="1">
        <v>83.193000999999995</v>
      </c>
      <c r="K1289" s="39">
        <f>DefaultValues!$B$4</f>
        <v>5</v>
      </c>
      <c r="L1289" s="1">
        <f>DefaultValues!$C$4</f>
        <v>0.5</v>
      </c>
      <c r="M1289" s="1" t="str">
        <f>DefaultValues!$D$4</f>
        <v xml:space="preserve">- Within interchange - </v>
      </c>
      <c r="N1289" s="1">
        <v>916.34002699999996</v>
      </c>
      <c r="O1289" s="1">
        <f>ABS(Table4[[#This Row],[EndMP]]-Table4[[#This Row],[StartMP]])</f>
        <v>0.46700300000000539</v>
      </c>
      <c r="P1289" s="1" t="str">
        <f>IF( AND( Table4[[#This Row],[Route]]=ClosureLocation!$B$3, ClosureLocation!$B$6 &gt;= Table4[[#This Row],[StartMP]], ClosureLocation!$B$6 &lt;= Table4[[#This Row],[EndMP]]), "Yes", "")</f>
        <v/>
      </c>
      <c r="Q1289" s="1" t="str">
        <f>IF( AND( Table4[[#This Row],[Route]]=ClosureLocation!$B$3, ClosureLocation!$B$6 &lt;= Table4[[#This Row],[StartMP]], ClosureLocation!$B$6 &gt;= Table4[[#This Row],[EndMP]]), "Yes", "")</f>
        <v/>
      </c>
      <c r="R1289" s="1" t="str">
        <f>IF( OR( Table4[[#This Row],[PrimaryMatch]]="Yes", Table4[[#This Row],[SecondaryMatch]]="Yes"), "Yes", "")</f>
        <v/>
      </c>
    </row>
    <row r="1290" spans="1:18" hidden="1" x14ac:dyDescent="0.25">
      <c r="A1290" t="s">
        <v>310</v>
      </c>
      <c r="B1290" t="s">
        <v>3209</v>
      </c>
      <c r="C1290" t="s">
        <v>3210</v>
      </c>
      <c r="D1290" t="s">
        <v>3444</v>
      </c>
      <c r="E1290" s="1">
        <v>77.511002000000005</v>
      </c>
      <c r="F1290" s="1">
        <v>77.047996999999995</v>
      </c>
      <c r="K1290" s="39">
        <f>DefaultValues!$B$4</f>
        <v>5</v>
      </c>
      <c r="L1290" s="1">
        <f>DefaultValues!$C$4</f>
        <v>0.5</v>
      </c>
      <c r="M1290" s="1" t="str">
        <f>DefaultValues!$D$4</f>
        <v xml:space="preserve">- Within interchange - </v>
      </c>
      <c r="N1290" s="1">
        <v>922.489014</v>
      </c>
      <c r="O1290" s="1">
        <f>ABS(Table4[[#This Row],[EndMP]]-Table4[[#This Row],[StartMP]])</f>
        <v>0.46300500000000966</v>
      </c>
      <c r="P1290" s="1" t="str">
        <f>IF( AND( Table4[[#This Row],[Route]]=ClosureLocation!$B$3, ClosureLocation!$B$6 &gt;= Table4[[#This Row],[StartMP]], ClosureLocation!$B$6 &lt;= Table4[[#This Row],[EndMP]]), "Yes", "")</f>
        <v/>
      </c>
      <c r="Q1290" s="1" t="str">
        <f>IF( AND( Table4[[#This Row],[Route]]=ClosureLocation!$B$3, ClosureLocation!$B$6 &lt;= Table4[[#This Row],[StartMP]], ClosureLocation!$B$6 &gt;= Table4[[#This Row],[EndMP]]), "Yes", "")</f>
        <v/>
      </c>
      <c r="R1290" s="1" t="str">
        <f>IF( OR( Table4[[#This Row],[PrimaryMatch]]="Yes", Table4[[#This Row],[SecondaryMatch]]="Yes"), "Yes", "")</f>
        <v/>
      </c>
    </row>
    <row r="1291" spans="1:18" hidden="1" x14ac:dyDescent="0.25">
      <c r="A1291" t="s">
        <v>310</v>
      </c>
      <c r="B1291" t="s">
        <v>3209</v>
      </c>
      <c r="C1291" t="s">
        <v>3210</v>
      </c>
      <c r="D1291" t="s">
        <v>3444</v>
      </c>
      <c r="E1291" s="1">
        <v>74.597999999999999</v>
      </c>
      <c r="F1291" s="1">
        <v>74.230002999999996</v>
      </c>
      <c r="K1291" s="39">
        <f>DefaultValues!$B$4</f>
        <v>5</v>
      </c>
      <c r="L1291" s="1">
        <f>DefaultValues!$C$4</f>
        <v>0.5</v>
      </c>
      <c r="M1291" s="1" t="str">
        <f>DefaultValues!$D$4</f>
        <v xml:space="preserve">- Within interchange - </v>
      </c>
      <c r="N1291" s="1">
        <v>925.40197799999999</v>
      </c>
      <c r="O1291" s="1">
        <f>ABS(Table4[[#This Row],[EndMP]]-Table4[[#This Row],[StartMP]])</f>
        <v>0.36799700000000257</v>
      </c>
      <c r="P1291" s="1" t="str">
        <f>IF( AND( Table4[[#This Row],[Route]]=ClosureLocation!$B$3, ClosureLocation!$B$6 &gt;= Table4[[#This Row],[StartMP]], ClosureLocation!$B$6 &lt;= Table4[[#This Row],[EndMP]]), "Yes", "")</f>
        <v/>
      </c>
      <c r="Q1291" s="1" t="str">
        <f>IF( AND( Table4[[#This Row],[Route]]=ClosureLocation!$B$3, ClosureLocation!$B$6 &lt;= Table4[[#This Row],[StartMP]], ClosureLocation!$B$6 &gt;= Table4[[#This Row],[EndMP]]), "Yes", "")</f>
        <v/>
      </c>
      <c r="R1291" s="1" t="str">
        <f>IF( OR( Table4[[#This Row],[PrimaryMatch]]="Yes", Table4[[#This Row],[SecondaryMatch]]="Yes"), "Yes", "")</f>
        <v/>
      </c>
    </row>
    <row r="1292" spans="1:18" hidden="1" x14ac:dyDescent="0.25">
      <c r="A1292" t="s">
        <v>310</v>
      </c>
      <c r="B1292" t="s">
        <v>3209</v>
      </c>
      <c r="C1292" t="s">
        <v>3210</v>
      </c>
      <c r="D1292" t="s">
        <v>3444</v>
      </c>
      <c r="E1292" s="1">
        <v>71.443000999999995</v>
      </c>
      <c r="F1292" s="1">
        <v>70.936995999999994</v>
      </c>
      <c r="K1292" s="39">
        <f>DefaultValues!$B$4</f>
        <v>5</v>
      </c>
      <c r="L1292" s="1">
        <f>DefaultValues!$C$4</f>
        <v>0.5</v>
      </c>
      <c r="M1292" s="1" t="str">
        <f>DefaultValues!$D$4</f>
        <v xml:space="preserve">- Within interchange - </v>
      </c>
      <c r="N1292" s="1">
        <v>928.557007</v>
      </c>
      <c r="O1292" s="1">
        <f>ABS(Table4[[#This Row],[EndMP]]-Table4[[#This Row],[StartMP]])</f>
        <v>0.50600500000000181</v>
      </c>
      <c r="P1292" s="1" t="str">
        <f>IF( AND( Table4[[#This Row],[Route]]=ClosureLocation!$B$3, ClosureLocation!$B$6 &gt;= Table4[[#This Row],[StartMP]], ClosureLocation!$B$6 &lt;= Table4[[#This Row],[EndMP]]), "Yes", "")</f>
        <v/>
      </c>
      <c r="Q1292" s="1" t="str">
        <f>IF( AND( Table4[[#This Row],[Route]]=ClosureLocation!$B$3, ClosureLocation!$B$6 &lt;= Table4[[#This Row],[StartMP]], ClosureLocation!$B$6 &gt;= Table4[[#This Row],[EndMP]]), "Yes", "")</f>
        <v/>
      </c>
      <c r="R1292" s="1" t="str">
        <f>IF( OR( Table4[[#This Row],[PrimaryMatch]]="Yes", Table4[[#This Row],[SecondaryMatch]]="Yes"), "Yes", "")</f>
        <v/>
      </c>
    </row>
    <row r="1293" spans="1:18" hidden="1" x14ac:dyDescent="0.25">
      <c r="A1293" t="s">
        <v>310</v>
      </c>
      <c r="B1293" t="s">
        <v>3209</v>
      </c>
      <c r="C1293" t="s">
        <v>3210</v>
      </c>
      <c r="D1293" t="s">
        <v>3444</v>
      </c>
      <c r="E1293" s="1">
        <v>66.920997999999997</v>
      </c>
      <c r="F1293" s="1">
        <v>66.555999999999997</v>
      </c>
      <c r="K1293" s="39">
        <f>DefaultValues!$B$4</f>
        <v>5</v>
      </c>
      <c r="L1293" s="1">
        <f>DefaultValues!$C$4</f>
        <v>0.5</v>
      </c>
      <c r="M1293" s="1" t="str">
        <f>DefaultValues!$D$4</f>
        <v xml:space="preserve">- Within interchange - </v>
      </c>
      <c r="N1293" s="1">
        <v>933.078979</v>
      </c>
      <c r="O1293" s="1">
        <f>ABS(Table4[[#This Row],[EndMP]]-Table4[[#This Row],[StartMP]])</f>
        <v>0.36499799999999993</v>
      </c>
      <c r="P1293" s="1" t="str">
        <f>IF( AND( Table4[[#This Row],[Route]]=ClosureLocation!$B$3, ClosureLocation!$B$6 &gt;= Table4[[#This Row],[StartMP]], ClosureLocation!$B$6 &lt;= Table4[[#This Row],[EndMP]]), "Yes", "")</f>
        <v/>
      </c>
      <c r="Q1293" s="1" t="str">
        <f>IF( AND( Table4[[#This Row],[Route]]=ClosureLocation!$B$3, ClosureLocation!$B$6 &lt;= Table4[[#This Row],[StartMP]], ClosureLocation!$B$6 &gt;= Table4[[#This Row],[EndMP]]), "Yes", "")</f>
        <v/>
      </c>
      <c r="R1293" s="1" t="str">
        <f>IF( OR( Table4[[#This Row],[PrimaryMatch]]="Yes", Table4[[#This Row],[SecondaryMatch]]="Yes"), "Yes", "")</f>
        <v/>
      </c>
    </row>
    <row r="1294" spans="1:18" hidden="1" x14ac:dyDescent="0.25">
      <c r="A1294" t="s">
        <v>310</v>
      </c>
      <c r="B1294" t="s">
        <v>3209</v>
      </c>
      <c r="C1294" t="s">
        <v>3210</v>
      </c>
      <c r="D1294" t="s">
        <v>3444</v>
      </c>
      <c r="E1294" s="1">
        <v>64.205001999999993</v>
      </c>
      <c r="F1294" s="1">
        <v>63.825001</v>
      </c>
      <c r="K1294" s="39">
        <f>DefaultValues!$B$4</f>
        <v>5</v>
      </c>
      <c r="L1294" s="1">
        <f>DefaultValues!$C$4</f>
        <v>0.5</v>
      </c>
      <c r="M1294" s="1" t="str">
        <f>DefaultValues!$D$4</f>
        <v xml:space="preserve">- Within interchange - </v>
      </c>
      <c r="N1294" s="1">
        <v>935.794983</v>
      </c>
      <c r="O1294" s="1">
        <f>ABS(Table4[[#This Row],[EndMP]]-Table4[[#This Row],[StartMP]])</f>
        <v>0.38000099999999293</v>
      </c>
      <c r="P1294" s="1" t="str">
        <f>IF( AND( Table4[[#This Row],[Route]]=ClosureLocation!$B$3, ClosureLocation!$B$6 &gt;= Table4[[#This Row],[StartMP]], ClosureLocation!$B$6 &lt;= Table4[[#This Row],[EndMP]]), "Yes", "")</f>
        <v/>
      </c>
      <c r="Q1294" s="1" t="str">
        <f>IF( AND( Table4[[#This Row],[Route]]=ClosureLocation!$B$3, ClosureLocation!$B$6 &lt;= Table4[[#This Row],[StartMP]], ClosureLocation!$B$6 &gt;= Table4[[#This Row],[EndMP]]), "Yes", "")</f>
        <v/>
      </c>
      <c r="R1294" s="1" t="str">
        <f>IF( OR( Table4[[#This Row],[PrimaryMatch]]="Yes", Table4[[#This Row],[SecondaryMatch]]="Yes"), "Yes", "")</f>
        <v/>
      </c>
    </row>
    <row r="1295" spans="1:18" hidden="1" x14ac:dyDescent="0.25">
      <c r="A1295" t="s">
        <v>310</v>
      </c>
      <c r="B1295" t="s">
        <v>3209</v>
      </c>
      <c r="C1295" t="s">
        <v>3210</v>
      </c>
      <c r="D1295" t="s">
        <v>3444</v>
      </c>
      <c r="E1295" s="1">
        <v>60.254002</v>
      </c>
      <c r="F1295" s="1">
        <v>59.952998999999998</v>
      </c>
      <c r="K1295" s="39">
        <f>DefaultValues!$B$4</f>
        <v>5</v>
      </c>
      <c r="L1295" s="1">
        <f>DefaultValues!$C$4</f>
        <v>0.5</v>
      </c>
      <c r="M1295" s="1" t="str">
        <f>DefaultValues!$D$4</f>
        <v xml:space="preserve">- Within interchange - </v>
      </c>
      <c r="N1295" s="1">
        <v>939.74597200000005</v>
      </c>
      <c r="O1295" s="1">
        <f>ABS(Table4[[#This Row],[EndMP]]-Table4[[#This Row],[StartMP]])</f>
        <v>0.30100300000000146</v>
      </c>
      <c r="P1295" s="1" t="str">
        <f>IF( AND( Table4[[#This Row],[Route]]=ClosureLocation!$B$3, ClosureLocation!$B$6 &gt;= Table4[[#This Row],[StartMP]], ClosureLocation!$B$6 &lt;= Table4[[#This Row],[EndMP]]), "Yes", "")</f>
        <v/>
      </c>
      <c r="Q1295" s="1" t="str">
        <f>IF( AND( Table4[[#This Row],[Route]]=ClosureLocation!$B$3, ClosureLocation!$B$6 &lt;= Table4[[#This Row],[StartMP]], ClosureLocation!$B$6 &gt;= Table4[[#This Row],[EndMP]]), "Yes", "")</f>
        <v/>
      </c>
      <c r="R1295" s="1" t="str">
        <f>IF( OR( Table4[[#This Row],[PrimaryMatch]]="Yes", Table4[[#This Row],[SecondaryMatch]]="Yes"), "Yes", "")</f>
        <v/>
      </c>
    </row>
    <row r="1296" spans="1:18" hidden="1" x14ac:dyDescent="0.25">
      <c r="A1296" t="s">
        <v>310</v>
      </c>
      <c r="B1296" t="s">
        <v>3209</v>
      </c>
      <c r="C1296" t="s">
        <v>3210</v>
      </c>
      <c r="D1296" t="s">
        <v>3444</v>
      </c>
      <c r="E1296" s="1">
        <v>58.606997999999997</v>
      </c>
      <c r="F1296" s="1">
        <v>58.402000000000001</v>
      </c>
      <c r="K1296" s="39">
        <f>DefaultValues!$B$4</f>
        <v>5</v>
      </c>
      <c r="L1296" s="1">
        <f>DefaultValues!$C$4</f>
        <v>0.5</v>
      </c>
      <c r="M1296" s="1" t="str">
        <f>DefaultValues!$D$4</f>
        <v xml:space="preserve">- Within interchange - </v>
      </c>
      <c r="N1296" s="1">
        <v>941.39300500000002</v>
      </c>
      <c r="O1296" s="1">
        <f>ABS(Table4[[#This Row],[EndMP]]-Table4[[#This Row],[StartMP]])</f>
        <v>0.20499799999999624</v>
      </c>
      <c r="P1296" s="1" t="str">
        <f>IF( AND( Table4[[#This Row],[Route]]=ClosureLocation!$B$3, ClosureLocation!$B$6 &gt;= Table4[[#This Row],[StartMP]], ClosureLocation!$B$6 &lt;= Table4[[#This Row],[EndMP]]), "Yes", "")</f>
        <v/>
      </c>
      <c r="Q1296" s="1" t="str">
        <f>IF( AND( Table4[[#This Row],[Route]]=ClosureLocation!$B$3, ClosureLocation!$B$6 &lt;= Table4[[#This Row],[StartMP]], ClosureLocation!$B$6 &gt;= Table4[[#This Row],[EndMP]]), "Yes", "")</f>
        <v/>
      </c>
      <c r="R1296" s="1" t="str">
        <f>IF( OR( Table4[[#This Row],[PrimaryMatch]]="Yes", Table4[[#This Row],[SecondaryMatch]]="Yes"), "Yes", "")</f>
        <v/>
      </c>
    </row>
    <row r="1297" spans="1:18" hidden="1" x14ac:dyDescent="0.25">
      <c r="A1297" t="s">
        <v>310</v>
      </c>
      <c r="B1297" t="s">
        <v>3209</v>
      </c>
      <c r="C1297" t="s">
        <v>3210</v>
      </c>
      <c r="D1297" t="s">
        <v>3444</v>
      </c>
      <c r="E1297" s="1">
        <v>56.366000999999997</v>
      </c>
      <c r="F1297" s="1">
        <v>55.959999000000003</v>
      </c>
      <c r="K1297" s="39">
        <f>DefaultValues!$B$4</f>
        <v>5</v>
      </c>
      <c r="L1297" s="1">
        <f>DefaultValues!$C$4</f>
        <v>0.5</v>
      </c>
      <c r="M1297" s="1" t="str">
        <f>DefaultValues!$D$4</f>
        <v xml:space="preserve">- Within interchange - </v>
      </c>
      <c r="N1297" s="1">
        <v>943.63397199999997</v>
      </c>
      <c r="O1297" s="1">
        <f>ABS(Table4[[#This Row],[EndMP]]-Table4[[#This Row],[StartMP]])</f>
        <v>0.40600199999999376</v>
      </c>
      <c r="P1297" s="1" t="str">
        <f>IF( AND( Table4[[#This Row],[Route]]=ClosureLocation!$B$3, ClosureLocation!$B$6 &gt;= Table4[[#This Row],[StartMP]], ClosureLocation!$B$6 &lt;= Table4[[#This Row],[EndMP]]), "Yes", "")</f>
        <v/>
      </c>
      <c r="Q1297" s="1" t="str">
        <f>IF( AND( Table4[[#This Row],[Route]]=ClosureLocation!$B$3, ClosureLocation!$B$6 &lt;= Table4[[#This Row],[StartMP]], ClosureLocation!$B$6 &gt;= Table4[[#This Row],[EndMP]]), "Yes", "")</f>
        <v/>
      </c>
      <c r="R1297" s="1" t="str">
        <f>IF( OR( Table4[[#This Row],[PrimaryMatch]]="Yes", Table4[[#This Row],[SecondaryMatch]]="Yes"), "Yes", "")</f>
        <v/>
      </c>
    </row>
    <row r="1298" spans="1:18" hidden="1" x14ac:dyDescent="0.25">
      <c r="A1298" t="s">
        <v>310</v>
      </c>
      <c r="B1298" t="s">
        <v>3209</v>
      </c>
      <c r="C1298" t="s">
        <v>3210</v>
      </c>
      <c r="D1298" t="s">
        <v>3444</v>
      </c>
      <c r="E1298" s="1">
        <v>55.110999999999997</v>
      </c>
      <c r="F1298" s="1">
        <v>54.803001000000002</v>
      </c>
      <c r="K1298" s="39">
        <f>DefaultValues!$B$4</f>
        <v>5</v>
      </c>
      <c r="L1298" s="1">
        <f>DefaultValues!$C$4</f>
        <v>0.5</v>
      </c>
      <c r="M1298" s="1" t="str">
        <f>DefaultValues!$D$4</f>
        <v xml:space="preserve">- Within interchange - </v>
      </c>
      <c r="N1298" s="1">
        <v>944.88897699999995</v>
      </c>
      <c r="O1298" s="1">
        <f>ABS(Table4[[#This Row],[EndMP]]-Table4[[#This Row],[StartMP]])</f>
        <v>0.30799899999999525</v>
      </c>
      <c r="P1298" s="1" t="str">
        <f>IF( AND( Table4[[#This Row],[Route]]=ClosureLocation!$B$3, ClosureLocation!$B$6 &gt;= Table4[[#This Row],[StartMP]], ClosureLocation!$B$6 &lt;= Table4[[#This Row],[EndMP]]), "Yes", "")</f>
        <v/>
      </c>
      <c r="Q1298" s="1" t="str">
        <f>IF( AND( Table4[[#This Row],[Route]]=ClosureLocation!$B$3, ClosureLocation!$B$6 &lt;= Table4[[#This Row],[StartMP]], ClosureLocation!$B$6 &gt;= Table4[[#This Row],[EndMP]]), "Yes", "")</f>
        <v/>
      </c>
      <c r="R1298" s="1" t="str">
        <f>IF( OR( Table4[[#This Row],[PrimaryMatch]]="Yes", Table4[[#This Row],[SecondaryMatch]]="Yes"), "Yes", "")</f>
        <v/>
      </c>
    </row>
    <row r="1299" spans="1:18" hidden="1" x14ac:dyDescent="0.25">
      <c r="A1299" t="s">
        <v>310</v>
      </c>
      <c r="B1299" t="s">
        <v>3209</v>
      </c>
      <c r="C1299" t="s">
        <v>3210</v>
      </c>
      <c r="D1299" t="s">
        <v>3444</v>
      </c>
      <c r="E1299" s="1">
        <v>52.543998999999999</v>
      </c>
      <c r="F1299" s="1">
        <v>52.173999999999999</v>
      </c>
      <c r="K1299" s="39">
        <f>DefaultValues!$B$4</f>
        <v>5</v>
      </c>
      <c r="L1299" s="1">
        <f>DefaultValues!$C$4</f>
        <v>0.5</v>
      </c>
      <c r="M1299" s="1" t="str">
        <f>DefaultValues!$D$4</f>
        <v xml:space="preserve">- Within interchange - </v>
      </c>
      <c r="N1299" s="1">
        <v>947.45599400000003</v>
      </c>
      <c r="O1299" s="1">
        <f>ABS(Table4[[#This Row],[EndMP]]-Table4[[#This Row],[StartMP]])</f>
        <v>0.36999899999999997</v>
      </c>
      <c r="P1299" s="1" t="str">
        <f>IF( AND( Table4[[#This Row],[Route]]=ClosureLocation!$B$3, ClosureLocation!$B$6 &gt;= Table4[[#This Row],[StartMP]], ClosureLocation!$B$6 &lt;= Table4[[#This Row],[EndMP]]), "Yes", "")</f>
        <v/>
      </c>
      <c r="Q1299" s="1" t="str">
        <f>IF( AND( Table4[[#This Row],[Route]]=ClosureLocation!$B$3, ClosureLocation!$B$6 &lt;= Table4[[#This Row],[StartMP]], ClosureLocation!$B$6 &gt;= Table4[[#This Row],[EndMP]]), "Yes", "")</f>
        <v/>
      </c>
      <c r="R1299" s="1" t="str">
        <f>IF( OR( Table4[[#This Row],[PrimaryMatch]]="Yes", Table4[[#This Row],[SecondaryMatch]]="Yes"), "Yes", "")</f>
        <v/>
      </c>
    </row>
    <row r="1300" spans="1:18" hidden="1" x14ac:dyDescent="0.25">
      <c r="A1300" t="s">
        <v>310</v>
      </c>
      <c r="B1300" t="s">
        <v>3209</v>
      </c>
      <c r="C1300" t="s">
        <v>3210</v>
      </c>
      <c r="D1300" t="s">
        <v>3444</v>
      </c>
      <c r="E1300" s="1">
        <v>49.938999000000003</v>
      </c>
      <c r="F1300" s="1">
        <v>49.868000000000002</v>
      </c>
      <c r="K1300" s="39">
        <f>DefaultValues!$B$4</f>
        <v>5</v>
      </c>
      <c r="L1300" s="1">
        <f>DefaultValues!$C$4</f>
        <v>0.5</v>
      </c>
      <c r="M1300" s="1" t="str">
        <f>DefaultValues!$D$4</f>
        <v xml:space="preserve">- Within interchange - </v>
      </c>
      <c r="N1300" s="1">
        <v>950.06097399999999</v>
      </c>
      <c r="O1300" s="1">
        <f>ABS(Table4[[#This Row],[EndMP]]-Table4[[#This Row],[StartMP]])</f>
        <v>7.0999000000000478E-2</v>
      </c>
      <c r="P1300" s="1" t="str">
        <f>IF( AND( Table4[[#This Row],[Route]]=ClosureLocation!$B$3, ClosureLocation!$B$6 &gt;= Table4[[#This Row],[StartMP]], ClosureLocation!$B$6 &lt;= Table4[[#This Row],[EndMP]]), "Yes", "")</f>
        <v/>
      </c>
      <c r="Q1300" s="1" t="str">
        <f>IF( AND( Table4[[#This Row],[Route]]=ClosureLocation!$B$3, ClosureLocation!$B$6 &lt;= Table4[[#This Row],[StartMP]], ClosureLocation!$B$6 &gt;= Table4[[#This Row],[EndMP]]), "Yes", "")</f>
        <v/>
      </c>
      <c r="R1300" s="1" t="str">
        <f>IF( OR( Table4[[#This Row],[PrimaryMatch]]="Yes", Table4[[#This Row],[SecondaryMatch]]="Yes"), "Yes", "")</f>
        <v/>
      </c>
    </row>
    <row r="1301" spans="1:18" hidden="1" x14ac:dyDescent="0.25">
      <c r="A1301" t="s">
        <v>310</v>
      </c>
      <c r="B1301" t="s">
        <v>3209</v>
      </c>
      <c r="C1301" t="s">
        <v>3210</v>
      </c>
      <c r="D1301" t="s">
        <v>3444</v>
      </c>
      <c r="E1301" s="1">
        <v>49.266998000000001</v>
      </c>
      <c r="F1301" s="1">
        <v>48.826999999999998</v>
      </c>
      <c r="K1301" s="39">
        <f>DefaultValues!$B$4</f>
        <v>5</v>
      </c>
      <c r="L1301" s="1">
        <f>DefaultValues!$C$4</f>
        <v>0.5</v>
      </c>
      <c r="M1301" s="1" t="str">
        <f>DefaultValues!$D$4</f>
        <v xml:space="preserve">- Within interchange - </v>
      </c>
      <c r="N1301" s="1">
        <v>950.73297100000002</v>
      </c>
      <c r="O1301" s="1">
        <f>ABS(Table4[[#This Row],[EndMP]]-Table4[[#This Row],[StartMP]])</f>
        <v>0.43999800000000278</v>
      </c>
      <c r="P1301" s="1" t="str">
        <f>IF( AND( Table4[[#This Row],[Route]]=ClosureLocation!$B$3, ClosureLocation!$B$6 &gt;= Table4[[#This Row],[StartMP]], ClosureLocation!$B$6 &lt;= Table4[[#This Row],[EndMP]]), "Yes", "")</f>
        <v/>
      </c>
      <c r="Q1301" s="1" t="str">
        <f>IF( AND( Table4[[#This Row],[Route]]=ClosureLocation!$B$3, ClosureLocation!$B$6 &lt;= Table4[[#This Row],[StartMP]], ClosureLocation!$B$6 &gt;= Table4[[#This Row],[EndMP]]), "Yes", "")</f>
        <v/>
      </c>
      <c r="R1301" s="1" t="str">
        <f>IF( OR( Table4[[#This Row],[PrimaryMatch]]="Yes", Table4[[#This Row],[SecondaryMatch]]="Yes"), "Yes", "")</f>
        <v/>
      </c>
    </row>
    <row r="1302" spans="1:18" hidden="1" x14ac:dyDescent="0.25">
      <c r="A1302" t="s">
        <v>310</v>
      </c>
      <c r="B1302" t="s">
        <v>3209</v>
      </c>
      <c r="C1302" t="s">
        <v>3210</v>
      </c>
      <c r="D1302" t="s">
        <v>3444</v>
      </c>
      <c r="E1302" s="1">
        <v>42.145000000000003</v>
      </c>
      <c r="F1302" s="1">
        <v>41.506999999999998</v>
      </c>
      <c r="K1302" s="39">
        <f>DefaultValues!$B$4</f>
        <v>5</v>
      </c>
      <c r="L1302" s="1">
        <f>DefaultValues!$C$4</f>
        <v>0.5</v>
      </c>
      <c r="M1302" s="1" t="str">
        <f>DefaultValues!$D$4</f>
        <v xml:space="preserve">- Within interchange - </v>
      </c>
      <c r="N1302" s="1">
        <v>957.85497999999995</v>
      </c>
      <c r="O1302" s="1">
        <f>ABS(Table4[[#This Row],[EndMP]]-Table4[[#This Row],[StartMP]])</f>
        <v>0.63800000000000523</v>
      </c>
      <c r="P1302" s="1" t="str">
        <f>IF( AND( Table4[[#This Row],[Route]]=ClosureLocation!$B$3, ClosureLocation!$B$6 &gt;= Table4[[#This Row],[StartMP]], ClosureLocation!$B$6 &lt;= Table4[[#This Row],[EndMP]]), "Yes", "")</f>
        <v/>
      </c>
      <c r="Q1302" s="1" t="str">
        <f>IF( AND( Table4[[#This Row],[Route]]=ClosureLocation!$B$3, ClosureLocation!$B$6 &lt;= Table4[[#This Row],[StartMP]], ClosureLocation!$B$6 &gt;= Table4[[#This Row],[EndMP]]), "Yes", "")</f>
        <v/>
      </c>
      <c r="R1302" s="1" t="str">
        <f>IF( OR( Table4[[#This Row],[PrimaryMatch]]="Yes", Table4[[#This Row],[SecondaryMatch]]="Yes"), "Yes", "")</f>
        <v/>
      </c>
    </row>
    <row r="1303" spans="1:18" hidden="1" x14ac:dyDescent="0.25">
      <c r="A1303" t="s">
        <v>310</v>
      </c>
      <c r="B1303" t="s">
        <v>3209</v>
      </c>
      <c r="C1303" t="s">
        <v>3210</v>
      </c>
      <c r="D1303" t="s">
        <v>3444</v>
      </c>
      <c r="E1303" s="1">
        <v>40.657001000000001</v>
      </c>
      <c r="F1303" s="1">
        <v>40.356997999999997</v>
      </c>
      <c r="K1303" s="39">
        <f>DefaultValues!$B$4</f>
        <v>5</v>
      </c>
      <c r="L1303" s="1">
        <f>DefaultValues!$C$4</f>
        <v>0.5</v>
      </c>
      <c r="M1303" s="1" t="str">
        <f>DefaultValues!$D$4</f>
        <v xml:space="preserve">- Within interchange - </v>
      </c>
      <c r="N1303" s="1">
        <v>959.34301800000003</v>
      </c>
      <c r="O1303" s="1">
        <f>ABS(Table4[[#This Row],[EndMP]]-Table4[[#This Row],[StartMP]])</f>
        <v>0.30000300000000379</v>
      </c>
      <c r="P1303" s="1" t="str">
        <f>IF( AND( Table4[[#This Row],[Route]]=ClosureLocation!$B$3, ClosureLocation!$B$6 &gt;= Table4[[#This Row],[StartMP]], ClosureLocation!$B$6 &lt;= Table4[[#This Row],[EndMP]]), "Yes", "")</f>
        <v/>
      </c>
      <c r="Q1303" s="1" t="str">
        <f>IF( AND( Table4[[#This Row],[Route]]=ClosureLocation!$B$3, ClosureLocation!$B$6 &lt;= Table4[[#This Row],[StartMP]], ClosureLocation!$B$6 &gt;= Table4[[#This Row],[EndMP]]), "Yes", "")</f>
        <v/>
      </c>
      <c r="R1303" s="1" t="str">
        <f>IF( OR( Table4[[#This Row],[PrimaryMatch]]="Yes", Table4[[#This Row],[SecondaryMatch]]="Yes"), "Yes", "")</f>
        <v/>
      </c>
    </row>
    <row r="1304" spans="1:18" hidden="1" x14ac:dyDescent="0.25">
      <c r="A1304" t="s">
        <v>310</v>
      </c>
      <c r="B1304" t="s">
        <v>3209</v>
      </c>
      <c r="C1304" t="s">
        <v>3210</v>
      </c>
      <c r="D1304" t="s">
        <v>3444</v>
      </c>
      <c r="E1304" s="1">
        <v>34.228999999999999</v>
      </c>
      <c r="F1304" s="1">
        <v>34</v>
      </c>
      <c r="K1304" s="39">
        <f>DefaultValues!$B$4</f>
        <v>5</v>
      </c>
      <c r="L1304" s="1">
        <f>DefaultValues!$C$4</f>
        <v>0.5</v>
      </c>
      <c r="M1304" s="1" t="str">
        <f>DefaultValues!$D$4</f>
        <v xml:space="preserve">- Within interchange - </v>
      </c>
      <c r="N1304" s="1">
        <v>965.77099599999997</v>
      </c>
      <c r="O1304" s="1">
        <f>ABS(Table4[[#This Row],[EndMP]]-Table4[[#This Row],[StartMP]])</f>
        <v>0.2289999999999992</v>
      </c>
      <c r="P1304" s="1" t="str">
        <f>IF( AND( Table4[[#This Row],[Route]]=ClosureLocation!$B$3, ClosureLocation!$B$6 &gt;= Table4[[#This Row],[StartMP]], ClosureLocation!$B$6 &lt;= Table4[[#This Row],[EndMP]]), "Yes", "")</f>
        <v/>
      </c>
      <c r="Q1304" s="1" t="str">
        <f>IF( AND( Table4[[#This Row],[Route]]=ClosureLocation!$B$3, ClosureLocation!$B$6 &lt;= Table4[[#This Row],[StartMP]], ClosureLocation!$B$6 &gt;= Table4[[#This Row],[EndMP]]), "Yes", "")</f>
        <v/>
      </c>
      <c r="R1304" s="1" t="str">
        <f>IF( OR( Table4[[#This Row],[PrimaryMatch]]="Yes", Table4[[#This Row],[SecondaryMatch]]="Yes"), "Yes", "")</f>
        <v/>
      </c>
    </row>
    <row r="1305" spans="1:18" hidden="1" x14ac:dyDescent="0.25">
      <c r="A1305" t="s">
        <v>310</v>
      </c>
      <c r="B1305" t="s">
        <v>3209</v>
      </c>
      <c r="C1305" t="s">
        <v>3210</v>
      </c>
      <c r="D1305" t="s">
        <v>3444</v>
      </c>
      <c r="E1305" s="1">
        <v>30.665001</v>
      </c>
      <c r="F1305" s="1">
        <v>30.370000999999998</v>
      </c>
      <c r="K1305" s="39">
        <f>DefaultValues!$B$4</f>
        <v>5</v>
      </c>
      <c r="L1305" s="1">
        <f>DefaultValues!$C$4</f>
        <v>0.5</v>
      </c>
      <c r="M1305" s="1" t="str">
        <f>DefaultValues!$D$4</f>
        <v xml:space="preserve">- Within interchange - </v>
      </c>
      <c r="N1305" s="1">
        <v>969.33502199999998</v>
      </c>
      <c r="O1305" s="1">
        <f>ABS(Table4[[#This Row],[EndMP]]-Table4[[#This Row],[StartMP]])</f>
        <v>0.29500000000000171</v>
      </c>
      <c r="P1305" s="1" t="str">
        <f>IF( AND( Table4[[#This Row],[Route]]=ClosureLocation!$B$3, ClosureLocation!$B$6 &gt;= Table4[[#This Row],[StartMP]], ClosureLocation!$B$6 &lt;= Table4[[#This Row],[EndMP]]), "Yes", "")</f>
        <v/>
      </c>
      <c r="Q1305" s="1" t="str">
        <f>IF( AND( Table4[[#This Row],[Route]]=ClosureLocation!$B$3, ClosureLocation!$B$6 &lt;= Table4[[#This Row],[StartMP]], ClosureLocation!$B$6 &gt;= Table4[[#This Row],[EndMP]]), "Yes", "")</f>
        <v/>
      </c>
      <c r="R1305" s="1" t="str">
        <f>IF( OR( Table4[[#This Row],[PrimaryMatch]]="Yes", Table4[[#This Row],[SecondaryMatch]]="Yes"), "Yes", "")</f>
        <v/>
      </c>
    </row>
    <row r="1306" spans="1:18" hidden="1" x14ac:dyDescent="0.25">
      <c r="A1306" t="s">
        <v>310</v>
      </c>
      <c r="B1306" t="s">
        <v>3209</v>
      </c>
      <c r="C1306" t="s">
        <v>3210</v>
      </c>
      <c r="D1306" t="s">
        <v>3444</v>
      </c>
      <c r="E1306" s="1">
        <v>26.981999999999999</v>
      </c>
      <c r="F1306" s="1">
        <v>26.701000000000001</v>
      </c>
      <c r="K1306" s="39">
        <f>DefaultValues!$B$4</f>
        <v>5</v>
      </c>
      <c r="L1306" s="1">
        <f>DefaultValues!$C$4</f>
        <v>0.5</v>
      </c>
      <c r="M1306" s="1" t="str">
        <f>DefaultValues!$D$4</f>
        <v xml:space="preserve">- Within interchange - </v>
      </c>
      <c r="N1306" s="1">
        <v>973.01800500000002</v>
      </c>
      <c r="O1306" s="1">
        <f>ABS(Table4[[#This Row],[EndMP]]-Table4[[#This Row],[StartMP]])</f>
        <v>0.28099999999999881</v>
      </c>
      <c r="P1306" s="1" t="str">
        <f>IF( AND( Table4[[#This Row],[Route]]=ClosureLocation!$B$3, ClosureLocation!$B$6 &gt;= Table4[[#This Row],[StartMP]], ClosureLocation!$B$6 &lt;= Table4[[#This Row],[EndMP]]), "Yes", "")</f>
        <v/>
      </c>
      <c r="Q1306" s="1" t="str">
        <f>IF( AND( Table4[[#This Row],[Route]]=ClosureLocation!$B$3, ClosureLocation!$B$6 &lt;= Table4[[#This Row],[StartMP]], ClosureLocation!$B$6 &gt;= Table4[[#This Row],[EndMP]]), "Yes", "")</f>
        <v/>
      </c>
      <c r="R1306" s="1" t="str">
        <f>IF( OR( Table4[[#This Row],[PrimaryMatch]]="Yes", Table4[[#This Row],[SecondaryMatch]]="Yes"), "Yes", "")</f>
        <v/>
      </c>
    </row>
    <row r="1307" spans="1:18" hidden="1" x14ac:dyDescent="0.25">
      <c r="A1307" t="s">
        <v>310</v>
      </c>
      <c r="B1307" t="s">
        <v>3209</v>
      </c>
      <c r="C1307" t="s">
        <v>3210</v>
      </c>
      <c r="D1307" t="s">
        <v>3444</v>
      </c>
      <c r="E1307" s="1">
        <v>23.134001000000001</v>
      </c>
      <c r="F1307" s="1">
        <v>22.681000000000001</v>
      </c>
      <c r="K1307" s="39">
        <f>DefaultValues!$B$4</f>
        <v>5</v>
      </c>
      <c r="L1307" s="1">
        <f>DefaultValues!$C$4</f>
        <v>0.5</v>
      </c>
      <c r="M1307" s="1" t="str">
        <f>DefaultValues!$D$4</f>
        <v xml:space="preserve">- Within interchange - </v>
      </c>
      <c r="N1307" s="1">
        <v>976.86602800000003</v>
      </c>
      <c r="O1307" s="1">
        <f>ABS(Table4[[#This Row],[EndMP]]-Table4[[#This Row],[StartMP]])</f>
        <v>0.45300100000000043</v>
      </c>
      <c r="P1307" s="1" t="str">
        <f>IF( AND( Table4[[#This Row],[Route]]=ClosureLocation!$B$3, ClosureLocation!$B$6 &gt;= Table4[[#This Row],[StartMP]], ClosureLocation!$B$6 &lt;= Table4[[#This Row],[EndMP]]), "Yes", "")</f>
        <v/>
      </c>
      <c r="Q1307" s="1" t="str">
        <f>IF( AND( Table4[[#This Row],[Route]]=ClosureLocation!$B$3, ClosureLocation!$B$6 &lt;= Table4[[#This Row],[StartMP]], ClosureLocation!$B$6 &gt;= Table4[[#This Row],[EndMP]]), "Yes", "")</f>
        <v/>
      </c>
      <c r="R1307" s="1" t="str">
        <f>IF( OR( Table4[[#This Row],[PrimaryMatch]]="Yes", Table4[[#This Row],[SecondaryMatch]]="Yes"), "Yes", "")</f>
        <v/>
      </c>
    </row>
    <row r="1308" spans="1:18" hidden="1" x14ac:dyDescent="0.25">
      <c r="A1308" t="s">
        <v>310</v>
      </c>
      <c r="B1308" t="s">
        <v>3209</v>
      </c>
      <c r="C1308" t="s">
        <v>3210</v>
      </c>
      <c r="D1308" t="s">
        <v>3444</v>
      </c>
      <c r="E1308" s="1">
        <v>17.893000000000001</v>
      </c>
      <c r="F1308" s="1">
        <v>17.540001</v>
      </c>
      <c r="K1308" s="39">
        <f>DefaultValues!$B$4</f>
        <v>5</v>
      </c>
      <c r="L1308" s="1">
        <f>DefaultValues!$C$4</f>
        <v>0.5</v>
      </c>
      <c r="M1308" s="1" t="str">
        <f>DefaultValues!$D$4</f>
        <v xml:space="preserve">- Within interchange - </v>
      </c>
      <c r="N1308" s="1">
        <v>982.10699499999998</v>
      </c>
      <c r="O1308" s="1">
        <f>ABS(Table4[[#This Row],[EndMP]]-Table4[[#This Row],[StartMP]])</f>
        <v>0.35299900000000051</v>
      </c>
      <c r="P1308" s="1" t="str">
        <f>IF( AND( Table4[[#This Row],[Route]]=ClosureLocation!$B$3, ClosureLocation!$B$6 &gt;= Table4[[#This Row],[StartMP]], ClosureLocation!$B$6 &lt;= Table4[[#This Row],[EndMP]]), "Yes", "")</f>
        <v/>
      </c>
      <c r="Q1308" s="1" t="str">
        <f>IF( AND( Table4[[#This Row],[Route]]=ClosureLocation!$B$3, ClosureLocation!$B$6 &lt;= Table4[[#This Row],[StartMP]], ClosureLocation!$B$6 &gt;= Table4[[#This Row],[EndMP]]), "Yes", "")</f>
        <v/>
      </c>
      <c r="R1308" s="1" t="str">
        <f>IF( OR( Table4[[#This Row],[PrimaryMatch]]="Yes", Table4[[#This Row],[SecondaryMatch]]="Yes"), "Yes", "")</f>
        <v/>
      </c>
    </row>
    <row r="1309" spans="1:18" hidden="1" x14ac:dyDescent="0.25">
      <c r="A1309" t="s">
        <v>310</v>
      </c>
      <c r="B1309" t="s">
        <v>3209</v>
      </c>
      <c r="C1309" t="s">
        <v>3210</v>
      </c>
      <c r="D1309" t="s">
        <v>3444</v>
      </c>
      <c r="E1309" s="1">
        <v>14.957000000000001</v>
      </c>
      <c r="F1309" s="1">
        <v>14.654999999999999</v>
      </c>
      <c r="K1309" s="39">
        <f>DefaultValues!$B$4</f>
        <v>5</v>
      </c>
      <c r="L1309" s="1">
        <f>DefaultValues!$C$4</f>
        <v>0.5</v>
      </c>
      <c r="M1309" s="1" t="str">
        <f>DefaultValues!$D$4</f>
        <v xml:space="preserve">- Within interchange - </v>
      </c>
      <c r="N1309" s="1">
        <v>985.04303000000004</v>
      </c>
      <c r="O1309" s="1">
        <f>ABS(Table4[[#This Row],[EndMP]]-Table4[[#This Row],[StartMP]])</f>
        <v>0.30200000000000138</v>
      </c>
      <c r="P1309" s="1" t="str">
        <f>IF( AND( Table4[[#This Row],[Route]]=ClosureLocation!$B$3, ClosureLocation!$B$6 &gt;= Table4[[#This Row],[StartMP]], ClosureLocation!$B$6 &lt;= Table4[[#This Row],[EndMP]]), "Yes", "")</f>
        <v/>
      </c>
      <c r="Q1309" s="1" t="str">
        <f>IF( AND( Table4[[#This Row],[Route]]=ClosureLocation!$B$3, ClosureLocation!$B$6 &lt;= Table4[[#This Row],[StartMP]], ClosureLocation!$B$6 &gt;= Table4[[#This Row],[EndMP]]), "Yes", "")</f>
        <v/>
      </c>
      <c r="R1309" s="1" t="str">
        <f>IF( OR( Table4[[#This Row],[PrimaryMatch]]="Yes", Table4[[#This Row],[SecondaryMatch]]="Yes"), "Yes", "")</f>
        <v/>
      </c>
    </row>
    <row r="1310" spans="1:18" hidden="1" x14ac:dyDescent="0.25">
      <c r="A1310" t="s">
        <v>310</v>
      </c>
      <c r="B1310" t="s">
        <v>3209</v>
      </c>
      <c r="C1310" t="s">
        <v>3210</v>
      </c>
      <c r="D1310" t="s">
        <v>3444</v>
      </c>
      <c r="E1310" s="1">
        <v>14.111000000000001</v>
      </c>
      <c r="F1310" s="1">
        <v>13.765000000000001</v>
      </c>
      <c r="K1310" s="39">
        <f>DefaultValues!$B$4</f>
        <v>5</v>
      </c>
      <c r="L1310" s="1">
        <f>DefaultValues!$C$4</f>
        <v>0.5</v>
      </c>
      <c r="M1310" s="1" t="str">
        <f>DefaultValues!$D$4</f>
        <v xml:space="preserve">- Within interchange - </v>
      </c>
      <c r="N1310" s="1">
        <v>985.88897699999995</v>
      </c>
      <c r="O1310" s="1">
        <f>ABS(Table4[[#This Row],[EndMP]]-Table4[[#This Row],[StartMP]])</f>
        <v>0.34600000000000009</v>
      </c>
      <c r="P1310" s="1" t="str">
        <f>IF( AND( Table4[[#This Row],[Route]]=ClosureLocation!$B$3, ClosureLocation!$B$6 &gt;= Table4[[#This Row],[StartMP]], ClosureLocation!$B$6 &lt;= Table4[[#This Row],[EndMP]]), "Yes", "")</f>
        <v/>
      </c>
      <c r="Q1310" s="1" t="str">
        <f>IF( AND( Table4[[#This Row],[Route]]=ClosureLocation!$B$3, ClosureLocation!$B$6 &lt;= Table4[[#This Row],[StartMP]], ClosureLocation!$B$6 &gt;= Table4[[#This Row],[EndMP]]), "Yes", "")</f>
        <v/>
      </c>
      <c r="R1310" s="1" t="str">
        <f>IF( OR( Table4[[#This Row],[PrimaryMatch]]="Yes", Table4[[#This Row],[SecondaryMatch]]="Yes"), "Yes", "")</f>
        <v/>
      </c>
    </row>
    <row r="1311" spans="1:18" hidden="1" x14ac:dyDescent="0.25">
      <c r="A1311" t="s">
        <v>310</v>
      </c>
      <c r="B1311" t="s">
        <v>3209</v>
      </c>
      <c r="C1311" t="s">
        <v>3210</v>
      </c>
      <c r="D1311" t="s">
        <v>3444</v>
      </c>
      <c r="E1311" s="1">
        <v>13.566000000000001</v>
      </c>
      <c r="F1311" s="1">
        <v>13.115</v>
      </c>
      <c r="K1311" s="39">
        <f>DefaultValues!$B$4</f>
        <v>5</v>
      </c>
      <c r="L1311" s="1">
        <f>DefaultValues!$C$4</f>
        <v>0.5</v>
      </c>
      <c r="M1311" s="1" t="str">
        <f>DefaultValues!$D$4</f>
        <v xml:space="preserve">- Within interchange - </v>
      </c>
      <c r="N1311" s="1">
        <v>986.43402100000003</v>
      </c>
      <c r="O1311" s="1">
        <f>ABS(Table4[[#This Row],[EndMP]]-Table4[[#This Row],[StartMP]])</f>
        <v>0.45100000000000051</v>
      </c>
      <c r="P1311" s="1" t="str">
        <f>IF( AND( Table4[[#This Row],[Route]]=ClosureLocation!$B$3, ClosureLocation!$B$6 &gt;= Table4[[#This Row],[StartMP]], ClosureLocation!$B$6 &lt;= Table4[[#This Row],[EndMP]]), "Yes", "")</f>
        <v/>
      </c>
      <c r="Q1311" s="1" t="str">
        <f>IF( AND( Table4[[#This Row],[Route]]=ClosureLocation!$B$3, ClosureLocation!$B$6 &lt;= Table4[[#This Row],[StartMP]], ClosureLocation!$B$6 &gt;= Table4[[#This Row],[EndMP]]), "Yes", "")</f>
        <v/>
      </c>
      <c r="R1311" s="1" t="str">
        <f>IF( OR( Table4[[#This Row],[PrimaryMatch]]="Yes", Table4[[#This Row],[SecondaryMatch]]="Yes"), "Yes", "")</f>
        <v/>
      </c>
    </row>
    <row r="1312" spans="1:18" hidden="1" x14ac:dyDescent="0.25">
      <c r="A1312" t="s">
        <v>310</v>
      </c>
      <c r="B1312" t="s">
        <v>3209</v>
      </c>
      <c r="C1312" t="s">
        <v>3210</v>
      </c>
      <c r="D1312" t="s">
        <v>3444</v>
      </c>
      <c r="E1312" s="1">
        <v>11.348000000000001</v>
      </c>
      <c r="F1312" s="1">
        <v>10.853</v>
      </c>
      <c r="K1312" s="39">
        <f>DefaultValues!$B$4</f>
        <v>5</v>
      </c>
      <c r="L1312" s="1">
        <f>DefaultValues!$C$4</f>
        <v>0.5</v>
      </c>
      <c r="M1312" s="1" t="str">
        <f>DefaultValues!$D$4</f>
        <v xml:space="preserve">- Within interchange - </v>
      </c>
      <c r="N1312" s="1">
        <v>988.65197799999999</v>
      </c>
      <c r="O1312" s="1">
        <f>ABS(Table4[[#This Row],[EndMP]]-Table4[[#This Row],[StartMP]])</f>
        <v>0.49500000000000099</v>
      </c>
      <c r="P1312" s="1" t="str">
        <f>IF( AND( Table4[[#This Row],[Route]]=ClosureLocation!$B$3, ClosureLocation!$B$6 &gt;= Table4[[#This Row],[StartMP]], ClosureLocation!$B$6 &lt;= Table4[[#This Row],[EndMP]]), "Yes", "")</f>
        <v/>
      </c>
      <c r="Q1312" s="1" t="str">
        <f>IF( AND( Table4[[#This Row],[Route]]=ClosureLocation!$B$3, ClosureLocation!$B$6 &lt;= Table4[[#This Row],[StartMP]], ClosureLocation!$B$6 &gt;= Table4[[#This Row],[EndMP]]), "Yes", "")</f>
        <v/>
      </c>
      <c r="R1312" s="1" t="str">
        <f>IF( OR( Table4[[#This Row],[PrimaryMatch]]="Yes", Table4[[#This Row],[SecondaryMatch]]="Yes"), "Yes", "")</f>
        <v/>
      </c>
    </row>
    <row r="1313" spans="1:18" hidden="1" x14ac:dyDescent="0.25">
      <c r="A1313" t="s">
        <v>310</v>
      </c>
      <c r="B1313" t="s">
        <v>3209</v>
      </c>
      <c r="C1313" t="s">
        <v>3210</v>
      </c>
      <c r="D1313" t="s">
        <v>3444</v>
      </c>
      <c r="E1313" s="1">
        <v>7.7370000000000001</v>
      </c>
      <c r="F1313" s="1">
        <v>7.67</v>
      </c>
      <c r="K1313" s="39">
        <f>DefaultValues!$B$4</f>
        <v>5</v>
      </c>
      <c r="L1313" s="1">
        <f>DefaultValues!$C$4</f>
        <v>0.5</v>
      </c>
      <c r="M1313" s="1" t="str">
        <f>DefaultValues!$D$4</f>
        <v xml:space="preserve">- Within interchange - </v>
      </c>
      <c r="N1313" s="1">
        <v>992.26300000000003</v>
      </c>
      <c r="O1313" s="1">
        <f>ABS(Table4[[#This Row],[EndMP]]-Table4[[#This Row],[StartMP]])</f>
        <v>6.7000000000000171E-2</v>
      </c>
      <c r="P1313" s="1" t="str">
        <f>IF( AND( Table4[[#This Row],[Route]]=ClosureLocation!$B$3, ClosureLocation!$B$6 &gt;= Table4[[#This Row],[StartMP]], ClosureLocation!$B$6 &lt;= Table4[[#This Row],[EndMP]]), "Yes", "")</f>
        <v/>
      </c>
      <c r="Q1313" s="1" t="str">
        <f>IF( AND( Table4[[#This Row],[Route]]=ClosureLocation!$B$3, ClosureLocation!$B$6 &lt;= Table4[[#This Row],[StartMP]], ClosureLocation!$B$6 &gt;= Table4[[#This Row],[EndMP]]), "Yes", "")</f>
        <v/>
      </c>
      <c r="R1313" s="1" t="str">
        <f>IF( OR( Table4[[#This Row],[PrimaryMatch]]="Yes", Table4[[#This Row],[SecondaryMatch]]="Yes"), "Yes", "")</f>
        <v/>
      </c>
    </row>
    <row r="1314" spans="1:18" hidden="1" x14ac:dyDescent="0.25">
      <c r="A1314" t="s">
        <v>310</v>
      </c>
      <c r="B1314" t="s">
        <v>3209</v>
      </c>
      <c r="C1314" t="s">
        <v>3210</v>
      </c>
      <c r="D1314" t="s">
        <v>3444</v>
      </c>
      <c r="E1314" s="1">
        <v>5.7560000000000002</v>
      </c>
      <c r="F1314" s="1">
        <v>5.7190000000000003</v>
      </c>
      <c r="K1314" s="39">
        <f>DefaultValues!$B$4</f>
        <v>5</v>
      </c>
      <c r="L1314" s="1">
        <f>DefaultValues!$C$4</f>
        <v>0.5</v>
      </c>
      <c r="M1314" s="1" t="str">
        <f>DefaultValues!$D$4</f>
        <v xml:space="preserve">- Within interchange - </v>
      </c>
      <c r="N1314" s="1">
        <v>994.24401899999998</v>
      </c>
      <c r="O1314" s="1">
        <f>ABS(Table4[[#This Row],[EndMP]]-Table4[[#This Row],[StartMP]])</f>
        <v>3.6999999999999922E-2</v>
      </c>
      <c r="P1314" s="1" t="str">
        <f>IF( AND( Table4[[#This Row],[Route]]=ClosureLocation!$B$3, ClosureLocation!$B$6 &gt;= Table4[[#This Row],[StartMP]], ClosureLocation!$B$6 &lt;= Table4[[#This Row],[EndMP]]), "Yes", "")</f>
        <v/>
      </c>
      <c r="Q1314" s="1" t="str">
        <f>IF( AND( Table4[[#This Row],[Route]]=ClosureLocation!$B$3, ClosureLocation!$B$6 &lt;= Table4[[#This Row],[StartMP]], ClosureLocation!$B$6 &gt;= Table4[[#This Row],[EndMP]]), "Yes", "")</f>
        <v/>
      </c>
      <c r="R1314" s="1" t="str">
        <f>IF( OR( Table4[[#This Row],[PrimaryMatch]]="Yes", Table4[[#This Row],[SecondaryMatch]]="Yes"), "Yes", "")</f>
        <v/>
      </c>
    </row>
    <row r="1315" spans="1:18" hidden="1" x14ac:dyDescent="0.25">
      <c r="A1315" t="s">
        <v>310</v>
      </c>
      <c r="B1315" t="s">
        <v>3209</v>
      </c>
      <c r="C1315" t="s">
        <v>3210</v>
      </c>
      <c r="D1315" t="s">
        <v>3444</v>
      </c>
      <c r="E1315" s="1">
        <v>2.302</v>
      </c>
      <c r="F1315" s="1">
        <v>2.2290000000000001</v>
      </c>
      <c r="K1315" s="39">
        <f>DefaultValues!$B$4</f>
        <v>5</v>
      </c>
      <c r="L1315" s="1">
        <f>DefaultValues!$C$4</f>
        <v>0.5</v>
      </c>
      <c r="M1315" s="1" t="str">
        <f>DefaultValues!$D$4</f>
        <v xml:space="preserve">- Within interchange - </v>
      </c>
      <c r="N1315" s="1">
        <v>997.69799799999998</v>
      </c>
      <c r="O1315" s="1">
        <f>ABS(Table4[[#This Row],[EndMP]]-Table4[[#This Row],[StartMP]])</f>
        <v>7.2999999999999954E-2</v>
      </c>
      <c r="P1315" s="1" t="str">
        <f>IF( AND( Table4[[#This Row],[Route]]=ClosureLocation!$B$3, ClosureLocation!$B$6 &gt;= Table4[[#This Row],[StartMP]], ClosureLocation!$B$6 &lt;= Table4[[#This Row],[EndMP]]), "Yes", "")</f>
        <v/>
      </c>
      <c r="Q1315" s="1" t="str">
        <f>IF( AND( Table4[[#This Row],[Route]]=ClosureLocation!$B$3, ClosureLocation!$B$6 &lt;= Table4[[#This Row],[StartMP]], ClosureLocation!$B$6 &gt;= Table4[[#This Row],[EndMP]]), "Yes", "")</f>
        <v/>
      </c>
      <c r="R1315" s="1" t="str">
        <f>IF( OR( Table4[[#This Row],[PrimaryMatch]]="Yes", Table4[[#This Row],[SecondaryMatch]]="Yes"), "Yes", "")</f>
        <v/>
      </c>
    </row>
    <row r="1316" spans="1:18" hidden="1" x14ac:dyDescent="0.25">
      <c r="A1316" t="s">
        <v>375</v>
      </c>
      <c r="B1316" t="s">
        <v>3205</v>
      </c>
      <c r="C1316" t="s">
        <v>3226</v>
      </c>
      <c r="D1316" t="s">
        <v>4656</v>
      </c>
      <c r="E1316" s="1">
        <v>0</v>
      </c>
      <c r="F1316" s="1">
        <v>7.5999999999999998E-2</v>
      </c>
      <c r="K1316" s="39">
        <f>DefaultValues!$B$4</f>
        <v>5</v>
      </c>
      <c r="L1316" s="1">
        <f>DefaultValues!$C$4</f>
        <v>0.5</v>
      </c>
      <c r="M1316" s="1" t="str">
        <f>DefaultValues!$D$4</f>
        <v xml:space="preserve">- Within interchange - </v>
      </c>
      <c r="N1316" s="1">
        <v>0</v>
      </c>
      <c r="O1316" s="1">
        <f>ABS(Table4[[#This Row],[EndMP]]-Table4[[#This Row],[StartMP]])</f>
        <v>7.5999999999999998E-2</v>
      </c>
      <c r="P1316" s="1" t="str">
        <f>IF( AND( Table4[[#This Row],[Route]]=ClosureLocation!$B$3, ClosureLocation!$B$6 &gt;= Table4[[#This Row],[StartMP]], ClosureLocation!$B$6 &lt;= Table4[[#This Row],[EndMP]]), "Yes", "")</f>
        <v/>
      </c>
      <c r="Q1316" s="1" t="str">
        <f>IF( AND( Table4[[#This Row],[Route]]=ClosureLocation!$B$3, ClosureLocation!$B$6 &lt;= Table4[[#This Row],[StartMP]], ClosureLocation!$B$6 &gt;= Table4[[#This Row],[EndMP]]), "Yes", "")</f>
        <v/>
      </c>
      <c r="R1316" s="1" t="str">
        <f>IF( OR( Table4[[#This Row],[PrimaryMatch]]="Yes", Table4[[#This Row],[SecondaryMatch]]="Yes"), "Yes", "")</f>
        <v/>
      </c>
    </row>
    <row r="1317" spans="1:18" hidden="1" x14ac:dyDescent="0.25">
      <c r="A1317" t="s">
        <v>375</v>
      </c>
      <c r="B1317" t="s">
        <v>3209</v>
      </c>
      <c r="C1317" t="s">
        <v>3222</v>
      </c>
      <c r="D1317" t="s">
        <v>4657</v>
      </c>
      <c r="E1317" s="1">
        <v>7.5999999999999998E-2</v>
      </c>
      <c r="F1317" s="1">
        <v>0</v>
      </c>
      <c r="K1317" s="39">
        <f>DefaultValues!$B$4</f>
        <v>5</v>
      </c>
      <c r="L1317" s="1">
        <f>DefaultValues!$C$4</f>
        <v>0.5</v>
      </c>
      <c r="M1317" s="1" t="str">
        <f>DefaultValues!$D$4</f>
        <v xml:space="preserve">- Within interchange - </v>
      </c>
      <c r="N1317" s="1">
        <v>999.92401099999995</v>
      </c>
      <c r="O1317" s="1">
        <f>ABS(Table4[[#This Row],[EndMP]]-Table4[[#This Row],[StartMP]])</f>
        <v>7.5999999999999998E-2</v>
      </c>
      <c r="P1317" s="1" t="str">
        <f>IF( AND( Table4[[#This Row],[Route]]=ClosureLocation!$B$3, ClosureLocation!$B$6 &gt;= Table4[[#This Row],[StartMP]], ClosureLocation!$B$6 &lt;= Table4[[#This Row],[EndMP]]), "Yes", "")</f>
        <v/>
      </c>
      <c r="Q1317" s="1" t="str">
        <f>IF( AND( Table4[[#This Row],[Route]]=ClosureLocation!$B$3, ClosureLocation!$B$6 &lt;= Table4[[#This Row],[StartMP]], ClosureLocation!$B$6 &gt;= Table4[[#This Row],[EndMP]]), "Yes", "")</f>
        <v/>
      </c>
      <c r="R1317" s="1" t="str">
        <f>IF( OR( Table4[[#This Row],[PrimaryMatch]]="Yes", Table4[[#This Row],[SecondaryMatch]]="Yes"), "Yes", "")</f>
        <v/>
      </c>
    </row>
    <row r="1318" spans="1:18" hidden="1" x14ac:dyDescent="0.25">
      <c r="A1318" t="s">
        <v>377</v>
      </c>
      <c r="B1318" t="s">
        <v>3205</v>
      </c>
      <c r="C1318" t="s">
        <v>3206</v>
      </c>
      <c r="D1318" t="s">
        <v>3462</v>
      </c>
      <c r="E1318" s="1">
        <v>0</v>
      </c>
      <c r="F1318" s="1">
        <v>0.10299999999999999</v>
      </c>
      <c r="K1318" s="39">
        <f>DefaultValues!$B$4</f>
        <v>5</v>
      </c>
      <c r="L1318" s="1">
        <f>DefaultValues!$C$4</f>
        <v>0.5</v>
      </c>
      <c r="M1318" s="1" t="str">
        <f>DefaultValues!$D$4</f>
        <v xml:space="preserve">- Within interchange - </v>
      </c>
      <c r="N1318" s="1">
        <v>0</v>
      </c>
      <c r="O1318" s="1">
        <f>ABS(Table4[[#This Row],[EndMP]]-Table4[[#This Row],[StartMP]])</f>
        <v>0.10299999999999999</v>
      </c>
      <c r="P1318" s="1" t="str">
        <f>IF( AND( Table4[[#This Row],[Route]]=ClosureLocation!$B$3, ClosureLocation!$B$6 &gt;= Table4[[#This Row],[StartMP]], ClosureLocation!$B$6 &lt;= Table4[[#This Row],[EndMP]]), "Yes", "")</f>
        <v/>
      </c>
      <c r="Q1318" s="1" t="str">
        <f>IF( AND( Table4[[#This Row],[Route]]=ClosureLocation!$B$3, ClosureLocation!$B$6 &lt;= Table4[[#This Row],[StartMP]], ClosureLocation!$B$6 &gt;= Table4[[#This Row],[EndMP]]), "Yes", "")</f>
        <v/>
      </c>
      <c r="R1318" s="1" t="str">
        <f>IF( OR( Table4[[#This Row],[PrimaryMatch]]="Yes", Table4[[#This Row],[SecondaryMatch]]="Yes"), "Yes", "")</f>
        <v/>
      </c>
    </row>
    <row r="1319" spans="1:18" hidden="1" x14ac:dyDescent="0.25">
      <c r="A1319" t="s">
        <v>377</v>
      </c>
      <c r="B1319" t="s">
        <v>3205</v>
      </c>
      <c r="C1319" t="s">
        <v>3206</v>
      </c>
      <c r="D1319" t="s">
        <v>3462</v>
      </c>
      <c r="E1319" s="1">
        <v>3.8580000000000001</v>
      </c>
      <c r="F1319" s="1">
        <v>4.0389999999999997</v>
      </c>
      <c r="K1319" s="39">
        <f>DefaultValues!$B$4</f>
        <v>5</v>
      </c>
      <c r="L1319" s="1">
        <f>DefaultValues!$C$4</f>
        <v>0.5</v>
      </c>
      <c r="M1319" s="1" t="str">
        <f>DefaultValues!$D$4</f>
        <v xml:space="preserve">- Within interchange - </v>
      </c>
      <c r="N1319" s="1">
        <v>3.8580000000000001</v>
      </c>
      <c r="O1319" s="1">
        <f>ABS(Table4[[#This Row],[EndMP]]-Table4[[#This Row],[StartMP]])</f>
        <v>0.18099999999999961</v>
      </c>
      <c r="P1319" s="1" t="str">
        <f>IF( AND( Table4[[#This Row],[Route]]=ClosureLocation!$B$3, ClosureLocation!$B$6 &gt;= Table4[[#This Row],[StartMP]], ClosureLocation!$B$6 &lt;= Table4[[#This Row],[EndMP]]), "Yes", "")</f>
        <v/>
      </c>
      <c r="Q1319" s="1" t="str">
        <f>IF( AND( Table4[[#This Row],[Route]]=ClosureLocation!$B$3, ClosureLocation!$B$6 &lt;= Table4[[#This Row],[StartMP]], ClosureLocation!$B$6 &gt;= Table4[[#This Row],[EndMP]]), "Yes", "")</f>
        <v/>
      </c>
      <c r="R1319" s="1" t="str">
        <f>IF( OR( Table4[[#This Row],[PrimaryMatch]]="Yes", Table4[[#This Row],[SecondaryMatch]]="Yes"), "Yes", "")</f>
        <v/>
      </c>
    </row>
    <row r="1320" spans="1:18" hidden="1" x14ac:dyDescent="0.25">
      <c r="A1320" t="s">
        <v>377</v>
      </c>
      <c r="B1320" t="s">
        <v>3209</v>
      </c>
      <c r="C1320" t="s">
        <v>3210</v>
      </c>
      <c r="D1320" t="s">
        <v>3465</v>
      </c>
      <c r="E1320" s="1">
        <v>4.0389999999999997</v>
      </c>
      <c r="F1320" s="1">
        <v>3.8580000000000001</v>
      </c>
      <c r="K1320" s="39">
        <f>DefaultValues!$B$4</f>
        <v>5</v>
      </c>
      <c r="L1320" s="1">
        <f>DefaultValues!$C$4</f>
        <v>0.5</v>
      </c>
      <c r="M1320" s="1" t="str">
        <f>DefaultValues!$D$4</f>
        <v xml:space="preserve">- Within interchange - </v>
      </c>
      <c r="N1320" s="1">
        <v>995.96099900000002</v>
      </c>
      <c r="O1320" s="1">
        <f>ABS(Table4[[#This Row],[EndMP]]-Table4[[#This Row],[StartMP]])</f>
        <v>0.18099999999999961</v>
      </c>
      <c r="P1320" s="1" t="str">
        <f>IF( AND( Table4[[#This Row],[Route]]=ClosureLocation!$B$3, ClosureLocation!$B$6 &gt;= Table4[[#This Row],[StartMP]], ClosureLocation!$B$6 &lt;= Table4[[#This Row],[EndMP]]), "Yes", "")</f>
        <v/>
      </c>
      <c r="Q1320" s="1" t="str">
        <f>IF( AND( Table4[[#This Row],[Route]]=ClosureLocation!$B$3, ClosureLocation!$B$6 &lt;= Table4[[#This Row],[StartMP]], ClosureLocation!$B$6 &gt;= Table4[[#This Row],[EndMP]]), "Yes", "")</f>
        <v/>
      </c>
      <c r="R1320" s="1" t="str">
        <f>IF( OR( Table4[[#This Row],[PrimaryMatch]]="Yes", Table4[[#This Row],[SecondaryMatch]]="Yes"), "Yes", "")</f>
        <v/>
      </c>
    </row>
    <row r="1321" spans="1:18" hidden="1" x14ac:dyDescent="0.25">
      <c r="A1321" t="s">
        <v>377</v>
      </c>
      <c r="B1321" t="s">
        <v>3209</v>
      </c>
      <c r="C1321" t="s">
        <v>3210</v>
      </c>
      <c r="D1321" t="s">
        <v>3465</v>
      </c>
      <c r="E1321" s="1">
        <v>0.10299999999999999</v>
      </c>
      <c r="F1321" s="1">
        <v>0</v>
      </c>
      <c r="K1321" s="39">
        <f>DefaultValues!$B$4</f>
        <v>5</v>
      </c>
      <c r="L1321" s="1">
        <f>DefaultValues!$C$4</f>
        <v>0.5</v>
      </c>
      <c r="M1321" s="1" t="str">
        <f>DefaultValues!$D$4</f>
        <v xml:space="preserve">- Within interchange - </v>
      </c>
      <c r="N1321" s="1">
        <v>999.896973</v>
      </c>
      <c r="O1321" s="1">
        <f>ABS(Table4[[#This Row],[EndMP]]-Table4[[#This Row],[StartMP]])</f>
        <v>0.10299999999999999</v>
      </c>
      <c r="P1321" s="1" t="str">
        <f>IF( AND( Table4[[#This Row],[Route]]=ClosureLocation!$B$3, ClosureLocation!$B$6 &gt;= Table4[[#This Row],[StartMP]], ClosureLocation!$B$6 &lt;= Table4[[#This Row],[EndMP]]), "Yes", "")</f>
        <v/>
      </c>
      <c r="Q1321" s="1" t="str">
        <f>IF( AND( Table4[[#This Row],[Route]]=ClosureLocation!$B$3, ClosureLocation!$B$6 &lt;= Table4[[#This Row],[StartMP]], ClosureLocation!$B$6 &gt;= Table4[[#This Row],[EndMP]]), "Yes", "")</f>
        <v/>
      </c>
      <c r="R1321" s="1" t="str">
        <f>IF( OR( Table4[[#This Row],[PrimaryMatch]]="Yes", Table4[[#This Row],[SecondaryMatch]]="Yes"), "Yes", "")</f>
        <v/>
      </c>
    </row>
    <row r="1322" spans="1:18" hidden="1" x14ac:dyDescent="0.25">
      <c r="A1322" t="s">
        <v>384</v>
      </c>
      <c r="B1322" t="s">
        <v>3205</v>
      </c>
      <c r="C1322" t="s">
        <v>3222</v>
      </c>
      <c r="D1322" t="s">
        <v>3467</v>
      </c>
      <c r="E1322" s="1">
        <v>14.06</v>
      </c>
      <c r="F1322" s="1">
        <v>14.14</v>
      </c>
      <c r="K1322" s="39">
        <f>DefaultValues!$B$4</f>
        <v>5</v>
      </c>
      <c r="L1322" s="1">
        <f>DefaultValues!$C$4</f>
        <v>0.5</v>
      </c>
      <c r="M1322" s="1" t="str">
        <f>DefaultValues!$D$4</f>
        <v xml:space="preserve">- Within interchange - </v>
      </c>
      <c r="N1322" s="1">
        <v>14.06</v>
      </c>
      <c r="O1322" s="1">
        <f>ABS(Table4[[#This Row],[EndMP]]-Table4[[#This Row],[StartMP]])</f>
        <v>8.0000000000000071E-2</v>
      </c>
      <c r="P1322" s="1" t="str">
        <f>IF( AND( Table4[[#This Row],[Route]]=ClosureLocation!$B$3, ClosureLocation!$B$6 &gt;= Table4[[#This Row],[StartMP]], ClosureLocation!$B$6 &lt;= Table4[[#This Row],[EndMP]]), "Yes", "")</f>
        <v/>
      </c>
      <c r="Q1322" s="1" t="str">
        <f>IF( AND( Table4[[#This Row],[Route]]=ClosureLocation!$B$3, ClosureLocation!$B$6 &lt;= Table4[[#This Row],[StartMP]], ClosureLocation!$B$6 &gt;= Table4[[#This Row],[EndMP]]), "Yes", "")</f>
        <v/>
      </c>
      <c r="R1322" s="1" t="str">
        <f>IF( OR( Table4[[#This Row],[PrimaryMatch]]="Yes", Table4[[#This Row],[SecondaryMatch]]="Yes"), "Yes", "")</f>
        <v/>
      </c>
    </row>
    <row r="1323" spans="1:18" hidden="1" x14ac:dyDescent="0.25">
      <c r="A1323" t="s">
        <v>384</v>
      </c>
      <c r="B1323" t="s">
        <v>3209</v>
      </c>
      <c r="C1323" t="s">
        <v>3226</v>
      </c>
      <c r="D1323" t="s">
        <v>3469</v>
      </c>
      <c r="E1323" s="1">
        <v>14.14</v>
      </c>
      <c r="F1323" s="1">
        <v>14.06</v>
      </c>
      <c r="K1323" s="39">
        <f>DefaultValues!$B$4</f>
        <v>5</v>
      </c>
      <c r="L1323" s="1">
        <f>DefaultValues!$C$4</f>
        <v>0.5</v>
      </c>
      <c r="M1323" s="1" t="str">
        <f>DefaultValues!$D$4</f>
        <v xml:space="preserve">- Within interchange - </v>
      </c>
      <c r="N1323" s="1">
        <v>985.85998500000005</v>
      </c>
      <c r="O1323" s="1">
        <f>ABS(Table4[[#This Row],[EndMP]]-Table4[[#This Row],[StartMP]])</f>
        <v>8.0000000000000071E-2</v>
      </c>
      <c r="P1323" s="1" t="str">
        <f>IF( AND( Table4[[#This Row],[Route]]=ClosureLocation!$B$3, ClosureLocation!$B$6 &gt;= Table4[[#This Row],[StartMP]], ClosureLocation!$B$6 &lt;= Table4[[#This Row],[EndMP]]), "Yes", "")</f>
        <v/>
      </c>
      <c r="Q1323" s="1" t="str">
        <f>IF( AND( Table4[[#This Row],[Route]]=ClosureLocation!$B$3, ClosureLocation!$B$6 &lt;= Table4[[#This Row],[StartMP]], ClosureLocation!$B$6 &gt;= Table4[[#This Row],[EndMP]]), "Yes", "")</f>
        <v/>
      </c>
      <c r="R1323" s="1" t="str">
        <f>IF( OR( Table4[[#This Row],[PrimaryMatch]]="Yes", Table4[[#This Row],[SecondaryMatch]]="Yes"), "Yes", "")</f>
        <v/>
      </c>
    </row>
    <row r="1324" spans="1:18" hidden="1" x14ac:dyDescent="0.25">
      <c r="A1324" t="s">
        <v>385</v>
      </c>
      <c r="B1324" t="s">
        <v>3205</v>
      </c>
      <c r="C1324" t="s">
        <v>3222</v>
      </c>
      <c r="D1324" t="s">
        <v>3471</v>
      </c>
      <c r="E1324" s="1">
        <v>9.9320000000000004</v>
      </c>
      <c r="F1324" s="1">
        <v>10.032</v>
      </c>
      <c r="K1324" s="39">
        <f>DefaultValues!$B$4</f>
        <v>5</v>
      </c>
      <c r="L1324" s="1">
        <f>DefaultValues!$C$4</f>
        <v>0.5</v>
      </c>
      <c r="M1324" s="1" t="str">
        <f>DefaultValues!$D$4</f>
        <v xml:space="preserve">- Within interchange - </v>
      </c>
      <c r="N1324" s="1">
        <v>9.9320000000000004</v>
      </c>
      <c r="O1324" s="1">
        <f>ABS(Table4[[#This Row],[EndMP]]-Table4[[#This Row],[StartMP]])</f>
        <v>9.9999999999999645E-2</v>
      </c>
      <c r="P1324" s="1" t="str">
        <f>IF( AND( Table4[[#This Row],[Route]]=ClosureLocation!$B$3, ClosureLocation!$B$6 &gt;= Table4[[#This Row],[StartMP]], ClosureLocation!$B$6 &lt;= Table4[[#This Row],[EndMP]]), "Yes", "")</f>
        <v/>
      </c>
      <c r="Q1324" s="1" t="str">
        <f>IF( AND( Table4[[#This Row],[Route]]=ClosureLocation!$B$3, ClosureLocation!$B$6 &lt;= Table4[[#This Row],[StartMP]], ClosureLocation!$B$6 &gt;= Table4[[#This Row],[EndMP]]), "Yes", "")</f>
        <v/>
      </c>
      <c r="R1324" s="1" t="str">
        <f>IF( OR( Table4[[#This Row],[PrimaryMatch]]="Yes", Table4[[#This Row],[SecondaryMatch]]="Yes"), "Yes", "")</f>
        <v/>
      </c>
    </row>
    <row r="1325" spans="1:18" hidden="1" x14ac:dyDescent="0.25">
      <c r="A1325" t="s">
        <v>385</v>
      </c>
      <c r="B1325" t="s">
        <v>3209</v>
      </c>
      <c r="C1325" t="s">
        <v>3226</v>
      </c>
      <c r="D1325" t="s">
        <v>3474</v>
      </c>
      <c r="E1325" s="1">
        <v>10.032</v>
      </c>
      <c r="F1325" s="1">
        <v>9.9320000000000004</v>
      </c>
      <c r="K1325" s="39">
        <f>DefaultValues!$B$4</f>
        <v>5</v>
      </c>
      <c r="L1325" s="1">
        <f>DefaultValues!$C$4</f>
        <v>0.5</v>
      </c>
      <c r="M1325" s="1" t="str">
        <f>DefaultValues!$D$4</f>
        <v xml:space="preserve">- Within interchange - </v>
      </c>
      <c r="N1325" s="1">
        <v>989.96801800000003</v>
      </c>
      <c r="O1325" s="1">
        <f>ABS(Table4[[#This Row],[EndMP]]-Table4[[#This Row],[StartMP]])</f>
        <v>9.9999999999999645E-2</v>
      </c>
      <c r="P1325" s="1" t="str">
        <f>IF( AND( Table4[[#This Row],[Route]]=ClosureLocation!$B$3, ClosureLocation!$B$6 &gt;= Table4[[#This Row],[StartMP]], ClosureLocation!$B$6 &lt;= Table4[[#This Row],[EndMP]]), "Yes", "")</f>
        <v/>
      </c>
      <c r="Q1325" s="1" t="str">
        <f>IF( AND( Table4[[#This Row],[Route]]=ClosureLocation!$B$3, ClosureLocation!$B$6 &lt;= Table4[[#This Row],[StartMP]], ClosureLocation!$B$6 &gt;= Table4[[#This Row],[EndMP]]), "Yes", "")</f>
        <v/>
      </c>
      <c r="R1325" s="1" t="str">
        <f>IF( OR( Table4[[#This Row],[PrimaryMatch]]="Yes", Table4[[#This Row],[SecondaryMatch]]="Yes"), "Yes", "")</f>
        <v/>
      </c>
    </row>
    <row r="1326" spans="1:18" hidden="1" x14ac:dyDescent="0.25">
      <c r="A1326" t="s">
        <v>394</v>
      </c>
      <c r="B1326" t="s">
        <v>3205</v>
      </c>
      <c r="C1326" t="s">
        <v>3222</v>
      </c>
      <c r="D1326" t="s">
        <v>3477</v>
      </c>
      <c r="E1326" s="1">
        <v>96.110000999999997</v>
      </c>
      <c r="F1326" s="1">
        <v>96.430999999999997</v>
      </c>
      <c r="K1326" s="39">
        <f>DefaultValues!$B$4</f>
        <v>5</v>
      </c>
      <c r="L1326" s="1">
        <f>DefaultValues!$C$4</f>
        <v>0.5</v>
      </c>
      <c r="M1326" s="1" t="str">
        <f>DefaultValues!$D$4</f>
        <v xml:space="preserve">- Within interchange - </v>
      </c>
      <c r="N1326" s="1">
        <v>96.110000999999997</v>
      </c>
      <c r="O1326" s="1">
        <f>ABS(Table4[[#This Row],[EndMP]]-Table4[[#This Row],[StartMP]])</f>
        <v>0.32099900000000048</v>
      </c>
      <c r="P1326" s="1" t="str">
        <f>IF( AND( Table4[[#This Row],[Route]]=ClosureLocation!$B$3, ClosureLocation!$B$6 &gt;= Table4[[#This Row],[StartMP]], ClosureLocation!$B$6 &lt;= Table4[[#This Row],[EndMP]]), "Yes", "")</f>
        <v/>
      </c>
      <c r="Q1326" s="1" t="str">
        <f>IF( AND( Table4[[#This Row],[Route]]=ClosureLocation!$B$3, ClosureLocation!$B$6 &lt;= Table4[[#This Row],[StartMP]], ClosureLocation!$B$6 &gt;= Table4[[#This Row],[EndMP]]), "Yes", "")</f>
        <v/>
      </c>
      <c r="R1326" s="1" t="str">
        <f>IF( OR( Table4[[#This Row],[PrimaryMatch]]="Yes", Table4[[#This Row],[SecondaryMatch]]="Yes"), "Yes", "")</f>
        <v/>
      </c>
    </row>
    <row r="1327" spans="1:18" hidden="1" x14ac:dyDescent="0.25">
      <c r="A1327" t="s">
        <v>394</v>
      </c>
      <c r="B1327" t="s">
        <v>3205</v>
      </c>
      <c r="C1327" t="s">
        <v>3222</v>
      </c>
      <c r="D1327" t="s">
        <v>3477</v>
      </c>
      <c r="E1327" s="1">
        <v>102.29299899999999</v>
      </c>
      <c r="F1327" s="1">
        <v>103.07</v>
      </c>
      <c r="K1327" s="39">
        <f>DefaultValues!$B$4</f>
        <v>5</v>
      </c>
      <c r="L1327" s="1">
        <f>DefaultValues!$C$4</f>
        <v>0.5</v>
      </c>
      <c r="M1327" s="1" t="str">
        <f>DefaultValues!$D$4</f>
        <v xml:space="preserve">- Within interchange - </v>
      </c>
      <c r="N1327" s="1">
        <v>102.29299899999999</v>
      </c>
      <c r="O1327" s="1">
        <f>ABS(Table4[[#This Row],[EndMP]]-Table4[[#This Row],[StartMP]])</f>
        <v>0.7770009999999985</v>
      </c>
      <c r="P1327" s="1" t="str">
        <f>IF( AND( Table4[[#This Row],[Route]]=ClosureLocation!$B$3, ClosureLocation!$B$6 &gt;= Table4[[#This Row],[StartMP]], ClosureLocation!$B$6 &lt;= Table4[[#This Row],[EndMP]]), "Yes", "")</f>
        <v/>
      </c>
      <c r="Q1327" s="1" t="str">
        <f>IF( AND( Table4[[#This Row],[Route]]=ClosureLocation!$B$3, ClosureLocation!$B$6 &lt;= Table4[[#This Row],[StartMP]], ClosureLocation!$B$6 &gt;= Table4[[#This Row],[EndMP]]), "Yes", "")</f>
        <v/>
      </c>
      <c r="R1327" s="1" t="str">
        <f>IF( OR( Table4[[#This Row],[PrimaryMatch]]="Yes", Table4[[#This Row],[SecondaryMatch]]="Yes"), "Yes", "")</f>
        <v/>
      </c>
    </row>
    <row r="1328" spans="1:18" hidden="1" x14ac:dyDescent="0.25">
      <c r="A1328" t="s">
        <v>394</v>
      </c>
      <c r="B1328" t="s">
        <v>3205</v>
      </c>
      <c r="C1328" t="s">
        <v>3222</v>
      </c>
      <c r="D1328" t="s">
        <v>3477</v>
      </c>
      <c r="E1328" s="1">
        <v>111.029999</v>
      </c>
      <c r="F1328" s="1">
        <v>111.49299600000001</v>
      </c>
      <c r="K1328" s="39">
        <f>DefaultValues!$B$4</f>
        <v>5</v>
      </c>
      <c r="L1328" s="1">
        <f>DefaultValues!$C$4</f>
        <v>0.5</v>
      </c>
      <c r="M1328" s="1" t="str">
        <f>DefaultValues!$D$4</f>
        <v xml:space="preserve">- Within interchange - </v>
      </c>
      <c r="N1328" s="1">
        <v>111.029999</v>
      </c>
      <c r="O1328" s="1">
        <f>ABS(Table4[[#This Row],[EndMP]]-Table4[[#This Row],[StartMP]])</f>
        <v>0.46299700000000144</v>
      </c>
      <c r="P1328" s="1" t="str">
        <f>IF( AND( Table4[[#This Row],[Route]]=ClosureLocation!$B$3, ClosureLocation!$B$6 &gt;= Table4[[#This Row],[StartMP]], ClosureLocation!$B$6 &lt;= Table4[[#This Row],[EndMP]]), "Yes", "")</f>
        <v/>
      </c>
      <c r="Q1328" s="1" t="str">
        <f>IF( AND( Table4[[#This Row],[Route]]=ClosureLocation!$B$3, ClosureLocation!$B$6 &lt;= Table4[[#This Row],[StartMP]], ClosureLocation!$B$6 &gt;= Table4[[#This Row],[EndMP]]), "Yes", "")</f>
        <v/>
      </c>
      <c r="R1328" s="1" t="str">
        <f>IF( OR( Table4[[#This Row],[PrimaryMatch]]="Yes", Table4[[#This Row],[SecondaryMatch]]="Yes"), "Yes", "")</f>
        <v/>
      </c>
    </row>
    <row r="1329" spans="1:18" hidden="1" x14ac:dyDescent="0.25">
      <c r="A1329" t="s">
        <v>394</v>
      </c>
      <c r="B1329" t="s">
        <v>3205</v>
      </c>
      <c r="C1329" t="s">
        <v>3222</v>
      </c>
      <c r="D1329" t="s">
        <v>3477</v>
      </c>
      <c r="E1329" s="1">
        <v>112.47399900000001</v>
      </c>
      <c r="F1329" s="1">
        <v>113.25</v>
      </c>
      <c r="K1329" s="39">
        <f>DefaultValues!$B$4</f>
        <v>5</v>
      </c>
      <c r="L1329" s="1">
        <f>DefaultValues!$C$4</f>
        <v>0.5</v>
      </c>
      <c r="M1329" s="1" t="str">
        <f>DefaultValues!$D$4</f>
        <v xml:space="preserve">- Within interchange - </v>
      </c>
      <c r="N1329" s="1">
        <v>112.47399900000001</v>
      </c>
      <c r="O1329" s="1">
        <f>ABS(Table4[[#This Row],[EndMP]]-Table4[[#This Row],[StartMP]])</f>
        <v>0.77600099999999372</v>
      </c>
      <c r="P1329" s="1" t="str">
        <f>IF( AND( Table4[[#This Row],[Route]]=ClosureLocation!$B$3, ClosureLocation!$B$6 &gt;= Table4[[#This Row],[StartMP]], ClosureLocation!$B$6 &lt;= Table4[[#This Row],[EndMP]]), "Yes", "")</f>
        <v/>
      </c>
      <c r="Q1329" s="1" t="str">
        <f>IF( AND( Table4[[#This Row],[Route]]=ClosureLocation!$B$3, ClosureLocation!$B$6 &lt;= Table4[[#This Row],[StartMP]], ClosureLocation!$B$6 &gt;= Table4[[#This Row],[EndMP]]), "Yes", "")</f>
        <v/>
      </c>
      <c r="R1329" s="1" t="str">
        <f>IF( OR( Table4[[#This Row],[PrimaryMatch]]="Yes", Table4[[#This Row],[SecondaryMatch]]="Yes"), "Yes", "")</f>
        <v/>
      </c>
    </row>
    <row r="1330" spans="1:18" hidden="1" x14ac:dyDescent="0.25">
      <c r="A1330" t="s">
        <v>394</v>
      </c>
      <c r="B1330" t="s">
        <v>3205</v>
      </c>
      <c r="C1330" t="s">
        <v>3222</v>
      </c>
      <c r="D1330" t="s">
        <v>3477</v>
      </c>
      <c r="E1330" s="1">
        <v>148.891006</v>
      </c>
      <c r="F1330" s="1">
        <v>149.63299599999999</v>
      </c>
      <c r="K1330" s="39">
        <f>DefaultValues!$B$4</f>
        <v>5</v>
      </c>
      <c r="L1330" s="1">
        <f>DefaultValues!$C$4</f>
        <v>0.5</v>
      </c>
      <c r="M1330" s="1" t="str">
        <f>DefaultValues!$D$4</f>
        <v xml:space="preserve">- Within interchange - </v>
      </c>
      <c r="N1330" s="1">
        <v>148.891006</v>
      </c>
      <c r="O1330" s="1">
        <f>ABS(Table4[[#This Row],[EndMP]]-Table4[[#This Row],[StartMP]])</f>
        <v>0.74198999999998705</v>
      </c>
      <c r="P1330" s="1" t="str">
        <f>IF( AND( Table4[[#This Row],[Route]]=ClosureLocation!$B$3, ClosureLocation!$B$6 &gt;= Table4[[#This Row],[StartMP]], ClosureLocation!$B$6 &lt;= Table4[[#This Row],[EndMP]]), "Yes", "")</f>
        <v/>
      </c>
      <c r="Q1330" s="1" t="str">
        <f>IF( AND( Table4[[#This Row],[Route]]=ClosureLocation!$B$3, ClosureLocation!$B$6 &lt;= Table4[[#This Row],[StartMP]], ClosureLocation!$B$6 &gt;= Table4[[#This Row],[EndMP]]), "Yes", "")</f>
        <v/>
      </c>
      <c r="R1330" s="1" t="str">
        <f>IF( OR( Table4[[#This Row],[PrimaryMatch]]="Yes", Table4[[#This Row],[SecondaryMatch]]="Yes"), "Yes", "")</f>
        <v/>
      </c>
    </row>
    <row r="1331" spans="1:18" hidden="1" x14ac:dyDescent="0.25">
      <c r="A1331" t="s">
        <v>394</v>
      </c>
      <c r="B1331" t="s">
        <v>3209</v>
      </c>
      <c r="C1331" t="s">
        <v>3226</v>
      </c>
      <c r="D1331" t="s">
        <v>3487</v>
      </c>
      <c r="E1331" s="1">
        <v>149.63299599999999</v>
      </c>
      <c r="F1331" s="1">
        <v>148.891006</v>
      </c>
      <c r="K1331" s="39">
        <f>DefaultValues!$B$4</f>
        <v>5</v>
      </c>
      <c r="L1331" s="1">
        <f>DefaultValues!$C$4</f>
        <v>0.5</v>
      </c>
      <c r="M1331" s="1" t="str">
        <f>DefaultValues!$D$4</f>
        <v xml:space="preserve">- Within interchange - </v>
      </c>
      <c r="N1331" s="1">
        <v>850.36700399999995</v>
      </c>
      <c r="O1331" s="1">
        <f>ABS(Table4[[#This Row],[EndMP]]-Table4[[#This Row],[StartMP]])</f>
        <v>0.74198999999998705</v>
      </c>
      <c r="P1331" s="1" t="str">
        <f>IF( AND( Table4[[#This Row],[Route]]=ClosureLocation!$B$3, ClosureLocation!$B$6 &gt;= Table4[[#This Row],[StartMP]], ClosureLocation!$B$6 &lt;= Table4[[#This Row],[EndMP]]), "Yes", "")</f>
        <v/>
      </c>
      <c r="Q1331" s="1" t="str">
        <f>IF( AND( Table4[[#This Row],[Route]]=ClosureLocation!$B$3, ClosureLocation!$B$6 &lt;= Table4[[#This Row],[StartMP]], ClosureLocation!$B$6 &gt;= Table4[[#This Row],[EndMP]]), "Yes", "")</f>
        <v/>
      </c>
      <c r="R1331" s="1" t="str">
        <f>IF( OR( Table4[[#This Row],[PrimaryMatch]]="Yes", Table4[[#This Row],[SecondaryMatch]]="Yes"), "Yes", "")</f>
        <v/>
      </c>
    </row>
    <row r="1332" spans="1:18" hidden="1" x14ac:dyDescent="0.25">
      <c r="A1332" t="s">
        <v>394</v>
      </c>
      <c r="B1332" t="s">
        <v>3209</v>
      </c>
      <c r="C1332" t="s">
        <v>3226</v>
      </c>
      <c r="D1332" t="s">
        <v>3487</v>
      </c>
      <c r="E1332" s="1">
        <v>113.136002</v>
      </c>
      <c r="F1332" s="1">
        <v>112.47399900000001</v>
      </c>
      <c r="K1332" s="39">
        <f>DefaultValues!$B$4</f>
        <v>5</v>
      </c>
      <c r="L1332" s="1">
        <f>DefaultValues!$C$4</f>
        <v>0.5</v>
      </c>
      <c r="M1332" s="1" t="str">
        <f>DefaultValues!$D$4</f>
        <v xml:space="preserve">- Within interchange - </v>
      </c>
      <c r="N1332" s="1">
        <v>886.864014</v>
      </c>
      <c r="O1332" s="1">
        <f>ABS(Table4[[#This Row],[EndMP]]-Table4[[#This Row],[StartMP]])</f>
        <v>0.66200299999999856</v>
      </c>
      <c r="P1332" s="1" t="str">
        <f>IF( AND( Table4[[#This Row],[Route]]=ClosureLocation!$B$3, ClosureLocation!$B$6 &gt;= Table4[[#This Row],[StartMP]], ClosureLocation!$B$6 &lt;= Table4[[#This Row],[EndMP]]), "Yes", "")</f>
        <v/>
      </c>
      <c r="Q1332" s="1" t="str">
        <f>IF( AND( Table4[[#This Row],[Route]]=ClosureLocation!$B$3, ClosureLocation!$B$6 &lt;= Table4[[#This Row],[StartMP]], ClosureLocation!$B$6 &gt;= Table4[[#This Row],[EndMP]]), "Yes", "")</f>
        <v/>
      </c>
      <c r="R1332" s="1" t="str">
        <f>IF( OR( Table4[[#This Row],[PrimaryMatch]]="Yes", Table4[[#This Row],[SecondaryMatch]]="Yes"), "Yes", "")</f>
        <v/>
      </c>
    </row>
    <row r="1333" spans="1:18" hidden="1" x14ac:dyDescent="0.25">
      <c r="A1333" t="s">
        <v>394</v>
      </c>
      <c r="B1333" t="s">
        <v>3209</v>
      </c>
      <c r="C1333" t="s">
        <v>3226</v>
      </c>
      <c r="D1333" t="s">
        <v>3487</v>
      </c>
      <c r="E1333" s="1">
        <v>111.185997</v>
      </c>
      <c r="F1333" s="1">
        <v>111.029999</v>
      </c>
      <c r="K1333" s="39">
        <f>DefaultValues!$B$4</f>
        <v>5</v>
      </c>
      <c r="L1333" s="1">
        <f>DefaultValues!$C$4</f>
        <v>0.5</v>
      </c>
      <c r="M1333" s="1" t="str">
        <f>DefaultValues!$D$4</f>
        <v xml:space="preserve">- Within interchange - </v>
      </c>
      <c r="N1333" s="1">
        <v>888.81402600000001</v>
      </c>
      <c r="O1333" s="1">
        <f>ABS(Table4[[#This Row],[EndMP]]-Table4[[#This Row],[StartMP]])</f>
        <v>0.15599799999999675</v>
      </c>
      <c r="P1333" s="1" t="str">
        <f>IF( AND( Table4[[#This Row],[Route]]=ClosureLocation!$B$3, ClosureLocation!$B$6 &gt;= Table4[[#This Row],[StartMP]], ClosureLocation!$B$6 &lt;= Table4[[#This Row],[EndMP]]), "Yes", "")</f>
        <v/>
      </c>
      <c r="Q1333" s="1" t="str">
        <f>IF( AND( Table4[[#This Row],[Route]]=ClosureLocation!$B$3, ClosureLocation!$B$6 &lt;= Table4[[#This Row],[StartMP]], ClosureLocation!$B$6 &gt;= Table4[[#This Row],[EndMP]]), "Yes", "")</f>
        <v/>
      </c>
      <c r="R1333" s="1" t="str">
        <f>IF( OR( Table4[[#This Row],[PrimaryMatch]]="Yes", Table4[[#This Row],[SecondaryMatch]]="Yes"), "Yes", "")</f>
        <v/>
      </c>
    </row>
    <row r="1334" spans="1:18" hidden="1" x14ac:dyDescent="0.25">
      <c r="A1334" t="s">
        <v>394</v>
      </c>
      <c r="B1334" t="s">
        <v>3209</v>
      </c>
      <c r="C1334" t="s">
        <v>3226</v>
      </c>
      <c r="D1334" t="s">
        <v>3487</v>
      </c>
      <c r="E1334" s="1">
        <v>103.07</v>
      </c>
      <c r="F1334" s="1">
        <v>102.29299899999999</v>
      </c>
      <c r="K1334" s="39">
        <f>DefaultValues!$B$4</f>
        <v>5</v>
      </c>
      <c r="L1334" s="1">
        <f>DefaultValues!$C$4</f>
        <v>0.5</v>
      </c>
      <c r="M1334" s="1" t="str">
        <f>DefaultValues!$D$4</f>
        <v xml:space="preserve">- Within interchange - </v>
      </c>
      <c r="N1334" s="1">
        <v>896.92999299999997</v>
      </c>
      <c r="O1334" s="1">
        <f>ABS(Table4[[#This Row],[EndMP]]-Table4[[#This Row],[StartMP]])</f>
        <v>0.7770009999999985</v>
      </c>
      <c r="P1334" s="1" t="str">
        <f>IF( AND( Table4[[#This Row],[Route]]=ClosureLocation!$B$3, ClosureLocation!$B$6 &gt;= Table4[[#This Row],[StartMP]], ClosureLocation!$B$6 &lt;= Table4[[#This Row],[EndMP]]), "Yes", "")</f>
        <v/>
      </c>
      <c r="Q1334" s="1" t="str">
        <f>IF( AND( Table4[[#This Row],[Route]]=ClosureLocation!$B$3, ClosureLocation!$B$6 &lt;= Table4[[#This Row],[StartMP]], ClosureLocation!$B$6 &gt;= Table4[[#This Row],[EndMP]]), "Yes", "")</f>
        <v/>
      </c>
      <c r="R1334" s="1" t="str">
        <f>IF( OR( Table4[[#This Row],[PrimaryMatch]]="Yes", Table4[[#This Row],[SecondaryMatch]]="Yes"), "Yes", "")</f>
        <v/>
      </c>
    </row>
    <row r="1335" spans="1:18" hidden="1" x14ac:dyDescent="0.25">
      <c r="A1335" t="s">
        <v>394</v>
      </c>
      <c r="B1335" t="s">
        <v>3209</v>
      </c>
      <c r="C1335" t="s">
        <v>3226</v>
      </c>
      <c r="D1335" t="s">
        <v>3487</v>
      </c>
      <c r="E1335" s="1">
        <v>96.430999999999997</v>
      </c>
      <c r="F1335" s="1">
        <v>96.110000999999997</v>
      </c>
      <c r="K1335" s="39">
        <f>DefaultValues!$B$4</f>
        <v>5</v>
      </c>
      <c r="L1335" s="1">
        <f>DefaultValues!$C$4</f>
        <v>0.5</v>
      </c>
      <c r="M1335" s="1" t="str">
        <f>DefaultValues!$D$4</f>
        <v xml:space="preserve">- Within interchange - </v>
      </c>
      <c r="N1335" s="1">
        <v>903.56897000000004</v>
      </c>
      <c r="O1335" s="1">
        <f>ABS(Table4[[#This Row],[EndMP]]-Table4[[#This Row],[StartMP]])</f>
        <v>0.32099900000000048</v>
      </c>
      <c r="P1335" s="1" t="str">
        <f>IF( AND( Table4[[#This Row],[Route]]=ClosureLocation!$B$3, ClosureLocation!$B$6 &gt;= Table4[[#This Row],[StartMP]], ClosureLocation!$B$6 &lt;= Table4[[#This Row],[EndMP]]), "Yes", "")</f>
        <v/>
      </c>
      <c r="Q1335" s="1" t="str">
        <f>IF( AND( Table4[[#This Row],[Route]]=ClosureLocation!$B$3, ClosureLocation!$B$6 &lt;= Table4[[#This Row],[StartMP]], ClosureLocation!$B$6 &gt;= Table4[[#This Row],[EndMP]]), "Yes", "")</f>
        <v/>
      </c>
      <c r="R1335" s="1" t="str">
        <f>IF( OR( Table4[[#This Row],[PrimaryMatch]]="Yes", Table4[[#This Row],[SecondaryMatch]]="Yes"), "Yes", "")</f>
        <v/>
      </c>
    </row>
    <row r="1336" spans="1:18" hidden="1" x14ac:dyDescent="0.25">
      <c r="A1336" t="s">
        <v>413</v>
      </c>
      <c r="B1336" t="s">
        <v>3205</v>
      </c>
      <c r="C1336" t="s">
        <v>3222</v>
      </c>
      <c r="D1336" t="s">
        <v>3497</v>
      </c>
      <c r="E1336" s="1">
        <v>158.48500100000001</v>
      </c>
      <c r="F1336" s="1">
        <v>158.945007</v>
      </c>
      <c r="K1336" s="39">
        <f>DefaultValues!$B$4</f>
        <v>5</v>
      </c>
      <c r="L1336" s="1">
        <f>DefaultValues!$C$4</f>
        <v>0.5</v>
      </c>
      <c r="M1336" s="1" t="str">
        <f>DefaultValues!$D$4</f>
        <v xml:space="preserve">- Within interchange - </v>
      </c>
      <c r="N1336" s="1">
        <v>158.48500100000001</v>
      </c>
      <c r="O1336" s="1">
        <f>ABS(Table4[[#This Row],[EndMP]]-Table4[[#This Row],[StartMP]])</f>
        <v>0.46000599999999281</v>
      </c>
      <c r="P1336" s="1" t="str">
        <f>IF( AND( Table4[[#This Row],[Route]]=ClosureLocation!$B$3, ClosureLocation!$B$6 &gt;= Table4[[#This Row],[StartMP]], ClosureLocation!$B$6 &lt;= Table4[[#This Row],[EndMP]]), "Yes", "")</f>
        <v/>
      </c>
      <c r="Q1336" s="1" t="str">
        <f>IF( AND( Table4[[#This Row],[Route]]=ClosureLocation!$B$3, ClosureLocation!$B$6 &lt;= Table4[[#This Row],[StartMP]], ClosureLocation!$B$6 &gt;= Table4[[#This Row],[EndMP]]), "Yes", "")</f>
        <v/>
      </c>
      <c r="R1336" s="1" t="str">
        <f>IF( OR( Table4[[#This Row],[PrimaryMatch]]="Yes", Table4[[#This Row],[SecondaryMatch]]="Yes"), "Yes", "")</f>
        <v/>
      </c>
    </row>
    <row r="1337" spans="1:18" hidden="1" x14ac:dyDescent="0.25">
      <c r="A1337" t="s">
        <v>413</v>
      </c>
      <c r="B1337" t="s">
        <v>3209</v>
      </c>
      <c r="C1337" t="s">
        <v>3226</v>
      </c>
      <c r="D1337" t="s">
        <v>3498</v>
      </c>
      <c r="E1337" s="1">
        <v>158.945007</v>
      </c>
      <c r="F1337" s="1">
        <v>158.48500100000001</v>
      </c>
      <c r="K1337" s="39">
        <f>DefaultValues!$B$4</f>
        <v>5</v>
      </c>
      <c r="L1337" s="1">
        <f>DefaultValues!$C$4</f>
        <v>0.5</v>
      </c>
      <c r="M1337" s="1" t="str">
        <f>DefaultValues!$D$4</f>
        <v xml:space="preserve">- Within interchange - </v>
      </c>
      <c r="N1337" s="1">
        <v>841.05499299999997</v>
      </c>
      <c r="O1337" s="1">
        <f>ABS(Table4[[#This Row],[EndMP]]-Table4[[#This Row],[StartMP]])</f>
        <v>0.46000599999999281</v>
      </c>
      <c r="P1337" s="1" t="str">
        <f>IF( AND( Table4[[#This Row],[Route]]=ClosureLocation!$B$3, ClosureLocation!$B$6 &gt;= Table4[[#This Row],[StartMP]], ClosureLocation!$B$6 &lt;= Table4[[#This Row],[EndMP]]), "Yes", "")</f>
        <v/>
      </c>
      <c r="Q1337" s="1" t="str">
        <f>IF( AND( Table4[[#This Row],[Route]]=ClosureLocation!$B$3, ClosureLocation!$B$6 &lt;= Table4[[#This Row],[StartMP]], ClosureLocation!$B$6 &gt;= Table4[[#This Row],[EndMP]]), "Yes", "")</f>
        <v/>
      </c>
      <c r="R1337" s="1" t="str">
        <f>IF( OR( Table4[[#This Row],[PrimaryMatch]]="Yes", Table4[[#This Row],[SecondaryMatch]]="Yes"), "Yes", "")</f>
        <v/>
      </c>
    </row>
    <row r="1338" spans="1:18" hidden="1" x14ac:dyDescent="0.25">
      <c r="A1338" t="s">
        <v>430</v>
      </c>
      <c r="B1338" t="s">
        <v>3205</v>
      </c>
      <c r="C1338" t="s">
        <v>3222</v>
      </c>
      <c r="D1338" t="s">
        <v>3503</v>
      </c>
      <c r="E1338" s="1">
        <v>0.26700000000000002</v>
      </c>
      <c r="F1338" s="1">
        <v>0.26700000000000002</v>
      </c>
      <c r="K1338" s="39">
        <f>DefaultValues!$B$4</f>
        <v>5</v>
      </c>
      <c r="L1338" s="1">
        <f>DefaultValues!$C$4</f>
        <v>0.5</v>
      </c>
      <c r="M1338" s="1" t="str">
        <f>DefaultValues!$D$4</f>
        <v xml:space="preserve">- Within interchange - </v>
      </c>
      <c r="N1338" s="1">
        <v>0.26700000000000002</v>
      </c>
      <c r="O1338" s="1">
        <f>ABS(Table4[[#This Row],[EndMP]]-Table4[[#This Row],[StartMP]])</f>
        <v>0</v>
      </c>
      <c r="P1338" s="1" t="str">
        <f>IF( AND( Table4[[#This Row],[Route]]=ClosureLocation!$B$3, ClosureLocation!$B$6 &gt;= Table4[[#This Row],[StartMP]], ClosureLocation!$B$6 &lt;= Table4[[#This Row],[EndMP]]), "Yes", "")</f>
        <v/>
      </c>
      <c r="Q1338" s="1" t="str">
        <f>IF( AND( Table4[[#This Row],[Route]]=ClosureLocation!$B$3, ClosureLocation!$B$6 &lt;= Table4[[#This Row],[StartMP]], ClosureLocation!$B$6 &gt;= Table4[[#This Row],[EndMP]]), "Yes", "")</f>
        <v/>
      </c>
      <c r="R1338" s="1" t="str">
        <f>IF( OR( Table4[[#This Row],[PrimaryMatch]]="Yes", Table4[[#This Row],[SecondaryMatch]]="Yes"), "Yes", "")</f>
        <v/>
      </c>
    </row>
    <row r="1339" spans="1:18" hidden="1" x14ac:dyDescent="0.25">
      <c r="A1339" t="s">
        <v>1687</v>
      </c>
      <c r="B1339" t="s">
        <v>3205</v>
      </c>
      <c r="C1339" t="s">
        <v>3222</v>
      </c>
      <c r="D1339" t="s">
        <v>3513</v>
      </c>
      <c r="E1339" s="1">
        <v>0.74299999999999999</v>
      </c>
      <c r="F1339" s="1">
        <v>0.93200000000000005</v>
      </c>
      <c r="K1339" s="39">
        <f>DefaultValues!$B$4</f>
        <v>5</v>
      </c>
      <c r="L1339" s="1">
        <f>DefaultValues!$C$4</f>
        <v>0.5</v>
      </c>
      <c r="M1339" s="1" t="str">
        <f>DefaultValues!$D$4</f>
        <v xml:space="preserve">- Within interchange - </v>
      </c>
      <c r="N1339" s="1">
        <v>0.74299999999999999</v>
      </c>
      <c r="O1339" s="1">
        <f>ABS(Table4[[#This Row],[EndMP]]-Table4[[#This Row],[StartMP]])</f>
        <v>0.18900000000000006</v>
      </c>
      <c r="P1339" s="1" t="str">
        <f>IF( AND( Table4[[#This Row],[Route]]=ClosureLocation!$B$3, ClosureLocation!$B$6 &gt;= Table4[[#This Row],[StartMP]], ClosureLocation!$B$6 &lt;= Table4[[#This Row],[EndMP]]), "Yes", "")</f>
        <v/>
      </c>
      <c r="Q1339" s="1" t="str">
        <f>IF( AND( Table4[[#This Row],[Route]]=ClosureLocation!$B$3, ClosureLocation!$B$6 &lt;= Table4[[#This Row],[StartMP]], ClosureLocation!$B$6 &gt;= Table4[[#This Row],[EndMP]]), "Yes", "")</f>
        <v/>
      </c>
      <c r="R1339" s="1" t="str">
        <f>IF( OR( Table4[[#This Row],[PrimaryMatch]]="Yes", Table4[[#This Row],[SecondaryMatch]]="Yes"), "Yes", "")</f>
        <v/>
      </c>
    </row>
    <row r="1340" spans="1:18" hidden="1" x14ac:dyDescent="0.25">
      <c r="A1340" t="s">
        <v>1687</v>
      </c>
      <c r="B1340" t="s">
        <v>3209</v>
      </c>
      <c r="C1340" t="s">
        <v>3226</v>
      </c>
      <c r="D1340" t="s">
        <v>3515</v>
      </c>
      <c r="E1340" s="1">
        <v>0.93200000000000005</v>
      </c>
      <c r="F1340" s="1">
        <v>0.74299999999999999</v>
      </c>
      <c r="K1340" s="39">
        <f>DefaultValues!$B$4</f>
        <v>5</v>
      </c>
      <c r="L1340" s="1">
        <f>DefaultValues!$C$4</f>
        <v>0.5</v>
      </c>
      <c r="M1340" s="1" t="str">
        <f>DefaultValues!$D$4</f>
        <v xml:space="preserve">- Within interchange - </v>
      </c>
      <c r="N1340" s="1">
        <v>999.067993</v>
      </c>
      <c r="O1340" s="1">
        <f>ABS(Table4[[#This Row],[EndMP]]-Table4[[#This Row],[StartMP]])</f>
        <v>0.18900000000000006</v>
      </c>
      <c r="P1340" s="1" t="str">
        <f>IF( AND( Table4[[#This Row],[Route]]=ClosureLocation!$B$3, ClosureLocation!$B$6 &gt;= Table4[[#This Row],[StartMP]], ClosureLocation!$B$6 &lt;= Table4[[#This Row],[EndMP]]), "Yes", "")</f>
        <v/>
      </c>
      <c r="Q1340" s="1" t="str">
        <f>IF( AND( Table4[[#This Row],[Route]]=ClosureLocation!$B$3, ClosureLocation!$B$6 &lt;= Table4[[#This Row],[StartMP]], ClosureLocation!$B$6 &gt;= Table4[[#This Row],[EndMP]]), "Yes", "")</f>
        <v/>
      </c>
      <c r="R1340" s="1" t="str">
        <f>IF( OR( Table4[[#This Row],[PrimaryMatch]]="Yes", Table4[[#This Row],[SecondaryMatch]]="Yes"), "Yes", "")</f>
        <v/>
      </c>
    </row>
    <row r="1341" spans="1:18" hidden="1" x14ac:dyDescent="0.25">
      <c r="A1341" t="s">
        <v>448</v>
      </c>
      <c r="B1341" t="s">
        <v>3205</v>
      </c>
      <c r="C1341" t="s">
        <v>3206</v>
      </c>
      <c r="D1341" t="s">
        <v>3517</v>
      </c>
      <c r="E1341" s="1">
        <v>8.4350000000000005</v>
      </c>
      <c r="F1341" s="1">
        <v>8.6720000000000006</v>
      </c>
      <c r="K1341" s="39">
        <f>DefaultValues!$B$4</f>
        <v>5</v>
      </c>
      <c r="L1341" s="1">
        <f>DefaultValues!$C$4</f>
        <v>0.5</v>
      </c>
      <c r="M1341" s="1" t="str">
        <f>DefaultValues!$D$4</f>
        <v xml:space="preserve">- Within interchange - </v>
      </c>
      <c r="N1341" s="1">
        <v>8.4350000000000005</v>
      </c>
      <c r="O1341" s="1">
        <f>ABS(Table4[[#This Row],[EndMP]]-Table4[[#This Row],[StartMP]])</f>
        <v>0.2370000000000001</v>
      </c>
      <c r="P1341" s="1" t="str">
        <f>IF( AND( Table4[[#This Row],[Route]]=ClosureLocation!$B$3, ClosureLocation!$B$6 &gt;= Table4[[#This Row],[StartMP]], ClosureLocation!$B$6 &lt;= Table4[[#This Row],[EndMP]]), "Yes", "")</f>
        <v/>
      </c>
      <c r="Q1341" s="1" t="str">
        <f>IF( AND( Table4[[#This Row],[Route]]=ClosureLocation!$B$3, ClosureLocation!$B$6 &lt;= Table4[[#This Row],[StartMP]], ClosureLocation!$B$6 &gt;= Table4[[#This Row],[EndMP]]), "Yes", "")</f>
        <v/>
      </c>
      <c r="R1341" s="1" t="str">
        <f>IF( OR( Table4[[#This Row],[PrimaryMatch]]="Yes", Table4[[#This Row],[SecondaryMatch]]="Yes"), "Yes", "")</f>
        <v/>
      </c>
    </row>
    <row r="1342" spans="1:18" hidden="1" x14ac:dyDescent="0.25">
      <c r="A1342" t="s">
        <v>448</v>
      </c>
      <c r="B1342" t="s">
        <v>3205</v>
      </c>
      <c r="C1342" t="s">
        <v>3206</v>
      </c>
      <c r="D1342" t="s">
        <v>3517</v>
      </c>
      <c r="E1342" s="1">
        <v>8.7880000000000003</v>
      </c>
      <c r="F1342" s="1">
        <v>9.3260000000000005</v>
      </c>
      <c r="K1342" s="39">
        <f>DefaultValues!$B$4</f>
        <v>5</v>
      </c>
      <c r="L1342" s="1">
        <f>DefaultValues!$C$4</f>
        <v>0.5</v>
      </c>
      <c r="M1342" s="1" t="str">
        <f>DefaultValues!$D$4</f>
        <v xml:space="preserve">- Within interchange - </v>
      </c>
      <c r="N1342" s="1">
        <v>8.7880000000000003</v>
      </c>
      <c r="O1342" s="1">
        <f>ABS(Table4[[#This Row],[EndMP]]-Table4[[#This Row],[StartMP]])</f>
        <v>0.53800000000000026</v>
      </c>
      <c r="P1342" s="1" t="str">
        <f>IF( AND( Table4[[#This Row],[Route]]=ClosureLocation!$B$3, ClosureLocation!$B$6 &gt;= Table4[[#This Row],[StartMP]], ClosureLocation!$B$6 &lt;= Table4[[#This Row],[EndMP]]), "Yes", "")</f>
        <v/>
      </c>
      <c r="Q1342" s="1" t="str">
        <f>IF( AND( Table4[[#This Row],[Route]]=ClosureLocation!$B$3, ClosureLocation!$B$6 &lt;= Table4[[#This Row],[StartMP]], ClosureLocation!$B$6 &gt;= Table4[[#This Row],[EndMP]]), "Yes", "")</f>
        <v/>
      </c>
      <c r="R1342" s="1" t="str">
        <f>IF( OR( Table4[[#This Row],[PrimaryMatch]]="Yes", Table4[[#This Row],[SecondaryMatch]]="Yes"), "Yes", "")</f>
        <v/>
      </c>
    </row>
    <row r="1343" spans="1:18" hidden="1" x14ac:dyDescent="0.25">
      <c r="A1343" t="s">
        <v>448</v>
      </c>
      <c r="B1343" t="s">
        <v>3209</v>
      </c>
      <c r="C1343" t="s">
        <v>3210</v>
      </c>
      <c r="D1343" t="s">
        <v>3519</v>
      </c>
      <c r="E1343" s="1">
        <v>9.3260000000000005</v>
      </c>
      <c r="F1343" s="1">
        <v>8.7880000000000003</v>
      </c>
      <c r="K1343" s="39">
        <f>DefaultValues!$B$4</f>
        <v>5</v>
      </c>
      <c r="L1343" s="1">
        <f>DefaultValues!$C$4</f>
        <v>0.5</v>
      </c>
      <c r="M1343" s="1" t="str">
        <f>DefaultValues!$D$4</f>
        <v xml:space="preserve">- Within interchange - </v>
      </c>
      <c r="N1343" s="1">
        <v>990.67401099999995</v>
      </c>
      <c r="O1343" s="1">
        <f>ABS(Table4[[#This Row],[EndMP]]-Table4[[#This Row],[StartMP]])</f>
        <v>0.53800000000000026</v>
      </c>
      <c r="P1343" s="1" t="str">
        <f>IF( AND( Table4[[#This Row],[Route]]=ClosureLocation!$B$3, ClosureLocation!$B$6 &gt;= Table4[[#This Row],[StartMP]], ClosureLocation!$B$6 &lt;= Table4[[#This Row],[EndMP]]), "Yes", "")</f>
        <v/>
      </c>
      <c r="Q1343" s="1" t="str">
        <f>IF( AND( Table4[[#This Row],[Route]]=ClosureLocation!$B$3, ClosureLocation!$B$6 &lt;= Table4[[#This Row],[StartMP]], ClosureLocation!$B$6 &gt;= Table4[[#This Row],[EndMP]]), "Yes", "")</f>
        <v/>
      </c>
      <c r="R1343" s="1" t="str">
        <f>IF( OR( Table4[[#This Row],[PrimaryMatch]]="Yes", Table4[[#This Row],[SecondaryMatch]]="Yes"), "Yes", "")</f>
        <v/>
      </c>
    </row>
    <row r="1344" spans="1:18" hidden="1" x14ac:dyDescent="0.25">
      <c r="A1344" t="s">
        <v>448</v>
      </c>
      <c r="B1344" t="s">
        <v>3209</v>
      </c>
      <c r="C1344" t="s">
        <v>3210</v>
      </c>
      <c r="D1344" t="s">
        <v>3519</v>
      </c>
      <c r="E1344" s="1">
        <v>8.6720000000000006</v>
      </c>
      <c r="F1344" s="1">
        <v>8.4350000000000005</v>
      </c>
      <c r="K1344" s="39">
        <f>DefaultValues!$B$4</f>
        <v>5</v>
      </c>
      <c r="L1344" s="1">
        <f>DefaultValues!$C$4</f>
        <v>0.5</v>
      </c>
      <c r="M1344" s="1" t="str">
        <f>DefaultValues!$D$4</f>
        <v xml:space="preserve">- Within interchange - </v>
      </c>
      <c r="N1344" s="1">
        <v>991.32800299999997</v>
      </c>
      <c r="O1344" s="1">
        <f>ABS(Table4[[#This Row],[EndMP]]-Table4[[#This Row],[StartMP]])</f>
        <v>0.2370000000000001</v>
      </c>
      <c r="P1344" s="1" t="str">
        <f>IF( AND( Table4[[#This Row],[Route]]=ClosureLocation!$B$3, ClosureLocation!$B$6 &gt;= Table4[[#This Row],[StartMP]], ClosureLocation!$B$6 &lt;= Table4[[#This Row],[EndMP]]), "Yes", "")</f>
        <v/>
      </c>
      <c r="Q1344" s="1" t="str">
        <f>IF( AND( Table4[[#This Row],[Route]]=ClosureLocation!$B$3, ClosureLocation!$B$6 &lt;= Table4[[#This Row],[StartMP]], ClosureLocation!$B$6 &gt;= Table4[[#This Row],[EndMP]]), "Yes", "")</f>
        <v/>
      </c>
      <c r="R1344" s="1" t="str">
        <f>IF( OR( Table4[[#This Row],[PrimaryMatch]]="Yes", Table4[[#This Row],[SecondaryMatch]]="Yes"), "Yes", "")</f>
        <v/>
      </c>
    </row>
    <row r="1345" spans="1:18" hidden="1" x14ac:dyDescent="0.25">
      <c r="A1345" t="s">
        <v>454</v>
      </c>
      <c r="B1345" t="s">
        <v>3205</v>
      </c>
      <c r="C1345" t="s">
        <v>3222</v>
      </c>
      <c r="D1345" t="s">
        <v>3525</v>
      </c>
      <c r="E1345" s="1">
        <v>37.326000000000001</v>
      </c>
      <c r="F1345" s="1">
        <v>37.630001</v>
      </c>
      <c r="K1345" s="39">
        <f>DefaultValues!$B$4</f>
        <v>5</v>
      </c>
      <c r="L1345" s="1">
        <f>DefaultValues!$C$4</f>
        <v>0.5</v>
      </c>
      <c r="M1345" s="1" t="str">
        <f>DefaultValues!$D$4</f>
        <v xml:space="preserve">- Within interchange - </v>
      </c>
      <c r="N1345" s="1">
        <v>37.326000000000001</v>
      </c>
      <c r="O1345" s="1">
        <f>ABS(Table4[[#This Row],[EndMP]]-Table4[[#This Row],[StartMP]])</f>
        <v>0.30400099999999952</v>
      </c>
      <c r="P1345" s="1" t="str">
        <f>IF( AND( Table4[[#This Row],[Route]]=ClosureLocation!$B$3, ClosureLocation!$B$6 &gt;= Table4[[#This Row],[StartMP]], ClosureLocation!$B$6 &lt;= Table4[[#This Row],[EndMP]]), "Yes", "")</f>
        <v/>
      </c>
      <c r="Q1345" s="1" t="str">
        <f>IF( AND( Table4[[#This Row],[Route]]=ClosureLocation!$B$3, ClosureLocation!$B$6 &lt;= Table4[[#This Row],[StartMP]], ClosureLocation!$B$6 &gt;= Table4[[#This Row],[EndMP]]), "Yes", "")</f>
        <v/>
      </c>
      <c r="R1345" s="1" t="str">
        <f>IF( OR( Table4[[#This Row],[PrimaryMatch]]="Yes", Table4[[#This Row],[SecondaryMatch]]="Yes"), "Yes", "")</f>
        <v/>
      </c>
    </row>
    <row r="1346" spans="1:18" hidden="1" x14ac:dyDescent="0.25">
      <c r="A1346" t="s">
        <v>454</v>
      </c>
      <c r="B1346" t="s">
        <v>3205</v>
      </c>
      <c r="C1346" t="s">
        <v>3222</v>
      </c>
      <c r="D1346" t="s">
        <v>3525</v>
      </c>
      <c r="E1346" s="1">
        <v>38.980998999999997</v>
      </c>
      <c r="F1346" s="1">
        <v>39.521999000000001</v>
      </c>
      <c r="K1346" s="39">
        <f>DefaultValues!$B$4</f>
        <v>5</v>
      </c>
      <c r="L1346" s="1">
        <f>DefaultValues!$C$4</f>
        <v>0.5</v>
      </c>
      <c r="M1346" s="1" t="str">
        <f>DefaultValues!$D$4</f>
        <v xml:space="preserve">- Within interchange - </v>
      </c>
      <c r="N1346" s="1">
        <v>38.980998999999997</v>
      </c>
      <c r="O1346" s="1">
        <f>ABS(Table4[[#This Row],[EndMP]]-Table4[[#This Row],[StartMP]])</f>
        <v>0.54100000000000392</v>
      </c>
      <c r="P1346" s="1" t="str">
        <f>IF( AND( Table4[[#This Row],[Route]]=ClosureLocation!$B$3, ClosureLocation!$B$6 &gt;= Table4[[#This Row],[StartMP]], ClosureLocation!$B$6 &lt;= Table4[[#This Row],[EndMP]]), "Yes", "")</f>
        <v/>
      </c>
      <c r="Q1346" s="1" t="str">
        <f>IF( AND( Table4[[#This Row],[Route]]=ClosureLocation!$B$3, ClosureLocation!$B$6 &lt;= Table4[[#This Row],[StartMP]], ClosureLocation!$B$6 &gt;= Table4[[#This Row],[EndMP]]), "Yes", "")</f>
        <v/>
      </c>
      <c r="R1346" s="1" t="str">
        <f>IF( OR( Table4[[#This Row],[PrimaryMatch]]="Yes", Table4[[#This Row],[SecondaryMatch]]="Yes"), "Yes", "")</f>
        <v/>
      </c>
    </row>
    <row r="1347" spans="1:18" hidden="1" x14ac:dyDescent="0.25">
      <c r="A1347" t="s">
        <v>454</v>
      </c>
      <c r="B1347" t="s">
        <v>3205</v>
      </c>
      <c r="C1347" t="s">
        <v>3222</v>
      </c>
      <c r="D1347" t="s">
        <v>3525</v>
      </c>
      <c r="E1347" s="1">
        <v>42.994999</v>
      </c>
      <c r="F1347" s="1">
        <v>43.488998000000002</v>
      </c>
      <c r="K1347" s="39">
        <f>DefaultValues!$B$4</f>
        <v>5</v>
      </c>
      <c r="L1347" s="1">
        <f>DefaultValues!$C$4</f>
        <v>0.5</v>
      </c>
      <c r="M1347" s="1" t="str">
        <f>DefaultValues!$D$4</f>
        <v xml:space="preserve">- Within interchange - </v>
      </c>
      <c r="N1347" s="1">
        <v>42.994999</v>
      </c>
      <c r="O1347" s="1">
        <f>ABS(Table4[[#This Row],[EndMP]]-Table4[[#This Row],[StartMP]])</f>
        <v>0.4939990000000023</v>
      </c>
      <c r="P1347" s="1" t="str">
        <f>IF( AND( Table4[[#This Row],[Route]]=ClosureLocation!$B$3, ClosureLocation!$B$6 &gt;= Table4[[#This Row],[StartMP]], ClosureLocation!$B$6 &lt;= Table4[[#This Row],[EndMP]]), "Yes", "")</f>
        <v/>
      </c>
      <c r="Q1347" s="1" t="str">
        <f>IF( AND( Table4[[#This Row],[Route]]=ClosureLocation!$B$3, ClosureLocation!$B$6 &lt;= Table4[[#This Row],[StartMP]], ClosureLocation!$B$6 &gt;= Table4[[#This Row],[EndMP]]), "Yes", "")</f>
        <v/>
      </c>
      <c r="R1347" s="1" t="str">
        <f>IF( OR( Table4[[#This Row],[PrimaryMatch]]="Yes", Table4[[#This Row],[SecondaryMatch]]="Yes"), "Yes", "")</f>
        <v/>
      </c>
    </row>
    <row r="1348" spans="1:18" hidden="1" x14ac:dyDescent="0.25">
      <c r="A1348" t="s">
        <v>454</v>
      </c>
      <c r="B1348" t="s">
        <v>3205</v>
      </c>
      <c r="C1348" t="s">
        <v>3222</v>
      </c>
      <c r="D1348" t="s">
        <v>3525</v>
      </c>
      <c r="E1348" s="1">
        <v>45.560001</v>
      </c>
      <c r="F1348" s="1">
        <v>46.233001999999999</v>
      </c>
      <c r="K1348" s="39">
        <f>DefaultValues!$B$4</f>
        <v>5</v>
      </c>
      <c r="L1348" s="1">
        <f>DefaultValues!$C$4</f>
        <v>0.5</v>
      </c>
      <c r="M1348" s="1" t="str">
        <f>DefaultValues!$D$4</f>
        <v xml:space="preserve">- Within interchange - </v>
      </c>
      <c r="N1348" s="1">
        <v>45.560001</v>
      </c>
      <c r="O1348" s="1">
        <f>ABS(Table4[[#This Row],[EndMP]]-Table4[[#This Row],[StartMP]])</f>
        <v>0.67300099999999929</v>
      </c>
      <c r="P1348" s="1" t="str">
        <f>IF( AND( Table4[[#This Row],[Route]]=ClosureLocation!$B$3, ClosureLocation!$B$6 &gt;= Table4[[#This Row],[StartMP]], ClosureLocation!$B$6 &lt;= Table4[[#This Row],[EndMP]]), "Yes", "")</f>
        <v/>
      </c>
      <c r="Q1348" s="1" t="str">
        <f>IF( AND( Table4[[#This Row],[Route]]=ClosureLocation!$B$3, ClosureLocation!$B$6 &lt;= Table4[[#This Row],[StartMP]], ClosureLocation!$B$6 &gt;= Table4[[#This Row],[EndMP]]), "Yes", "")</f>
        <v/>
      </c>
      <c r="R1348" s="1" t="str">
        <f>IF( OR( Table4[[#This Row],[PrimaryMatch]]="Yes", Table4[[#This Row],[SecondaryMatch]]="Yes"), "Yes", "")</f>
        <v/>
      </c>
    </row>
    <row r="1349" spans="1:18" hidden="1" x14ac:dyDescent="0.25">
      <c r="A1349" t="s">
        <v>454</v>
      </c>
      <c r="B1349" t="s">
        <v>3205</v>
      </c>
      <c r="C1349" t="s">
        <v>3222</v>
      </c>
      <c r="D1349" t="s">
        <v>3525</v>
      </c>
      <c r="E1349" s="1">
        <v>47.616000999999997</v>
      </c>
      <c r="F1349" s="1">
        <v>48.251998999999998</v>
      </c>
      <c r="K1349" s="39">
        <f>DefaultValues!$B$4</f>
        <v>5</v>
      </c>
      <c r="L1349" s="1">
        <f>DefaultValues!$C$4</f>
        <v>0.5</v>
      </c>
      <c r="M1349" s="1" t="str">
        <f>DefaultValues!$D$4</f>
        <v xml:space="preserve">- Within interchange - </v>
      </c>
      <c r="N1349" s="1">
        <v>47.616000999999997</v>
      </c>
      <c r="O1349" s="1">
        <f>ABS(Table4[[#This Row],[EndMP]]-Table4[[#This Row],[StartMP]])</f>
        <v>0.63599800000000073</v>
      </c>
      <c r="P1349" s="1" t="str">
        <f>IF( AND( Table4[[#This Row],[Route]]=ClosureLocation!$B$3, ClosureLocation!$B$6 &gt;= Table4[[#This Row],[StartMP]], ClosureLocation!$B$6 &lt;= Table4[[#This Row],[EndMP]]), "Yes", "")</f>
        <v/>
      </c>
      <c r="Q1349" s="1" t="str">
        <f>IF( AND( Table4[[#This Row],[Route]]=ClosureLocation!$B$3, ClosureLocation!$B$6 &lt;= Table4[[#This Row],[StartMP]], ClosureLocation!$B$6 &gt;= Table4[[#This Row],[EndMP]]), "Yes", "")</f>
        <v/>
      </c>
      <c r="R1349" s="1" t="str">
        <f>IF( OR( Table4[[#This Row],[PrimaryMatch]]="Yes", Table4[[#This Row],[SecondaryMatch]]="Yes"), "Yes", "")</f>
        <v/>
      </c>
    </row>
    <row r="1350" spans="1:18" hidden="1" x14ac:dyDescent="0.25">
      <c r="A1350" t="s">
        <v>454</v>
      </c>
      <c r="B1350" t="s">
        <v>3205</v>
      </c>
      <c r="C1350" t="s">
        <v>3222</v>
      </c>
      <c r="D1350" t="s">
        <v>3525</v>
      </c>
      <c r="E1350" s="1">
        <v>50.120998</v>
      </c>
      <c r="F1350" s="1">
        <v>50.577998999999998</v>
      </c>
      <c r="K1350" s="39">
        <f>DefaultValues!$B$4</f>
        <v>5</v>
      </c>
      <c r="L1350" s="1">
        <f>DefaultValues!$C$4</f>
        <v>0.5</v>
      </c>
      <c r="M1350" s="1" t="str">
        <f>DefaultValues!$D$4</f>
        <v xml:space="preserve">- Within interchange - </v>
      </c>
      <c r="N1350" s="1">
        <v>50.120998</v>
      </c>
      <c r="O1350" s="1">
        <f>ABS(Table4[[#This Row],[EndMP]]-Table4[[#This Row],[StartMP]])</f>
        <v>0.45700099999999821</v>
      </c>
      <c r="P1350" s="1" t="str">
        <f>IF( AND( Table4[[#This Row],[Route]]=ClosureLocation!$B$3, ClosureLocation!$B$6 &gt;= Table4[[#This Row],[StartMP]], ClosureLocation!$B$6 &lt;= Table4[[#This Row],[EndMP]]), "Yes", "")</f>
        <v/>
      </c>
      <c r="Q1350" s="1" t="str">
        <f>IF( AND( Table4[[#This Row],[Route]]=ClosureLocation!$B$3, ClosureLocation!$B$6 &lt;= Table4[[#This Row],[StartMP]], ClosureLocation!$B$6 &gt;= Table4[[#This Row],[EndMP]]), "Yes", "")</f>
        <v/>
      </c>
      <c r="R1350" s="1" t="str">
        <f>IF( OR( Table4[[#This Row],[PrimaryMatch]]="Yes", Table4[[#This Row],[SecondaryMatch]]="Yes"), "Yes", "")</f>
        <v/>
      </c>
    </row>
    <row r="1351" spans="1:18" hidden="1" x14ac:dyDescent="0.25">
      <c r="A1351" t="s">
        <v>454</v>
      </c>
      <c r="B1351" t="s">
        <v>3205</v>
      </c>
      <c r="C1351" t="s">
        <v>3222</v>
      </c>
      <c r="D1351" t="s">
        <v>3525</v>
      </c>
      <c r="E1351" s="1">
        <v>52.207000999999998</v>
      </c>
      <c r="F1351" s="1">
        <v>52.851002000000001</v>
      </c>
      <c r="K1351" s="39">
        <f>DefaultValues!$B$4</f>
        <v>5</v>
      </c>
      <c r="L1351" s="1">
        <f>DefaultValues!$C$4</f>
        <v>0.5</v>
      </c>
      <c r="M1351" s="1" t="str">
        <f>DefaultValues!$D$4</f>
        <v xml:space="preserve">- Within interchange - </v>
      </c>
      <c r="N1351" s="1">
        <v>52.207000999999998</v>
      </c>
      <c r="O1351" s="1">
        <f>ABS(Table4[[#This Row],[EndMP]]-Table4[[#This Row],[StartMP]])</f>
        <v>0.64400100000000293</v>
      </c>
      <c r="P1351" s="1" t="str">
        <f>IF( AND( Table4[[#This Row],[Route]]=ClosureLocation!$B$3, ClosureLocation!$B$6 &gt;= Table4[[#This Row],[StartMP]], ClosureLocation!$B$6 &lt;= Table4[[#This Row],[EndMP]]), "Yes", "")</f>
        <v/>
      </c>
      <c r="Q1351" s="1" t="str">
        <f>IF( AND( Table4[[#This Row],[Route]]=ClosureLocation!$B$3, ClosureLocation!$B$6 &lt;= Table4[[#This Row],[StartMP]], ClosureLocation!$B$6 &gt;= Table4[[#This Row],[EndMP]]), "Yes", "")</f>
        <v/>
      </c>
      <c r="R1351" s="1" t="str">
        <f>IF( OR( Table4[[#This Row],[PrimaryMatch]]="Yes", Table4[[#This Row],[SecondaryMatch]]="Yes"), "Yes", "")</f>
        <v/>
      </c>
    </row>
    <row r="1352" spans="1:18" hidden="1" x14ac:dyDescent="0.25">
      <c r="A1352" t="s">
        <v>454</v>
      </c>
      <c r="B1352" t="s">
        <v>3205</v>
      </c>
      <c r="C1352" t="s">
        <v>3222</v>
      </c>
      <c r="D1352" t="s">
        <v>3525</v>
      </c>
      <c r="E1352" s="1">
        <v>54.544998</v>
      </c>
      <c r="F1352" s="1">
        <v>55.07</v>
      </c>
      <c r="K1352" s="39">
        <f>DefaultValues!$B$4</f>
        <v>5</v>
      </c>
      <c r="L1352" s="1">
        <f>DefaultValues!$C$4</f>
        <v>0.5</v>
      </c>
      <c r="M1352" s="1" t="str">
        <f>DefaultValues!$D$4</f>
        <v xml:space="preserve">- Within interchange - </v>
      </c>
      <c r="N1352" s="1">
        <v>54.544998</v>
      </c>
      <c r="O1352" s="1">
        <f>ABS(Table4[[#This Row],[EndMP]]-Table4[[#This Row],[StartMP]])</f>
        <v>0.52500200000000063</v>
      </c>
      <c r="P1352" s="1" t="str">
        <f>IF( AND( Table4[[#This Row],[Route]]=ClosureLocation!$B$3, ClosureLocation!$B$6 &gt;= Table4[[#This Row],[StartMP]], ClosureLocation!$B$6 &lt;= Table4[[#This Row],[EndMP]]), "Yes", "")</f>
        <v/>
      </c>
      <c r="Q1352" s="1" t="str">
        <f>IF( AND( Table4[[#This Row],[Route]]=ClosureLocation!$B$3, ClosureLocation!$B$6 &lt;= Table4[[#This Row],[StartMP]], ClosureLocation!$B$6 &gt;= Table4[[#This Row],[EndMP]]), "Yes", "")</f>
        <v/>
      </c>
      <c r="R1352" s="1" t="str">
        <f>IF( OR( Table4[[#This Row],[PrimaryMatch]]="Yes", Table4[[#This Row],[SecondaryMatch]]="Yes"), "Yes", "")</f>
        <v/>
      </c>
    </row>
    <row r="1353" spans="1:18" hidden="1" x14ac:dyDescent="0.25">
      <c r="A1353" t="s">
        <v>454</v>
      </c>
      <c r="B1353" t="s">
        <v>3205</v>
      </c>
      <c r="C1353" t="s">
        <v>3222</v>
      </c>
      <c r="D1353" t="s">
        <v>3525</v>
      </c>
      <c r="E1353" s="1">
        <v>55.756999999999998</v>
      </c>
      <c r="F1353" s="1">
        <v>56.108001999999999</v>
      </c>
      <c r="K1353" s="39">
        <f>DefaultValues!$B$4</f>
        <v>5</v>
      </c>
      <c r="L1353" s="1">
        <f>DefaultValues!$C$4</f>
        <v>0.5</v>
      </c>
      <c r="M1353" s="1" t="str">
        <f>DefaultValues!$D$4</f>
        <v xml:space="preserve">- Within interchange - </v>
      </c>
      <c r="N1353" s="1">
        <v>55.756999999999998</v>
      </c>
      <c r="O1353" s="1">
        <f>ABS(Table4[[#This Row],[EndMP]]-Table4[[#This Row],[StartMP]])</f>
        <v>0.35100200000000115</v>
      </c>
      <c r="P1353" s="1" t="str">
        <f>IF( AND( Table4[[#This Row],[Route]]=ClosureLocation!$B$3, ClosureLocation!$B$6 &gt;= Table4[[#This Row],[StartMP]], ClosureLocation!$B$6 &lt;= Table4[[#This Row],[EndMP]]), "Yes", "")</f>
        <v/>
      </c>
      <c r="Q1353" s="1" t="str">
        <f>IF( AND( Table4[[#This Row],[Route]]=ClosureLocation!$B$3, ClosureLocation!$B$6 &lt;= Table4[[#This Row],[StartMP]], ClosureLocation!$B$6 &gt;= Table4[[#This Row],[EndMP]]), "Yes", "")</f>
        <v/>
      </c>
      <c r="R1353" s="1" t="str">
        <f>IF( OR( Table4[[#This Row],[PrimaryMatch]]="Yes", Table4[[#This Row],[SecondaryMatch]]="Yes"), "Yes", "")</f>
        <v/>
      </c>
    </row>
    <row r="1354" spans="1:18" hidden="1" x14ac:dyDescent="0.25">
      <c r="A1354" t="s">
        <v>454</v>
      </c>
      <c r="B1354" t="s">
        <v>3205</v>
      </c>
      <c r="C1354" t="s">
        <v>3222</v>
      </c>
      <c r="D1354" t="s">
        <v>3525</v>
      </c>
      <c r="E1354" s="1">
        <v>56.813999000000003</v>
      </c>
      <c r="F1354" s="1">
        <v>57.417999000000002</v>
      </c>
      <c r="K1354" s="39">
        <f>DefaultValues!$B$4</f>
        <v>5</v>
      </c>
      <c r="L1354" s="1">
        <f>DefaultValues!$C$4</f>
        <v>0.5</v>
      </c>
      <c r="M1354" s="1" t="str">
        <f>DefaultValues!$D$4</f>
        <v xml:space="preserve">- Within interchange - </v>
      </c>
      <c r="N1354" s="1">
        <v>56.813999000000003</v>
      </c>
      <c r="O1354" s="1">
        <f>ABS(Table4[[#This Row],[EndMP]]-Table4[[#This Row],[StartMP]])</f>
        <v>0.6039999999999992</v>
      </c>
      <c r="P1354" s="1" t="str">
        <f>IF( AND( Table4[[#This Row],[Route]]=ClosureLocation!$B$3, ClosureLocation!$B$6 &gt;= Table4[[#This Row],[StartMP]], ClosureLocation!$B$6 &lt;= Table4[[#This Row],[EndMP]]), "Yes", "")</f>
        <v/>
      </c>
      <c r="Q1354" s="1" t="str">
        <f>IF( AND( Table4[[#This Row],[Route]]=ClosureLocation!$B$3, ClosureLocation!$B$6 &lt;= Table4[[#This Row],[StartMP]], ClosureLocation!$B$6 &gt;= Table4[[#This Row],[EndMP]]), "Yes", "")</f>
        <v/>
      </c>
      <c r="R1354" s="1" t="str">
        <f>IF( OR( Table4[[#This Row],[PrimaryMatch]]="Yes", Table4[[#This Row],[SecondaryMatch]]="Yes"), "Yes", "")</f>
        <v/>
      </c>
    </row>
    <row r="1355" spans="1:18" hidden="1" x14ac:dyDescent="0.25">
      <c r="A1355" t="s">
        <v>454</v>
      </c>
      <c r="B1355" t="s">
        <v>3209</v>
      </c>
      <c r="C1355" t="s">
        <v>3226</v>
      </c>
      <c r="D1355" t="s">
        <v>3532</v>
      </c>
      <c r="E1355" s="1">
        <v>57.417999000000002</v>
      </c>
      <c r="F1355" s="1">
        <v>56.813999000000003</v>
      </c>
      <c r="K1355" s="39">
        <f>DefaultValues!$B$4</f>
        <v>5</v>
      </c>
      <c r="L1355" s="1">
        <f>DefaultValues!$C$4</f>
        <v>0.5</v>
      </c>
      <c r="M1355" s="1" t="str">
        <f>DefaultValues!$D$4</f>
        <v xml:space="preserve">- Within interchange - </v>
      </c>
      <c r="N1355" s="1">
        <v>942.58196999999996</v>
      </c>
      <c r="O1355" s="1">
        <f>ABS(Table4[[#This Row],[EndMP]]-Table4[[#This Row],[StartMP]])</f>
        <v>0.6039999999999992</v>
      </c>
      <c r="P1355" s="1" t="str">
        <f>IF( AND( Table4[[#This Row],[Route]]=ClosureLocation!$B$3, ClosureLocation!$B$6 &gt;= Table4[[#This Row],[StartMP]], ClosureLocation!$B$6 &lt;= Table4[[#This Row],[EndMP]]), "Yes", "")</f>
        <v/>
      </c>
      <c r="Q1355" s="1" t="str">
        <f>IF( AND( Table4[[#This Row],[Route]]=ClosureLocation!$B$3, ClosureLocation!$B$6 &lt;= Table4[[#This Row],[StartMP]], ClosureLocation!$B$6 &gt;= Table4[[#This Row],[EndMP]]), "Yes", "")</f>
        <v/>
      </c>
      <c r="R1355" s="1" t="str">
        <f>IF( OR( Table4[[#This Row],[PrimaryMatch]]="Yes", Table4[[#This Row],[SecondaryMatch]]="Yes"), "Yes", "")</f>
        <v/>
      </c>
    </row>
    <row r="1356" spans="1:18" hidden="1" x14ac:dyDescent="0.25">
      <c r="A1356" t="s">
        <v>454</v>
      </c>
      <c r="B1356" t="s">
        <v>3209</v>
      </c>
      <c r="C1356" t="s">
        <v>3226</v>
      </c>
      <c r="D1356" t="s">
        <v>3532</v>
      </c>
      <c r="E1356" s="1">
        <v>56</v>
      </c>
      <c r="F1356" s="1">
        <v>55.756999999999998</v>
      </c>
      <c r="K1356" s="39">
        <f>DefaultValues!$B$4</f>
        <v>5</v>
      </c>
      <c r="L1356" s="1">
        <f>DefaultValues!$C$4</f>
        <v>0.5</v>
      </c>
      <c r="M1356" s="1" t="str">
        <f>DefaultValues!$D$4</f>
        <v xml:space="preserve">- Within interchange - </v>
      </c>
      <c r="N1356" s="1">
        <v>944</v>
      </c>
      <c r="O1356" s="1">
        <f>ABS(Table4[[#This Row],[EndMP]]-Table4[[#This Row],[StartMP]])</f>
        <v>0.2430000000000021</v>
      </c>
      <c r="P1356" s="1" t="str">
        <f>IF( AND( Table4[[#This Row],[Route]]=ClosureLocation!$B$3, ClosureLocation!$B$6 &gt;= Table4[[#This Row],[StartMP]], ClosureLocation!$B$6 &lt;= Table4[[#This Row],[EndMP]]), "Yes", "")</f>
        <v/>
      </c>
      <c r="Q1356" s="1" t="str">
        <f>IF( AND( Table4[[#This Row],[Route]]=ClosureLocation!$B$3, ClosureLocation!$B$6 &lt;= Table4[[#This Row],[StartMP]], ClosureLocation!$B$6 &gt;= Table4[[#This Row],[EndMP]]), "Yes", "")</f>
        <v/>
      </c>
      <c r="R1356" s="1" t="str">
        <f>IF( OR( Table4[[#This Row],[PrimaryMatch]]="Yes", Table4[[#This Row],[SecondaryMatch]]="Yes"), "Yes", "")</f>
        <v/>
      </c>
    </row>
    <row r="1357" spans="1:18" hidden="1" x14ac:dyDescent="0.25">
      <c r="A1357" t="s">
        <v>454</v>
      </c>
      <c r="B1357" t="s">
        <v>3209</v>
      </c>
      <c r="C1357" t="s">
        <v>3226</v>
      </c>
      <c r="D1357" t="s">
        <v>3532</v>
      </c>
      <c r="E1357" s="1">
        <v>55.268002000000003</v>
      </c>
      <c r="F1357" s="1">
        <v>54.477001000000001</v>
      </c>
      <c r="K1357" s="39">
        <f>DefaultValues!$B$4</f>
        <v>5</v>
      </c>
      <c r="L1357" s="1">
        <f>DefaultValues!$C$4</f>
        <v>0.5</v>
      </c>
      <c r="M1357" s="1" t="str">
        <f>DefaultValues!$D$4</f>
        <v xml:space="preserve">- Within interchange - </v>
      </c>
      <c r="N1357" s="1">
        <v>944.73199499999998</v>
      </c>
      <c r="O1357" s="1">
        <f>ABS(Table4[[#This Row],[EndMP]]-Table4[[#This Row],[StartMP]])</f>
        <v>0.7910010000000014</v>
      </c>
      <c r="P1357" s="1" t="str">
        <f>IF( AND( Table4[[#This Row],[Route]]=ClosureLocation!$B$3, ClosureLocation!$B$6 &gt;= Table4[[#This Row],[StartMP]], ClosureLocation!$B$6 &lt;= Table4[[#This Row],[EndMP]]), "Yes", "")</f>
        <v/>
      </c>
      <c r="Q1357" s="1" t="str">
        <f>IF( AND( Table4[[#This Row],[Route]]=ClosureLocation!$B$3, ClosureLocation!$B$6 &lt;= Table4[[#This Row],[StartMP]], ClosureLocation!$B$6 &gt;= Table4[[#This Row],[EndMP]]), "Yes", "")</f>
        <v/>
      </c>
      <c r="R1357" s="1" t="str">
        <f>IF( OR( Table4[[#This Row],[PrimaryMatch]]="Yes", Table4[[#This Row],[SecondaryMatch]]="Yes"), "Yes", "")</f>
        <v/>
      </c>
    </row>
    <row r="1358" spans="1:18" hidden="1" x14ac:dyDescent="0.25">
      <c r="A1358" t="s">
        <v>454</v>
      </c>
      <c r="B1358" t="s">
        <v>3209</v>
      </c>
      <c r="C1358" t="s">
        <v>3226</v>
      </c>
      <c r="D1358" t="s">
        <v>3532</v>
      </c>
      <c r="E1358" s="1">
        <v>52.851002000000001</v>
      </c>
      <c r="F1358" s="1">
        <v>52.082000999999998</v>
      </c>
      <c r="K1358" s="39">
        <f>DefaultValues!$B$4</f>
        <v>5</v>
      </c>
      <c r="L1358" s="1">
        <f>DefaultValues!$C$4</f>
        <v>0.5</v>
      </c>
      <c r="M1358" s="1" t="str">
        <f>DefaultValues!$D$4</f>
        <v xml:space="preserve">- Within interchange - </v>
      </c>
      <c r="N1358" s="1">
        <v>947.14898700000003</v>
      </c>
      <c r="O1358" s="1">
        <f>ABS(Table4[[#This Row],[EndMP]]-Table4[[#This Row],[StartMP]])</f>
        <v>0.76900100000000293</v>
      </c>
      <c r="P1358" s="1" t="str">
        <f>IF( AND( Table4[[#This Row],[Route]]=ClosureLocation!$B$3, ClosureLocation!$B$6 &gt;= Table4[[#This Row],[StartMP]], ClosureLocation!$B$6 &lt;= Table4[[#This Row],[EndMP]]), "Yes", "")</f>
        <v/>
      </c>
      <c r="Q1358" s="1" t="str">
        <f>IF( AND( Table4[[#This Row],[Route]]=ClosureLocation!$B$3, ClosureLocation!$B$6 &lt;= Table4[[#This Row],[StartMP]], ClosureLocation!$B$6 &gt;= Table4[[#This Row],[EndMP]]), "Yes", "")</f>
        <v/>
      </c>
      <c r="R1358" s="1" t="str">
        <f>IF( OR( Table4[[#This Row],[PrimaryMatch]]="Yes", Table4[[#This Row],[SecondaryMatch]]="Yes"), "Yes", "")</f>
        <v/>
      </c>
    </row>
    <row r="1359" spans="1:18" hidden="1" x14ac:dyDescent="0.25">
      <c r="A1359" t="s">
        <v>454</v>
      </c>
      <c r="B1359" t="s">
        <v>3209</v>
      </c>
      <c r="C1359" t="s">
        <v>3226</v>
      </c>
      <c r="D1359" t="s">
        <v>3532</v>
      </c>
      <c r="E1359" s="1">
        <v>50.636001999999998</v>
      </c>
      <c r="F1359" s="1">
        <v>50.157001000000001</v>
      </c>
      <c r="K1359" s="39">
        <f>DefaultValues!$B$4</f>
        <v>5</v>
      </c>
      <c r="L1359" s="1">
        <f>DefaultValues!$C$4</f>
        <v>0.5</v>
      </c>
      <c r="M1359" s="1" t="str">
        <f>DefaultValues!$D$4</f>
        <v xml:space="preserve">- Within interchange - </v>
      </c>
      <c r="N1359" s="1">
        <v>949.364014</v>
      </c>
      <c r="O1359" s="1">
        <f>ABS(Table4[[#This Row],[EndMP]]-Table4[[#This Row],[StartMP]])</f>
        <v>0.47900099999999668</v>
      </c>
      <c r="P1359" s="1" t="str">
        <f>IF( AND( Table4[[#This Row],[Route]]=ClosureLocation!$B$3, ClosureLocation!$B$6 &gt;= Table4[[#This Row],[StartMP]], ClosureLocation!$B$6 &lt;= Table4[[#This Row],[EndMP]]), "Yes", "")</f>
        <v/>
      </c>
      <c r="Q1359" s="1" t="str">
        <f>IF( AND( Table4[[#This Row],[Route]]=ClosureLocation!$B$3, ClosureLocation!$B$6 &lt;= Table4[[#This Row],[StartMP]], ClosureLocation!$B$6 &gt;= Table4[[#This Row],[EndMP]]), "Yes", "")</f>
        <v/>
      </c>
      <c r="R1359" s="1" t="str">
        <f>IF( OR( Table4[[#This Row],[PrimaryMatch]]="Yes", Table4[[#This Row],[SecondaryMatch]]="Yes"), "Yes", "")</f>
        <v/>
      </c>
    </row>
    <row r="1360" spans="1:18" hidden="1" x14ac:dyDescent="0.25">
      <c r="A1360" t="s">
        <v>454</v>
      </c>
      <c r="B1360" t="s">
        <v>3209</v>
      </c>
      <c r="C1360" t="s">
        <v>3226</v>
      </c>
      <c r="D1360" t="s">
        <v>3532</v>
      </c>
      <c r="E1360" s="1">
        <v>48.330002</v>
      </c>
      <c r="F1360" s="1">
        <v>47.896999000000001</v>
      </c>
      <c r="K1360" s="39">
        <f>DefaultValues!$B$4</f>
        <v>5</v>
      </c>
      <c r="L1360" s="1">
        <f>DefaultValues!$C$4</f>
        <v>0.5</v>
      </c>
      <c r="M1360" s="1" t="str">
        <f>DefaultValues!$D$4</f>
        <v xml:space="preserve">- Within interchange - </v>
      </c>
      <c r="N1360" s="1">
        <v>951.669983</v>
      </c>
      <c r="O1360" s="1">
        <f>ABS(Table4[[#This Row],[EndMP]]-Table4[[#This Row],[StartMP]])</f>
        <v>0.43300299999999936</v>
      </c>
      <c r="P1360" s="1" t="str">
        <f>IF( AND( Table4[[#This Row],[Route]]=ClosureLocation!$B$3, ClosureLocation!$B$6 &gt;= Table4[[#This Row],[StartMP]], ClosureLocation!$B$6 &lt;= Table4[[#This Row],[EndMP]]), "Yes", "")</f>
        <v/>
      </c>
      <c r="Q1360" s="1" t="str">
        <f>IF( AND( Table4[[#This Row],[Route]]=ClosureLocation!$B$3, ClosureLocation!$B$6 &lt;= Table4[[#This Row],[StartMP]], ClosureLocation!$B$6 &gt;= Table4[[#This Row],[EndMP]]), "Yes", "")</f>
        <v/>
      </c>
      <c r="R1360" s="1" t="str">
        <f>IF( OR( Table4[[#This Row],[PrimaryMatch]]="Yes", Table4[[#This Row],[SecondaryMatch]]="Yes"), "Yes", "")</f>
        <v/>
      </c>
    </row>
    <row r="1361" spans="1:18" hidden="1" x14ac:dyDescent="0.25">
      <c r="A1361" t="s">
        <v>454</v>
      </c>
      <c r="B1361" t="s">
        <v>3209</v>
      </c>
      <c r="C1361" t="s">
        <v>3226</v>
      </c>
      <c r="D1361" t="s">
        <v>3532</v>
      </c>
      <c r="E1361" s="1">
        <v>46.126998999999998</v>
      </c>
      <c r="F1361" s="1">
        <v>45.560001</v>
      </c>
      <c r="K1361" s="39">
        <f>DefaultValues!$B$4</f>
        <v>5</v>
      </c>
      <c r="L1361" s="1">
        <f>DefaultValues!$C$4</f>
        <v>0.5</v>
      </c>
      <c r="M1361" s="1" t="str">
        <f>DefaultValues!$D$4</f>
        <v xml:space="preserve">- Within interchange - </v>
      </c>
      <c r="N1361" s="1">
        <v>953.87298599999997</v>
      </c>
      <c r="O1361" s="1">
        <f>ABS(Table4[[#This Row],[EndMP]]-Table4[[#This Row],[StartMP]])</f>
        <v>0.56699799999999811</v>
      </c>
      <c r="P1361" s="1" t="str">
        <f>IF( AND( Table4[[#This Row],[Route]]=ClosureLocation!$B$3, ClosureLocation!$B$6 &gt;= Table4[[#This Row],[StartMP]], ClosureLocation!$B$6 &lt;= Table4[[#This Row],[EndMP]]), "Yes", "")</f>
        <v/>
      </c>
      <c r="Q1361" s="1" t="str">
        <f>IF( AND( Table4[[#This Row],[Route]]=ClosureLocation!$B$3, ClosureLocation!$B$6 &lt;= Table4[[#This Row],[StartMP]], ClosureLocation!$B$6 &gt;= Table4[[#This Row],[EndMP]]), "Yes", "")</f>
        <v/>
      </c>
      <c r="R1361" s="1" t="str">
        <f>IF( OR( Table4[[#This Row],[PrimaryMatch]]="Yes", Table4[[#This Row],[SecondaryMatch]]="Yes"), "Yes", "")</f>
        <v/>
      </c>
    </row>
    <row r="1362" spans="1:18" hidden="1" x14ac:dyDescent="0.25">
      <c r="A1362" t="s">
        <v>454</v>
      </c>
      <c r="B1362" t="s">
        <v>3209</v>
      </c>
      <c r="C1362" t="s">
        <v>3226</v>
      </c>
      <c r="D1362" t="s">
        <v>3532</v>
      </c>
      <c r="E1362" s="1">
        <v>43.471001000000001</v>
      </c>
      <c r="F1362" s="1">
        <v>43</v>
      </c>
      <c r="K1362" s="39">
        <f>DefaultValues!$B$4</f>
        <v>5</v>
      </c>
      <c r="L1362" s="1">
        <f>DefaultValues!$C$4</f>
        <v>0.5</v>
      </c>
      <c r="M1362" s="1" t="str">
        <f>DefaultValues!$D$4</f>
        <v xml:space="preserve">- Within interchange - </v>
      </c>
      <c r="N1362" s="1">
        <v>956.52899200000002</v>
      </c>
      <c r="O1362" s="1">
        <f>ABS(Table4[[#This Row],[EndMP]]-Table4[[#This Row],[StartMP]])</f>
        <v>0.47100100000000111</v>
      </c>
      <c r="P1362" s="1" t="str">
        <f>IF( AND( Table4[[#This Row],[Route]]=ClosureLocation!$B$3, ClosureLocation!$B$6 &gt;= Table4[[#This Row],[StartMP]], ClosureLocation!$B$6 &lt;= Table4[[#This Row],[EndMP]]), "Yes", "")</f>
        <v/>
      </c>
      <c r="Q1362" s="1" t="str">
        <f>IF( AND( Table4[[#This Row],[Route]]=ClosureLocation!$B$3, ClosureLocation!$B$6 &lt;= Table4[[#This Row],[StartMP]], ClosureLocation!$B$6 &gt;= Table4[[#This Row],[EndMP]]), "Yes", "")</f>
        <v/>
      </c>
      <c r="R1362" s="1" t="str">
        <f>IF( OR( Table4[[#This Row],[PrimaryMatch]]="Yes", Table4[[#This Row],[SecondaryMatch]]="Yes"), "Yes", "")</f>
        <v/>
      </c>
    </row>
    <row r="1363" spans="1:18" hidden="1" x14ac:dyDescent="0.25">
      <c r="A1363" t="s">
        <v>454</v>
      </c>
      <c r="B1363" t="s">
        <v>3209</v>
      </c>
      <c r="C1363" t="s">
        <v>3226</v>
      </c>
      <c r="D1363" t="s">
        <v>3532</v>
      </c>
      <c r="E1363" s="1">
        <v>39.521999000000001</v>
      </c>
      <c r="F1363" s="1">
        <v>38.980998999999997</v>
      </c>
      <c r="K1363" s="39">
        <f>DefaultValues!$B$4</f>
        <v>5</v>
      </c>
      <c r="L1363" s="1">
        <f>DefaultValues!$C$4</f>
        <v>0.5</v>
      </c>
      <c r="M1363" s="1" t="str">
        <f>DefaultValues!$D$4</f>
        <v xml:space="preserve">- Within interchange - </v>
      </c>
      <c r="N1363" s="1">
        <v>960.478027</v>
      </c>
      <c r="O1363" s="1">
        <f>ABS(Table4[[#This Row],[EndMP]]-Table4[[#This Row],[StartMP]])</f>
        <v>0.54100000000000392</v>
      </c>
      <c r="P1363" s="1" t="str">
        <f>IF( AND( Table4[[#This Row],[Route]]=ClosureLocation!$B$3, ClosureLocation!$B$6 &gt;= Table4[[#This Row],[StartMP]], ClosureLocation!$B$6 &lt;= Table4[[#This Row],[EndMP]]), "Yes", "")</f>
        <v/>
      </c>
      <c r="Q1363" s="1" t="str">
        <f>IF( AND( Table4[[#This Row],[Route]]=ClosureLocation!$B$3, ClosureLocation!$B$6 &lt;= Table4[[#This Row],[StartMP]], ClosureLocation!$B$6 &gt;= Table4[[#This Row],[EndMP]]), "Yes", "")</f>
        <v/>
      </c>
      <c r="R1363" s="1" t="str">
        <f>IF( OR( Table4[[#This Row],[PrimaryMatch]]="Yes", Table4[[#This Row],[SecondaryMatch]]="Yes"), "Yes", "")</f>
        <v/>
      </c>
    </row>
    <row r="1364" spans="1:18" hidden="1" x14ac:dyDescent="0.25">
      <c r="A1364" t="s">
        <v>454</v>
      </c>
      <c r="B1364" t="s">
        <v>3209</v>
      </c>
      <c r="C1364" t="s">
        <v>3226</v>
      </c>
      <c r="D1364" t="s">
        <v>3532</v>
      </c>
      <c r="E1364" s="1">
        <v>37.816001999999997</v>
      </c>
      <c r="F1364" s="1">
        <v>37.326000000000001</v>
      </c>
      <c r="K1364" s="39">
        <f>DefaultValues!$B$4</f>
        <v>5</v>
      </c>
      <c r="L1364" s="1">
        <f>DefaultValues!$C$4</f>
        <v>0.5</v>
      </c>
      <c r="M1364" s="1" t="str">
        <f>DefaultValues!$D$4</f>
        <v xml:space="preserve">- Within interchange - </v>
      </c>
      <c r="N1364" s="1">
        <v>962.18402100000003</v>
      </c>
      <c r="O1364" s="1">
        <f>ABS(Table4[[#This Row],[EndMP]]-Table4[[#This Row],[StartMP]])</f>
        <v>0.49000199999999694</v>
      </c>
      <c r="P1364" s="1" t="str">
        <f>IF( AND( Table4[[#This Row],[Route]]=ClosureLocation!$B$3, ClosureLocation!$B$6 &gt;= Table4[[#This Row],[StartMP]], ClosureLocation!$B$6 &lt;= Table4[[#This Row],[EndMP]]), "Yes", "")</f>
        <v/>
      </c>
      <c r="Q1364" s="1" t="str">
        <f>IF( AND( Table4[[#This Row],[Route]]=ClosureLocation!$B$3, ClosureLocation!$B$6 &lt;= Table4[[#This Row],[StartMP]], ClosureLocation!$B$6 &gt;= Table4[[#This Row],[EndMP]]), "Yes", "")</f>
        <v/>
      </c>
      <c r="R1364" s="1" t="str">
        <f>IF( OR( Table4[[#This Row],[PrimaryMatch]]="Yes", Table4[[#This Row],[SecondaryMatch]]="Yes"), "Yes", "")</f>
        <v/>
      </c>
    </row>
    <row r="1365" spans="1:18" hidden="1" x14ac:dyDescent="0.25">
      <c r="A1365" t="s">
        <v>477</v>
      </c>
      <c r="B1365" t="s">
        <v>3205</v>
      </c>
      <c r="C1365" t="s">
        <v>3222</v>
      </c>
      <c r="D1365" t="s">
        <v>3539</v>
      </c>
      <c r="E1365" s="1">
        <v>76.393996999999999</v>
      </c>
      <c r="F1365" s="1">
        <v>76.510002</v>
      </c>
      <c r="K1365" s="39">
        <f>DefaultValues!$B$4</f>
        <v>5</v>
      </c>
      <c r="L1365" s="1">
        <f>DefaultValues!$C$4</f>
        <v>0.5</v>
      </c>
      <c r="M1365" s="1" t="str">
        <f>DefaultValues!$D$4</f>
        <v xml:space="preserve">- Within interchange - </v>
      </c>
      <c r="N1365" s="1">
        <v>76.393996999999999</v>
      </c>
      <c r="O1365" s="1">
        <f>ABS(Table4[[#This Row],[EndMP]]-Table4[[#This Row],[StartMP]])</f>
        <v>0.11600500000000125</v>
      </c>
      <c r="P1365" s="1" t="str">
        <f>IF( AND( Table4[[#This Row],[Route]]=ClosureLocation!$B$3, ClosureLocation!$B$6 &gt;= Table4[[#This Row],[StartMP]], ClosureLocation!$B$6 &lt;= Table4[[#This Row],[EndMP]]), "Yes", "")</f>
        <v/>
      </c>
      <c r="Q1365" s="1" t="str">
        <f>IF( AND( Table4[[#This Row],[Route]]=ClosureLocation!$B$3, ClosureLocation!$B$6 &lt;= Table4[[#This Row],[StartMP]], ClosureLocation!$B$6 &gt;= Table4[[#This Row],[EndMP]]), "Yes", "")</f>
        <v/>
      </c>
      <c r="R1365" s="1" t="str">
        <f>IF( OR( Table4[[#This Row],[PrimaryMatch]]="Yes", Table4[[#This Row],[SecondaryMatch]]="Yes"), "Yes", "")</f>
        <v/>
      </c>
    </row>
    <row r="1366" spans="1:18" hidden="1" x14ac:dyDescent="0.25">
      <c r="A1366" t="s">
        <v>477</v>
      </c>
      <c r="B1366" t="s">
        <v>3209</v>
      </c>
      <c r="C1366" t="s">
        <v>3226</v>
      </c>
      <c r="D1366" t="s">
        <v>3541</v>
      </c>
      <c r="E1366" s="1">
        <v>76.510002</v>
      </c>
      <c r="F1366" s="1">
        <v>76.393996999999999</v>
      </c>
      <c r="K1366" s="39">
        <f>DefaultValues!$B$4</f>
        <v>5</v>
      </c>
      <c r="L1366" s="1">
        <f>DefaultValues!$C$4</f>
        <v>0.5</v>
      </c>
      <c r="M1366" s="1" t="str">
        <f>DefaultValues!$D$4</f>
        <v xml:space="preserve">- Within interchange - </v>
      </c>
      <c r="N1366" s="1">
        <v>923.48999000000003</v>
      </c>
      <c r="O1366" s="1">
        <f>ABS(Table4[[#This Row],[EndMP]]-Table4[[#This Row],[StartMP]])</f>
        <v>0.11600500000000125</v>
      </c>
      <c r="P1366" s="1" t="str">
        <f>IF( AND( Table4[[#This Row],[Route]]=ClosureLocation!$B$3, ClosureLocation!$B$6 &gt;= Table4[[#This Row],[StartMP]], ClosureLocation!$B$6 &lt;= Table4[[#This Row],[EndMP]]), "Yes", "")</f>
        <v/>
      </c>
      <c r="Q1366" s="1" t="str">
        <f>IF( AND( Table4[[#This Row],[Route]]=ClosureLocation!$B$3, ClosureLocation!$B$6 &lt;= Table4[[#This Row],[StartMP]], ClosureLocation!$B$6 &gt;= Table4[[#This Row],[EndMP]]), "Yes", "")</f>
        <v/>
      </c>
      <c r="R1366" s="1" t="str">
        <f>IF( OR( Table4[[#This Row],[PrimaryMatch]]="Yes", Table4[[#This Row],[SecondaryMatch]]="Yes"), "Yes", "")</f>
        <v/>
      </c>
    </row>
    <row r="1367" spans="1:18" hidden="1" x14ac:dyDescent="0.25">
      <c r="A1367" t="s">
        <v>485</v>
      </c>
      <c r="B1367" t="s">
        <v>3205</v>
      </c>
      <c r="C1367" t="s">
        <v>3222</v>
      </c>
      <c r="D1367" t="s">
        <v>3543</v>
      </c>
      <c r="E1367" s="1">
        <v>100.991997</v>
      </c>
      <c r="F1367" s="1">
        <v>101.012001</v>
      </c>
      <c r="K1367" s="39">
        <f>DefaultValues!$B$4</f>
        <v>5</v>
      </c>
      <c r="L1367" s="1">
        <f>DefaultValues!$C$4</f>
        <v>0.5</v>
      </c>
      <c r="M1367" s="1" t="str">
        <f>DefaultValues!$D$4</f>
        <v xml:space="preserve">- Within interchange - </v>
      </c>
      <c r="N1367" s="1">
        <v>100.991997</v>
      </c>
      <c r="O1367" s="1">
        <f>ABS(Table4[[#This Row],[EndMP]]-Table4[[#This Row],[StartMP]])</f>
        <v>2.0004000000000133E-2</v>
      </c>
      <c r="P1367" s="1" t="str">
        <f>IF( AND( Table4[[#This Row],[Route]]=ClosureLocation!$B$3, ClosureLocation!$B$6 &gt;= Table4[[#This Row],[StartMP]], ClosureLocation!$B$6 &lt;= Table4[[#This Row],[EndMP]]), "Yes", "")</f>
        <v/>
      </c>
      <c r="Q1367" s="1" t="str">
        <f>IF( AND( Table4[[#This Row],[Route]]=ClosureLocation!$B$3, ClosureLocation!$B$6 &lt;= Table4[[#This Row],[StartMP]], ClosureLocation!$B$6 &gt;= Table4[[#This Row],[EndMP]]), "Yes", "")</f>
        <v/>
      </c>
      <c r="R1367" s="1" t="str">
        <f>IF( OR( Table4[[#This Row],[PrimaryMatch]]="Yes", Table4[[#This Row],[SecondaryMatch]]="Yes"), "Yes", "")</f>
        <v/>
      </c>
    </row>
    <row r="1368" spans="1:18" hidden="1" x14ac:dyDescent="0.25">
      <c r="A1368" t="s">
        <v>485</v>
      </c>
      <c r="B1368" t="s">
        <v>3209</v>
      </c>
      <c r="C1368" t="s">
        <v>3226</v>
      </c>
      <c r="D1368" t="s">
        <v>3548</v>
      </c>
      <c r="E1368" s="1">
        <v>101.012001</v>
      </c>
      <c r="F1368" s="1">
        <v>100.991997</v>
      </c>
      <c r="K1368" s="39">
        <f>DefaultValues!$B$4</f>
        <v>5</v>
      </c>
      <c r="L1368" s="1">
        <f>DefaultValues!$C$4</f>
        <v>0.5</v>
      </c>
      <c r="M1368" s="1" t="str">
        <f>DefaultValues!$D$4</f>
        <v xml:space="preserve">- Within interchange - </v>
      </c>
      <c r="N1368" s="1">
        <v>898.987976</v>
      </c>
      <c r="O1368" s="1">
        <f>ABS(Table4[[#This Row],[EndMP]]-Table4[[#This Row],[StartMP]])</f>
        <v>2.0004000000000133E-2</v>
      </c>
      <c r="P1368" s="1" t="str">
        <f>IF( AND( Table4[[#This Row],[Route]]=ClosureLocation!$B$3, ClosureLocation!$B$6 &gt;= Table4[[#This Row],[StartMP]], ClosureLocation!$B$6 &lt;= Table4[[#This Row],[EndMP]]), "Yes", "")</f>
        <v/>
      </c>
      <c r="Q1368" s="1" t="str">
        <f>IF( AND( Table4[[#This Row],[Route]]=ClosureLocation!$B$3, ClosureLocation!$B$6 &lt;= Table4[[#This Row],[StartMP]], ClosureLocation!$B$6 &gt;= Table4[[#This Row],[EndMP]]), "Yes", "")</f>
        <v/>
      </c>
      <c r="R1368" s="1" t="str">
        <f>IF( OR( Table4[[#This Row],[PrimaryMatch]]="Yes", Table4[[#This Row],[SecondaryMatch]]="Yes"), "Yes", "")</f>
        <v/>
      </c>
    </row>
    <row r="1369" spans="1:18" hidden="1" x14ac:dyDescent="0.25">
      <c r="A1369" t="s">
        <v>504</v>
      </c>
      <c r="B1369" t="s">
        <v>3205</v>
      </c>
      <c r="C1369" t="s">
        <v>3222</v>
      </c>
      <c r="D1369" t="s">
        <v>3553</v>
      </c>
      <c r="E1369" s="1">
        <v>0.191</v>
      </c>
      <c r="F1369" s="1">
        <v>0.35699999999999998</v>
      </c>
      <c r="K1369" s="39">
        <f>DefaultValues!$B$4</f>
        <v>5</v>
      </c>
      <c r="L1369" s="1">
        <f>DefaultValues!$C$4</f>
        <v>0.5</v>
      </c>
      <c r="M1369" s="1" t="str">
        <f>DefaultValues!$D$4</f>
        <v xml:space="preserve">- Within interchange - </v>
      </c>
      <c r="N1369" s="1">
        <v>0.191</v>
      </c>
      <c r="O1369" s="1">
        <f>ABS(Table4[[#This Row],[EndMP]]-Table4[[#This Row],[StartMP]])</f>
        <v>0.16599999999999998</v>
      </c>
      <c r="P1369" s="1" t="str">
        <f>IF( AND( Table4[[#This Row],[Route]]=ClosureLocation!$B$3, ClosureLocation!$B$6 &gt;= Table4[[#This Row],[StartMP]], ClosureLocation!$B$6 &lt;= Table4[[#This Row],[EndMP]]), "Yes", "")</f>
        <v/>
      </c>
      <c r="Q1369" s="1" t="str">
        <f>IF( AND( Table4[[#This Row],[Route]]=ClosureLocation!$B$3, ClosureLocation!$B$6 &lt;= Table4[[#This Row],[StartMP]], ClosureLocation!$B$6 &gt;= Table4[[#This Row],[EndMP]]), "Yes", "")</f>
        <v/>
      </c>
      <c r="R1369" s="1" t="str">
        <f>IF( OR( Table4[[#This Row],[PrimaryMatch]]="Yes", Table4[[#This Row],[SecondaryMatch]]="Yes"), "Yes", "")</f>
        <v/>
      </c>
    </row>
    <row r="1370" spans="1:18" hidden="1" x14ac:dyDescent="0.25">
      <c r="A1370" t="s">
        <v>504</v>
      </c>
      <c r="B1370" t="s">
        <v>3209</v>
      </c>
      <c r="C1370" t="s">
        <v>3226</v>
      </c>
      <c r="D1370" t="s">
        <v>3555</v>
      </c>
      <c r="E1370" s="1">
        <v>0.35699999999999998</v>
      </c>
      <c r="F1370" s="1">
        <v>0.191</v>
      </c>
      <c r="K1370" s="39">
        <f>DefaultValues!$B$4</f>
        <v>5</v>
      </c>
      <c r="L1370" s="1">
        <f>DefaultValues!$C$4</f>
        <v>0.5</v>
      </c>
      <c r="M1370" s="1" t="str">
        <f>DefaultValues!$D$4</f>
        <v xml:space="preserve">- Within interchange - </v>
      </c>
      <c r="N1370" s="1">
        <v>999.64300500000002</v>
      </c>
      <c r="O1370" s="1">
        <f>ABS(Table4[[#This Row],[EndMP]]-Table4[[#This Row],[StartMP]])</f>
        <v>0.16599999999999998</v>
      </c>
      <c r="P1370" s="1" t="str">
        <f>IF( AND( Table4[[#This Row],[Route]]=ClosureLocation!$B$3, ClosureLocation!$B$6 &gt;= Table4[[#This Row],[StartMP]], ClosureLocation!$B$6 &lt;= Table4[[#This Row],[EndMP]]), "Yes", "")</f>
        <v/>
      </c>
      <c r="Q1370" s="1" t="str">
        <f>IF( AND( Table4[[#This Row],[Route]]=ClosureLocation!$B$3, ClosureLocation!$B$6 &lt;= Table4[[#This Row],[StartMP]], ClosureLocation!$B$6 &gt;= Table4[[#This Row],[EndMP]]), "Yes", "")</f>
        <v/>
      </c>
      <c r="R1370" s="1" t="str">
        <f>IF( OR( Table4[[#This Row],[PrimaryMatch]]="Yes", Table4[[#This Row],[SecondaryMatch]]="Yes"), "Yes", "")</f>
        <v/>
      </c>
    </row>
    <row r="1371" spans="1:18" hidden="1" x14ac:dyDescent="0.25">
      <c r="A1371" t="s">
        <v>511</v>
      </c>
      <c r="B1371" t="s">
        <v>3205</v>
      </c>
      <c r="C1371" t="s">
        <v>3206</v>
      </c>
      <c r="D1371" t="s">
        <v>3557</v>
      </c>
      <c r="E1371" s="1">
        <v>0</v>
      </c>
      <c r="F1371" s="1">
        <v>0.379</v>
      </c>
      <c r="K1371" s="39">
        <f>DefaultValues!$B$4</f>
        <v>5</v>
      </c>
      <c r="L1371" s="1">
        <f>DefaultValues!$C$4</f>
        <v>0.5</v>
      </c>
      <c r="M1371" s="1" t="str">
        <f>DefaultValues!$D$4</f>
        <v xml:space="preserve">- Within interchange - </v>
      </c>
      <c r="N1371" s="1">
        <v>0</v>
      </c>
      <c r="O1371" s="1">
        <f>ABS(Table4[[#This Row],[EndMP]]-Table4[[#This Row],[StartMP]])</f>
        <v>0.379</v>
      </c>
      <c r="P1371" s="1" t="str">
        <f>IF( AND( Table4[[#This Row],[Route]]=ClosureLocation!$B$3, ClosureLocation!$B$6 &gt;= Table4[[#This Row],[StartMP]], ClosureLocation!$B$6 &lt;= Table4[[#This Row],[EndMP]]), "Yes", "")</f>
        <v/>
      </c>
      <c r="Q1371" s="1" t="str">
        <f>IF( AND( Table4[[#This Row],[Route]]=ClosureLocation!$B$3, ClosureLocation!$B$6 &lt;= Table4[[#This Row],[StartMP]], ClosureLocation!$B$6 &gt;= Table4[[#This Row],[EndMP]]), "Yes", "")</f>
        <v/>
      </c>
      <c r="R1371" s="1" t="str">
        <f>IF( OR( Table4[[#This Row],[PrimaryMatch]]="Yes", Table4[[#This Row],[SecondaryMatch]]="Yes"), "Yes", "")</f>
        <v/>
      </c>
    </row>
    <row r="1372" spans="1:18" hidden="1" x14ac:dyDescent="0.25">
      <c r="A1372" t="s">
        <v>511</v>
      </c>
      <c r="B1372" t="s">
        <v>3209</v>
      </c>
      <c r="C1372" t="s">
        <v>3210</v>
      </c>
      <c r="D1372" t="s">
        <v>3559</v>
      </c>
      <c r="E1372" s="1">
        <v>0.379</v>
      </c>
      <c r="F1372" s="1">
        <v>0</v>
      </c>
      <c r="K1372" s="39">
        <f>DefaultValues!$B$4</f>
        <v>5</v>
      </c>
      <c r="L1372" s="1">
        <f>DefaultValues!$C$4</f>
        <v>0.5</v>
      </c>
      <c r="M1372" s="1" t="str">
        <f>DefaultValues!$D$4</f>
        <v xml:space="preserve">- Within interchange - </v>
      </c>
      <c r="N1372" s="1">
        <v>999.62097200000005</v>
      </c>
      <c r="O1372" s="1">
        <f>ABS(Table4[[#This Row],[EndMP]]-Table4[[#This Row],[StartMP]])</f>
        <v>0.379</v>
      </c>
      <c r="P1372" s="1" t="str">
        <f>IF( AND( Table4[[#This Row],[Route]]=ClosureLocation!$B$3, ClosureLocation!$B$6 &gt;= Table4[[#This Row],[StartMP]], ClosureLocation!$B$6 &lt;= Table4[[#This Row],[EndMP]]), "Yes", "")</f>
        <v/>
      </c>
      <c r="Q1372" s="1" t="str">
        <f>IF( AND( Table4[[#This Row],[Route]]=ClosureLocation!$B$3, ClosureLocation!$B$6 &lt;= Table4[[#This Row],[StartMP]], ClosureLocation!$B$6 &gt;= Table4[[#This Row],[EndMP]]), "Yes", "")</f>
        <v/>
      </c>
      <c r="R1372" s="1" t="str">
        <f>IF( OR( Table4[[#This Row],[PrimaryMatch]]="Yes", Table4[[#This Row],[SecondaryMatch]]="Yes"), "Yes", "")</f>
        <v/>
      </c>
    </row>
    <row r="1373" spans="1:18" hidden="1" x14ac:dyDescent="0.25">
      <c r="A1373" t="s">
        <v>513</v>
      </c>
      <c r="B1373" t="s">
        <v>3205</v>
      </c>
      <c r="C1373" t="s">
        <v>3222</v>
      </c>
      <c r="D1373" t="s">
        <v>3561</v>
      </c>
      <c r="E1373" s="1">
        <v>134.11799600000001</v>
      </c>
      <c r="F1373" s="1">
        <v>134.75100699999999</v>
      </c>
      <c r="K1373" s="39">
        <f>DefaultValues!$B$4</f>
        <v>5</v>
      </c>
      <c r="L1373" s="1">
        <f>DefaultValues!$C$4</f>
        <v>0.5</v>
      </c>
      <c r="M1373" s="1" t="str">
        <f>DefaultValues!$D$4</f>
        <v xml:space="preserve">- Within interchange - </v>
      </c>
      <c r="N1373" s="1">
        <v>134.11799600000001</v>
      </c>
      <c r="O1373" s="1">
        <f>ABS(Table4[[#This Row],[EndMP]]-Table4[[#This Row],[StartMP]])</f>
        <v>0.633010999999982</v>
      </c>
      <c r="P1373" s="1" t="str">
        <f>IF( AND( Table4[[#This Row],[Route]]=ClosureLocation!$B$3, ClosureLocation!$B$6 &gt;= Table4[[#This Row],[StartMP]], ClosureLocation!$B$6 &lt;= Table4[[#This Row],[EndMP]]), "Yes", "")</f>
        <v/>
      </c>
      <c r="Q1373" s="1" t="str">
        <f>IF( AND( Table4[[#This Row],[Route]]=ClosureLocation!$B$3, ClosureLocation!$B$6 &lt;= Table4[[#This Row],[StartMP]], ClosureLocation!$B$6 &gt;= Table4[[#This Row],[EndMP]]), "Yes", "")</f>
        <v/>
      </c>
      <c r="R1373" s="1" t="str">
        <f>IF( OR( Table4[[#This Row],[PrimaryMatch]]="Yes", Table4[[#This Row],[SecondaryMatch]]="Yes"), "Yes", "")</f>
        <v/>
      </c>
    </row>
    <row r="1374" spans="1:18" hidden="1" x14ac:dyDescent="0.25">
      <c r="A1374" t="s">
        <v>513</v>
      </c>
      <c r="B1374" t="s">
        <v>3205</v>
      </c>
      <c r="C1374" t="s">
        <v>3222</v>
      </c>
      <c r="D1374" t="s">
        <v>3561</v>
      </c>
      <c r="E1374" s="1">
        <v>257.37799100000001</v>
      </c>
      <c r="F1374" s="1">
        <v>258.25799599999999</v>
      </c>
      <c r="K1374" s="39">
        <f>DefaultValues!$B$4</f>
        <v>5</v>
      </c>
      <c r="L1374" s="1">
        <f>DefaultValues!$C$4</f>
        <v>0.5</v>
      </c>
      <c r="M1374" s="1" t="str">
        <f>DefaultValues!$D$4</f>
        <v xml:space="preserve">- Within interchange - </v>
      </c>
      <c r="N1374" s="1">
        <v>257.37799100000001</v>
      </c>
      <c r="O1374" s="1">
        <f>ABS(Table4[[#This Row],[EndMP]]-Table4[[#This Row],[StartMP]])</f>
        <v>0.88000499999998283</v>
      </c>
      <c r="P1374" s="1" t="str">
        <f>IF( AND( Table4[[#This Row],[Route]]=ClosureLocation!$B$3, ClosureLocation!$B$6 &gt;= Table4[[#This Row],[StartMP]], ClosureLocation!$B$6 &lt;= Table4[[#This Row],[EndMP]]), "Yes", "")</f>
        <v/>
      </c>
      <c r="Q1374" s="1" t="str">
        <f>IF( AND( Table4[[#This Row],[Route]]=ClosureLocation!$B$3, ClosureLocation!$B$6 &lt;= Table4[[#This Row],[StartMP]], ClosureLocation!$B$6 &gt;= Table4[[#This Row],[EndMP]]), "Yes", "")</f>
        <v/>
      </c>
      <c r="R1374" s="1" t="str">
        <f>IF( OR( Table4[[#This Row],[PrimaryMatch]]="Yes", Table4[[#This Row],[SecondaryMatch]]="Yes"), "Yes", "")</f>
        <v/>
      </c>
    </row>
    <row r="1375" spans="1:18" hidden="1" x14ac:dyDescent="0.25">
      <c r="A1375" t="s">
        <v>513</v>
      </c>
      <c r="B1375" t="s">
        <v>3209</v>
      </c>
      <c r="C1375" t="s">
        <v>3226</v>
      </c>
      <c r="D1375" t="s">
        <v>3565</v>
      </c>
      <c r="E1375" s="1">
        <v>134.75100699999999</v>
      </c>
      <c r="F1375" s="1">
        <v>134.11799600000001</v>
      </c>
      <c r="K1375" s="39">
        <f>DefaultValues!$B$4</f>
        <v>5</v>
      </c>
      <c r="L1375" s="1">
        <f>DefaultValues!$C$4</f>
        <v>0.5</v>
      </c>
      <c r="M1375" s="1" t="str">
        <f>DefaultValues!$D$4</f>
        <v xml:space="preserve">- Within interchange - </v>
      </c>
      <c r="N1375" s="1">
        <v>865.24902299999997</v>
      </c>
      <c r="O1375" s="1">
        <f>ABS(Table4[[#This Row],[EndMP]]-Table4[[#This Row],[StartMP]])</f>
        <v>0.633010999999982</v>
      </c>
      <c r="P1375" s="1" t="str">
        <f>IF( AND( Table4[[#This Row],[Route]]=ClosureLocation!$B$3, ClosureLocation!$B$6 &gt;= Table4[[#This Row],[StartMP]], ClosureLocation!$B$6 &lt;= Table4[[#This Row],[EndMP]]), "Yes", "")</f>
        <v/>
      </c>
      <c r="Q1375" s="1" t="str">
        <f>IF( AND( Table4[[#This Row],[Route]]=ClosureLocation!$B$3, ClosureLocation!$B$6 &lt;= Table4[[#This Row],[StartMP]], ClosureLocation!$B$6 &gt;= Table4[[#This Row],[EndMP]]), "Yes", "")</f>
        <v/>
      </c>
      <c r="R1375" s="1" t="str">
        <f>IF( OR( Table4[[#This Row],[PrimaryMatch]]="Yes", Table4[[#This Row],[SecondaryMatch]]="Yes"), "Yes", "")</f>
        <v/>
      </c>
    </row>
    <row r="1376" spans="1:18" hidden="1" x14ac:dyDescent="0.25">
      <c r="A1376" t="s">
        <v>535</v>
      </c>
      <c r="B1376" t="s">
        <v>3205</v>
      </c>
      <c r="C1376" t="s">
        <v>3222</v>
      </c>
      <c r="D1376" t="s">
        <v>3569</v>
      </c>
      <c r="E1376" s="1">
        <v>276.16198700000001</v>
      </c>
      <c r="F1376" s="1">
        <v>276.24200400000001</v>
      </c>
      <c r="K1376" s="39">
        <f>DefaultValues!$B$4</f>
        <v>5</v>
      </c>
      <c r="L1376" s="1">
        <f>DefaultValues!$C$4</f>
        <v>0.5</v>
      </c>
      <c r="M1376" s="1" t="str">
        <f>DefaultValues!$D$4</f>
        <v xml:space="preserve">- Within interchange - </v>
      </c>
      <c r="N1376" s="1">
        <v>276.16198700000001</v>
      </c>
      <c r="O1376" s="1">
        <f>ABS(Table4[[#This Row],[EndMP]]-Table4[[#This Row],[StartMP]])</f>
        <v>8.0016999999998006E-2</v>
      </c>
      <c r="P1376" s="1" t="str">
        <f>IF( AND( Table4[[#This Row],[Route]]=ClosureLocation!$B$3, ClosureLocation!$B$6 &gt;= Table4[[#This Row],[StartMP]], ClosureLocation!$B$6 &lt;= Table4[[#This Row],[EndMP]]), "Yes", "")</f>
        <v/>
      </c>
      <c r="Q1376" s="1" t="str">
        <f>IF( AND( Table4[[#This Row],[Route]]=ClosureLocation!$B$3, ClosureLocation!$B$6 &lt;= Table4[[#This Row],[StartMP]], ClosureLocation!$B$6 &gt;= Table4[[#This Row],[EndMP]]), "Yes", "")</f>
        <v/>
      </c>
      <c r="R1376" s="1" t="str">
        <f>IF( OR( Table4[[#This Row],[PrimaryMatch]]="Yes", Table4[[#This Row],[SecondaryMatch]]="Yes"), "Yes", "")</f>
        <v/>
      </c>
    </row>
    <row r="1377" spans="1:18" hidden="1" x14ac:dyDescent="0.25">
      <c r="A1377" t="s">
        <v>535</v>
      </c>
      <c r="B1377" t="s">
        <v>3209</v>
      </c>
      <c r="C1377" t="s">
        <v>3226</v>
      </c>
      <c r="D1377" t="s">
        <v>3573</v>
      </c>
      <c r="E1377" s="1">
        <v>276.24200400000001</v>
      </c>
      <c r="F1377" s="1">
        <v>276.16198700000001</v>
      </c>
      <c r="K1377" s="39">
        <f>DefaultValues!$B$4</f>
        <v>5</v>
      </c>
      <c r="L1377" s="1">
        <f>DefaultValues!$C$4</f>
        <v>0.5</v>
      </c>
      <c r="M1377" s="1" t="str">
        <f>DefaultValues!$D$4</f>
        <v xml:space="preserve">- Within interchange - </v>
      </c>
      <c r="N1377" s="1">
        <v>723.75799600000005</v>
      </c>
      <c r="O1377" s="1">
        <f>ABS(Table4[[#This Row],[EndMP]]-Table4[[#This Row],[StartMP]])</f>
        <v>8.0016999999998006E-2</v>
      </c>
      <c r="P1377" s="1" t="str">
        <f>IF( AND( Table4[[#This Row],[Route]]=ClosureLocation!$B$3, ClosureLocation!$B$6 &gt;= Table4[[#This Row],[StartMP]], ClosureLocation!$B$6 &lt;= Table4[[#This Row],[EndMP]]), "Yes", "")</f>
        <v/>
      </c>
      <c r="Q1377" s="1" t="str">
        <f>IF( AND( Table4[[#This Row],[Route]]=ClosureLocation!$B$3, ClosureLocation!$B$6 &lt;= Table4[[#This Row],[StartMP]], ClosureLocation!$B$6 &gt;= Table4[[#This Row],[EndMP]]), "Yes", "")</f>
        <v/>
      </c>
      <c r="R1377" s="1" t="str">
        <f>IF( OR( Table4[[#This Row],[PrimaryMatch]]="Yes", Table4[[#This Row],[SecondaryMatch]]="Yes"), "Yes", "")</f>
        <v/>
      </c>
    </row>
    <row r="1378" spans="1:18" hidden="1" x14ac:dyDescent="0.25">
      <c r="A1378" t="s">
        <v>546</v>
      </c>
      <c r="B1378" t="s">
        <v>3205</v>
      </c>
      <c r="C1378" t="s">
        <v>3222</v>
      </c>
      <c r="D1378" t="s">
        <v>3577</v>
      </c>
      <c r="E1378" s="1">
        <v>279.20800800000001</v>
      </c>
      <c r="F1378" s="1">
        <v>279.29901100000001</v>
      </c>
      <c r="K1378" s="39">
        <f>DefaultValues!$B$4</f>
        <v>5</v>
      </c>
      <c r="L1378" s="1">
        <f>DefaultValues!$C$4</f>
        <v>0.5</v>
      </c>
      <c r="M1378" s="1" t="str">
        <f>DefaultValues!$D$4</f>
        <v xml:space="preserve">- Within interchange - </v>
      </c>
      <c r="N1378" s="1">
        <v>279.20800800000001</v>
      </c>
      <c r="O1378" s="1">
        <f>ABS(Table4[[#This Row],[EndMP]]-Table4[[#This Row],[StartMP]])</f>
        <v>9.1003000000000611E-2</v>
      </c>
      <c r="P1378" s="1" t="str">
        <f>IF( AND( Table4[[#This Row],[Route]]=ClosureLocation!$B$3, ClosureLocation!$B$6 &gt;= Table4[[#This Row],[StartMP]], ClosureLocation!$B$6 &lt;= Table4[[#This Row],[EndMP]]), "Yes", "")</f>
        <v/>
      </c>
      <c r="Q1378" s="1" t="str">
        <f>IF( AND( Table4[[#This Row],[Route]]=ClosureLocation!$B$3, ClosureLocation!$B$6 &lt;= Table4[[#This Row],[StartMP]], ClosureLocation!$B$6 &gt;= Table4[[#This Row],[EndMP]]), "Yes", "")</f>
        <v/>
      </c>
      <c r="R1378" s="1" t="str">
        <f>IF( OR( Table4[[#This Row],[PrimaryMatch]]="Yes", Table4[[#This Row],[SecondaryMatch]]="Yes"), "Yes", "")</f>
        <v/>
      </c>
    </row>
    <row r="1379" spans="1:18" hidden="1" x14ac:dyDescent="0.25">
      <c r="A1379" t="s">
        <v>546</v>
      </c>
      <c r="B1379" t="s">
        <v>3205</v>
      </c>
      <c r="C1379" t="s">
        <v>3222</v>
      </c>
      <c r="D1379" t="s">
        <v>3577</v>
      </c>
      <c r="E1379" s="1">
        <v>286.66299400000003</v>
      </c>
      <c r="F1379" s="1">
        <v>287.03799400000003</v>
      </c>
      <c r="K1379" s="39">
        <f>DefaultValues!$B$4</f>
        <v>5</v>
      </c>
      <c r="L1379" s="1">
        <f>DefaultValues!$C$4</f>
        <v>0.5</v>
      </c>
      <c r="M1379" s="1" t="str">
        <f>DefaultValues!$D$4</f>
        <v xml:space="preserve">- Within interchange - </v>
      </c>
      <c r="N1379" s="1">
        <v>286.66299400000003</v>
      </c>
      <c r="O1379" s="1">
        <f>ABS(Table4[[#This Row],[EndMP]]-Table4[[#This Row],[StartMP]])</f>
        <v>0.375</v>
      </c>
      <c r="P1379" s="1" t="str">
        <f>IF( AND( Table4[[#This Row],[Route]]=ClosureLocation!$B$3, ClosureLocation!$B$6 &gt;= Table4[[#This Row],[StartMP]], ClosureLocation!$B$6 &lt;= Table4[[#This Row],[EndMP]]), "Yes", "")</f>
        <v/>
      </c>
      <c r="Q1379" s="1" t="str">
        <f>IF( AND( Table4[[#This Row],[Route]]=ClosureLocation!$B$3, ClosureLocation!$B$6 &lt;= Table4[[#This Row],[StartMP]], ClosureLocation!$B$6 &gt;= Table4[[#This Row],[EndMP]]), "Yes", "")</f>
        <v/>
      </c>
      <c r="R1379" s="1" t="str">
        <f>IF( OR( Table4[[#This Row],[PrimaryMatch]]="Yes", Table4[[#This Row],[SecondaryMatch]]="Yes"), "Yes", "")</f>
        <v/>
      </c>
    </row>
    <row r="1380" spans="1:18" hidden="1" x14ac:dyDescent="0.25">
      <c r="A1380" t="s">
        <v>546</v>
      </c>
      <c r="B1380" t="s">
        <v>3205</v>
      </c>
      <c r="C1380" t="s">
        <v>3222</v>
      </c>
      <c r="D1380" t="s">
        <v>3577</v>
      </c>
      <c r="E1380" s="1">
        <v>287.75900300000001</v>
      </c>
      <c r="F1380" s="1">
        <v>288.06900000000002</v>
      </c>
      <c r="K1380" s="39">
        <f>DefaultValues!$B$4</f>
        <v>5</v>
      </c>
      <c r="L1380" s="1">
        <f>DefaultValues!$C$4</f>
        <v>0.5</v>
      </c>
      <c r="M1380" s="1" t="str">
        <f>DefaultValues!$D$4</f>
        <v xml:space="preserve">- Within interchange - </v>
      </c>
      <c r="N1380" s="1">
        <v>287.75900300000001</v>
      </c>
      <c r="O1380" s="1">
        <f>ABS(Table4[[#This Row],[EndMP]]-Table4[[#This Row],[StartMP]])</f>
        <v>0.30999700000000985</v>
      </c>
      <c r="P1380" s="1" t="str">
        <f>IF( AND( Table4[[#This Row],[Route]]=ClosureLocation!$B$3, ClosureLocation!$B$6 &gt;= Table4[[#This Row],[StartMP]], ClosureLocation!$B$6 &lt;= Table4[[#This Row],[EndMP]]), "Yes", "")</f>
        <v/>
      </c>
      <c r="Q1380" s="1" t="str">
        <f>IF( AND( Table4[[#This Row],[Route]]=ClosureLocation!$B$3, ClosureLocation!$B$6 &lt;= Table4[[#This Row],[StartMP]], ClosureLocation!$B$6 &gt;= Table4[[#This Row],[EndMP]]), "Yes", "")</f>
        <v/>
      </c>
      <c r="R1380" s="1" t="str">
        <f>IF( OR( Table4[[#This Row],[PrimaryMatch]]="Yes", Table4[[#This Row],[SecondaryMatch]]="Yes"), "Yes", "")</f>
        <v/>
      </c>
    </row>
    <row r="1381" spans="1:18" hidden="1" x14ac:dyDescent="0.25">
      <c r="A1381" t="s">
        <v>546</v>
      </c>
      <c r="B1381" t="s">
        <v>3205</v>
      </c>
      <c r="C1381" t="s">
        <v>3222</v>
      </c>
      <c r="D1381" t="s">
        <v>3577</v>
      </c>
      <c r="E1381" s="1">
        <v>296</v>
      </c>
      <c r="F1381" s="1">
        <v>296.41000400000001</v>
      </c>
      <c r="K1381" s="39">
        <f>DefaultValues!$B$4</f>
        <v>5</v>
      </c>
      <c r="L1381" s="1">
        <f>DefaultValues!$C$4</f>
        <v>0.5</v>
      </c>
      <c r="M1381" s="1" t="str">
        <f>DefaultValues!$D$4</f>
        <v xml:space="preserve">- Within interchange - </v>
      </c>
      <c r="N1381" s="1">
        <v>296</v>
      </c>
      <c r="O1381" s="1">
        <f>ABS(Table4[[#This Row],[EndMP]]-Table4[[#This Row],[StartMP]])</f>
        <v>0.41000400000001491</v>
      </c>
      <c r="P1381" s="1" t="str">
        <f>IF( AND( Table4[[#This Row],[Route]]=ClosureLocation!$B$3, ClosureLocation!$B$6 &gt;= Table4[[#This Row],[StartMP]], ClosureLocation!$B$6 &lt;= Table4[[#This Row],[EndMP]]), "Yes", "")</f>
        <v/>
      </c>
      <c r="Q1381" s="1" t="str">
        <f>IF( AND( Table4[[#This Row],[Route]]=ClosureLocation!$B$3, ClosureLocation!$B$6 &lt;= Table4[[#This Row],[StartMP]], ClosureLocation!$B$6 &gt;= Table4[[#This Row],[EndMP]]), "Yes", "")</f>
        <v/>
      </c>
      <c r="R1381" s="1" t="str">
        <f>IF( OR( Table4[[#This Row],[PrimaryMatch]]="Yes", Table4[[#This Row],[SecondaryMatch]]="Yes"), "Yes", "")</f>
        <v/>
      </c>
    </row>
    <row r="1382" spans="1:18" hidden="1" x14ac:dyDescent="0.25">
      <c r="A1382" t="s">
        <v>546</v>
      </c>
      <c r="B1382" t="s">
        <v>3205</v>
      </c>
      <c r="C1382" t="s">
        <v>3222</v>
      </c>
      <c r="D1382" t="s">
        <v>3577</v>
      </c>
      <c r="E1382" s="1">
        <v>296.55599999999998</v>
      </c>
      <c r="F1382" s="1">
        <v>297</v>
      </c>
      <c r="K1382" s="39">
        <f>DefaultValues!$B$4</f>
        <v>5</v>
      </c>
      <c r="L1382" s="1">
        <f>DefaultValues!$C$4</f>
        <v>0.5</v>
      </c>
      <c r="M1382" s="1" t="str">
        <f>DefaultValues!$D$4</f>
        <v xml:space="preserve">- Within interchange - </v>
      </c>
      <c r="N1382" s="1">
        <v>296.55599999999998</v>
      </c>
      <c r="O1382" s="1">
        <f>ABS(Table4[[#This Row],[EndMP]]-Table4[[#This Row],[StartMP]])</f>
        <v>0.44400000000001683</v>
      </c>
      <c r="P1382" s="1" t="str">
        <f>IF( AND( Table4[[#This Row],[Route]]=ClosureLocation!$B$3, ClosureLocation!$B$6 &gt;= Table4[[#This Row],[StartMP]], ClosureLocation!$B$6 &lt;= Table4[[#This Row],[EndMP]]), "Yes", "")</f>
        <v/>
      </c>
      <c r="Q1382" s="1" t="str">
        <f>IF( AND( Table4[[#This Row],[Route]]=ClosureLocation!$B$3, ClosureLocation!$B$6 &lt;= Table4[[#This Row],[StartMP]], ClosureLocation!$B$6 &gt;= Table4[[#This Row],[EndMP]]), "Yes", "")</f>
        <v/>
      </c>
      <c r="R1382" s="1" t="str">
        <f>IF( OR( Table4[[#This Row],[PrimaryMatch]]="Yes", Table4[[#This Row],[SecondaryMatch]]="Yes"), "Yes", "")</f>
        <v/>
      </c>
    </row>
    <row r="1383" spans="1:18" hidden="1" x14ac:dyDescent="0.25">
      <c r="A1383" t="s">
        <v>546</v>
      </c>
      <c r="B1383" t="s">
        <v>3205</v>
      </c>
      <c r="C1383" t="s">
        <v>3222</v>
      </c>
      <c r="D1383" t="s">
        <v>3577</v>
      </c>
      <c r="E1383" s="1">
        <v>306.32101399999999</v>
      </c>
      <c r="F1383" s="1">
        <v>306.38299599999999</v>
      </c>
      <c r="K1383" s="39">
        <f>DefaultValues!$B$4</f>
        <v>5</v>
      </c>
      <c r="L1383" s="1">
        <f>DefaultValues!$C$4</f>
        <v>0.5</v>
      </c>
      <c r="M1383" s="1" t="str">
        <f>DefaultValues!$D$4</f>
        <v xml:space="preserve">- Within interchange - </v>
      </c>
      <c r="N1383" s="1">
        <v>306.32101399999999</v>
      </c>
      <c r="O1383" s="1">
        <f>ABS(Table4[[#This Row],[EndMP]]-Table4[[#This Row],[StartMP]])</f>
        <v>6.1982000000000426E-2</v>
      </c>
      <c r="P1383" s="1" t="str">
        <f>IF( AND( Table4[[#This Row],[Route]]=ClosureLocation!$B$3, ClosureLocation!$B$6 &gt;= Table4[[#This Row],[StartMP]], ClosureLocation!$B$6 &lt;= Table4[[#This Row],[EndMP]]), "Yes", "")</f>
        <v/>
      </c>
      <c r="Q1383" s="1" t="str">
        <f>IF( AND( Table4[[#This Row],[Route]]=ClosureLocation!$B$3, ClosureLocation!$B$6 &lt;= Table4[[#This Row],[StartMP]], ClosureLocation!$B$6 &gt;= Table4[[#This Row],[EndMP]]), "Yes", "")</f>
        <v/>
      </c>
      <c r="R1383" s="1" t="str">
        <f>IF( OR( Table4[[#This Row],[PrimaryMatch]]="Yes", Table4[[#This Row],[SecondaryMatch]]="Yes"), "Yes", "")</f>
        <v/>
      </c>
    </row>
    <row r="1384" spans="1:18" hidden="1" x14ac:dyDescent="0.25">
      <c r="A1384" t="s">
        <v>546</v>
      </c>
      <c r="B1384" t="s">
        <v>3205</v>
      </c>
      <c r="C1384" t="s">
        <v>3222</v>
      </c>
      <c r="D1384" t="s">
        <v>3577</v>
      </c>
      <c r="E1384" s="1">
        <v>311.381012</v>
      </c>
      <c r="F1384" s="1">
        <v>312.141998</v>
      </c>
      <c r="K1384" s="39">
        <f>DefaultValues!$B$4</f>
        <v>5</v>
      </c>
      <c r="L1384" s="1">
        <f>DefaultValues!$C$4</f>
        <v>0.5</v>
      </c>
      <c r="M1384" s="1" t="str">
        <f>DefaultValues!$D$4</f>
        <v xml:space="preserve">- Within interchange - </v>
      </c>
      <c r="N1384" s="1">
        <v>311.381012</v>
      </c>
      <c r="O1384" s="1">
        <f>ABS(Table4[[#This Row],[EndMP]]-Table4[[#This Row],[StartMP]])</f>
        <v>0.7609860000000026</v>
      </c>
      <c r="P1384" s="1" t="str">
        <f>IF( AND( Table4[[#This Row],[Route]]=ClosureLocation!$B$3, ClosureLocation!$B$6 &gt;= Table4[[#This Row],[StartMP]], ClosureLocation!$B$6 &lt;= Table4[[#This Row],[EndMP]]), "Yes", "")</f>
        <v/>
      </c>
      <c r="Q1384" s="1" t="str">
        <f>IF( AND( Table4[[#This Row],[Route]]=ClosureLocation!$B$3, ClosureLocation!$B$6 &lt;= Table4[[#This Row],[StartMP]], ClosureLocation!$B$6 &gt;= Table4[[#This Row],[EndMP]]), "Yes", "")</f>
        <v/>
      </c>
      <c r="R1384" s="1" t="str">
        <f>IF( OR( Table4[[#This Row],[PrimaryMatch]]="Yes", Table4[[#This Row],[SecondaryMatch]]="Yes"), "Yes", "")</f>
        <v/>
      </c>
    </row>
    <row r="1385" spans="1:18" hidden="1" x14ac:dyDescent="0.25">
      <c r="A1385" t="s">
        <v>546</v>
      </c>
      <c r="B1385" t="s">
        <v>3209</v>
      </c>
      <c r="C1385" t="s">
        <v>3226</v>
      </c>
      <c r="D1385" t="s">
        <v>3585</v>
      </c>
      <c r="E1385" s="1">
        <v>312.141998</v>
      </c>
      <c r="F1385" s="1">
        <v>311.381012</v>
      </c>
      <c r="K1385" s="39">
        <f>DefaultValues!$B$4</f>
        <v>5</v>
      </c>
      <c r="L1385" s="1">
        <f>DefaultValues!$C$4</f>
        <v>0.5</v>
      </c>
      <c r="M1385" s="1" t="str">
        <f>DefaultValues!$D$4</f>
        <v xml:space="preserve">- Within interchange - </v>
      </c>
      <c r="N1385" s="1">
        <v>687.85797100000002</v>
      </c>
      <c r="O1385" s="1">
        <f>ABS(Table4[[#This Row],[EndMP]]-Table4[[#This Row],[StartMP]])</f>
        <v>0.7609860000000026</v>
      </c>
      <c r="P1385" s="1" t="str">
        <f>IF( AND( Table4[[#This Row],[Route]]=ClosureLocation!$B$3, ClosureLocation!$B$6 &gt;= Table4[[#This Row],[StartMP]], ClosureLocation!$B$6 &lt;= Table4[[#This Row],[EndMP]]), "Yes", "")</f>
        <v/>
      </c>
      <c r="Q1385" s="1" t="str">
        <f>IF( AND( Table4[[#This Row],[Route]]=ClosureLocation!$B$3, ClosureLocation!$B$6 &lt;= Table4[[#This Row],[StartMP]], ClosureLocation!$B$6 &gt;= Table4[[#This Row],[EndMP]]), "Yes", "")</f>
        <v/>
      </c>
      <c r="R1385" s="1" t="str">
        <f>IF( OR( Table4[[#This Row],[PrimaryMatch]]="Yes", Table4[[#This Row],[SecondaryMatch]]="Yes"), "Yes", "")</f>
        <v/>
      </c>
    </row>
    <row r="1386" spans="1:18" hidden="1" x14ac:dyDescent="0.25">
      <c r="A1386" t="s">
        <v>546</v>
      </c>
      <c r="B1386" t="s">
        <v>3209</v>
      </c>
      <c r="C1386" t="s">
        <v>3226</v>
      </c>
      <c r="D1386" t="s">
        <v>3585</v>
      </c>
      <c r="E1386" s="1">
        <v>306.38299599999999</v>
      </c>
      <c r="F1386" s="1">
        <v>306.32101399999999</v>
      </c>
      <c r="K1386" s="39">
        <f>DefaultValues!$B$4</f>
        <v>5</v>
      </c>
      <c r="L1386" s="1">
        <f>DefaultValues!$C$4</f>
        <v>0.5</v>
      </c>
      <c r="M1386" s="1" t="str">
        <f>DefaultValues!$D$4</f>
        <v xml:space="preserve">- Within interchange - </v>
      </c>
      <c r="N1386" s="1">
        <v>693.61700399999995</v>
      </c>
      <c r="O1386" s="1">
        <f>ABS(Table4[[#This Row],[EndMP]]-Table4[[#This Row],[StartMP]])</f>
        <v>6.1982000000000426E-2</v>
      </c>
      <c r="P1386" s="1" t="str">
        <f>IF( AND( Table4[[#This Row],[Route]]=ClosureLocation!$B$3, ClosureLocation!$B$6 &gt;= Table4[[#This Row],[StartMP]], ClosureLocation!$B$6 &lt;= Table4[[#This Row],[EndMP]]), "Yes", "")</f>
        <v/>
      </c>
      <c r="Q1386" s="1" t="str">
        <f>IF( AND( Table4[[#This Row],[Route]]=ClosureLocation!$B$3, ClosureLocation!$B$6 &lt;= Table4[[#This Row],[StartMP]], ClosureLocation!$B$6 &gt;= Table4[[#This Row],[EndMP]]), "Yes", "")</f>
        <v/>
      </c>
      <c r="R1386" s="1" t="str">
        <f>IF( OR( Table4[[#This Row],[PrimaryMatch]]="Yes", Table4[[#This Row],[SecondaryMatch]]="Yes"), "Yes", "")</f>
        <v/>
      </c>
    </row>
    <row r="1387" spans="1:18" hidden="1" x14ac:dyDescent="0.25">
      <c r="A1387" t="s">
        <v>546</v>
      </c>
      <c r="B1387" t="s">
        <v>3209</v>
      </c>
      <c r="C1387" t="s">
        <v>3226</v>
      </c>
      <c r="D1387" t="s">
        <v>3585</v>
      </c>
      <c r="E1387" s="1">
        <v>297</v>
      </c>
      <c r="F1387" s="1">
        <v>296.55599999999998</v>
      </c>
      <c r="K1387" s="39">
        <f>DefaultValues!$B$4</f>
        <v>5</v>
      </c>
      <c r="L1387" s="1">
        <f>DefaultValues!$C$4</f>
        <v>0.5</v>
      </c>
      <c r="M1387" s="1" t="str">
        <f>DefaultValues!$D$4</f>
        <v xml:space="preserve">- Within interchange - </v>
      </c>
      <c r="N1387" s="1">
        <v>703</v>
      </c>
      <c r="O1387" s="1">
        <f>ABS(Table4[[#This Row],[EndMP]]-Table4[[#This Row],[StartMP]])</f>
        <v>0.44400000000001683</v>
      </c>
      <c r="P1387" s="1" t="str">
        <f>IF( AND( Table4[[#This Row],[Route]]=ClosureLocation!$B$3, ClosureLocation!$B$6 &gt;= Table4[[#This Row],[StartMP]], ClosureLocation!$B$6 &lt;= Table4[[#This Row],[EndMP]]), "Yes", "")</f>
        <v/>
      </c>
      <c r="Q1387" s="1" t="str">
        <f>IF( AND( Table4[[#This Row],[Route]]=ClosureLocation!$B$3, ClosureLocation!$B$6 &lt;= Table4[[#This Row],[StartMP]], ClosureLocation!$B$6 &gt;= Table4[[#This Row],[EndMP]]), "Yes", "")</f>
        <v/>
      </c>
      <c r="R1387" s="1" t="str">
        <f>IF( OR( Table4[[#This Row],[PrimaryMatch]]="Yes", Table4[[#This Row],[SecondaryMatch]]="Yes"), "Yes", "")</f>
        <v/>
      </c>
    </row>
    <row r="1388" spans="1:18" hidden="1" x14ac:dyDescent="0.25">
      <c r="A1388" t="s">
        <v>546</v>
      </c>
      <c r="B1388" t="s">
        <v>3209</v>
      </c>
      <c r="C1388" t="s">
        <v>3226</v>
      </c>
      <c r="D1388" t="s">
        <v>3585</v>
      </c>
      <c r="E1388" s="1">
        <v>296.41000400000001</v>
      </c>
      <c r="F1388" s="1">
        <v>296</v>
      </c>
      <c r="K1388" s="39">
        <f>DefaultValues!$B$4</f>
        <v>5</v>
      </c>
      <c r="L1388" s="1">
        <f>DefaultValues!$C$4</f>
        <v>0.5</v>
      </c>
      <c r="M1388" s="1" t="str">
        <f>DefaultValues!$D$4</f>
        <v xml:space="preserve">- Within interchange - </v>
      </c>
      <c r="N1388" s="1">
        <v>703.59002699999996</v>
      </c>
      <c r="O1388" s="1">
        <f>ABS(Table4[[#This Row],[EndMP]]-Table4[[#This Row],[StartMP]])</f>
        <v>0.41000400000001491</v>
      </c>
      <c r="P1388" s="1" t="str">
        <f>IF( AND( Table4[[#This Row],[Route]]=ClosureLocation!$B$3, ClosureLocation!$B$6 &gt;= Table4[[#This Row],[StartMP]], ClosureLocation!$B$6 &lt;= Table4[[#This Row],[EndMP]]), "Yes", "")</f>
        <v/>
      </c>
      <c r="Q1388" s="1" t="str">
        <f>IF( AND( Table4[[#This Row],[Route]]=ClosureLocation!$B$3, ClosureLocation!$B$6 &lt;= Table4[[#This Row],[StartMP]], ClosureLocation!$B$6 &gt;= Table4[[#This Row],[EndMP]]), "Yes", "")</f>
        <v/>
      </c>
      <c r="R1388" s="1" t="str">
        <f>IF( OR( Table4[[#This Row],[PrimaryMatch]]="Yes", Table4[[#This Row],[SecondaryMatch]]="Yes"), "Yes", "")</f>
        <v/>
      </c>
    </row>
    <row r="1389" spans="1:18" hidden="1" x14ac:dyDescent="0.25">
      <c r="A1389" t="s">
        <v>546</v>
      </c>
      <c r="B1389" t="s">
        <v>3209</v>
      </c>
      <c r="C1389" t="s">
        <v>3226</v>
      </c>
      <c r="D1389" t="s">
        <v>3585</v>
      </c>
      <c r="E1389" s="1">
        <v>288.06900000000002</v>
      </c>
      <c r="F1389" s="1">
        <v>287.75900300000001</v>
      </c>
      <c r="K1389" s="39">
        <f>DefaultValues!$B$4</f>
        <v>5</v>
      </c>
      <c r="L1389" s="1">
        <f>DefaultValues!$C$4</f>
        <v>0.5</v>
      </c>
      <c r="M1389" s="1" t="str">
        <f>DefaultValues!$D$4</f>
        <v xml:space="preserve">- Within interchange - </v>
      </c>
      <c r="N1389" s="1">
        <v>711.93102999999996</v>
      </c>
      <c r="O1389" s="1">
        <f>ABS(Table4[[#This Row],[EndMP]]-Table4[[#This Row],[StartMP]])</f>
        <v>0.30999700000000985</v>
      </c>
      <c r="P1389" s="1" t="str">
        <f>IF( AND( Table4[[#This Row],[Route]]=ClosureLocation!$B$3, ClosureLocation!$B$6 &gt;= Table4[[#This Row],[StartMP]], ClosureLocation!$B$6 &lt;= Table4[[#This Row],[EndMP]]), "Yes", "")</f>
        <v/>
      </c>
      <c r="Q1389" s="1" t="str">
        <f>IF( AND( Table4[[#This Row],[Route]]=ClosureLocation!$B$3, ClosureLocation!$B$6 &lt;= Table4[[#This Row],[StartMP]], ClosureLocation!$B$6 &gt;= Table4[[#This Row],[EndMP]]), "Yes", "")</f>
        <v/>
      </c>
      <c r="R1389" s="1" t="str">
        <f>IF( OR( Table4[[#This Row],[PrimaryMatch]]="Yes", Table4[[#This Row],[SecondaryMatch]]="Yes"), "Yes", "")</f>
        <v/>
      </c>
    </row>
    <row r="1390" spans="1:18" hidden="1" x14ac:dyDescent="0.25">
      <c r="A1390" t="s">
        <v>546</v>
      </c>
      <c r="B1390" t="s">
        <v>3209</v>
      </c>
      <c r="C1390" t="s">
        <v>3226</v>
      </c>
      <c r="D1390" t="s">
        <v>3585</v>
      </c>
      <c r="E1390" s="1">
        <v>287.03799400000003</v>
      </c>
      <c r="F1390" s="1">
        <v>286.66299400000003</v>
      </c>
      <c r="K1390" s="39">
        <f>DefaultValues!$B$4</f>
        <v>5</v>
      </c>
      <c r="L1390" s="1">
        <f>DefaultValues!$C$4</f>
        <v>0.5</v>
      </c>
      <c r="M1390" s="1" t="str">
        <f>DefaultValues!$D$4</f>
        <v xml:space="preserve">- Within interchange - </v>
      </c>
      <c r="N1390" s="1">
        <v>712.96197500000005</v>
      </c>
      <c r="O1390" s="1">
        <f>ABS(Table4[[#This Row],[EndMP]]-Table4[[#This Row],[StartMP]])</f>
        <v>0.375</v>
      </c>
      <c r="P1390" s="1" t="str">
        <f>IF( AND( Table4[[#This Row],[Route]]=ClosureLocation!$B$3, ClosureLocation!$B$6 &gt;= Table4[[#This Row],[StartMP]], ClosureLocation!$B$6 &lt;= Table4[[#This Row],[EndMP]]), "Yes", "")</f>
        <v/>
      </c>
      <c r="Q1390" s="1" t="str">
        <f>IF( AND( Table4[[#This Row],[Route]]=ClosureLocation!$B$3, ClosureLocation!$B$6 &lt;= Table4[[#This Row],[StartMP]], ClosureLocation!$B$6 &gt;= Table4[[#This Row],[EndMP]]), "Yes", "")</f>
        <v/>
      </c>
      <c r="R1390" s="1" t="str">
        <f>IF( OR( Table4[[#This Row],[PrimaryMatch]]="Yes", Table4[[#This Row],[SecondaryMatch]]="Yes"), "Yes", "")</f>
        <v/>
      </c>
    </row>
    <row r="1391" spans="1:18" hidden="1" x14ac:dyDescent="0.25">
      <c r="A1391" t="s">
        <v>546</v>
      </c>
      <c r="B1391" t="s">
        <v>3209</v>
      </c>
      <c r="C1391" t="s">
        <v>3226</v>
      </c>
      <c r="D1391" t="s">
        <v>3585</v>
      </c>
      <c r="E1391" s="1">
        <v>279.29901100000001</v>
      </c>
      <c r="F1391" s="1">
        <v>279.20800800000001</v>
      </c>
      <c r="K1391" s="39">
        <f>DefaultValues!$B$4</f>
        <v>5</v>
      </c>
      <c r="L1391" s="1">
        <f>DefaultValues!$C$4</f>
        <v>0.5</v>
      </c>
      <c r="M1391" s="1" t="str">
        <f>DefaultValues!$D$4</f>
        <v xml:space="preserve">- Within interchange - </v>
      </c>
      <c r="N1391" s="1">
        <v>720.70098900000005</v>
      </c>
      <c r="O1391" s="1">
        <f>ABS(Table4[[#This Row],[EndMP]]-Table4[[#This Row],[StartMP]])</f>
        <v>9.1003000000000611E-2</v>
      </c>
      <c r="P1391" s="1" t="str">
        <f>IF( AND( Table4[[#This Row],[Route]]=ClosureLocation!$B$3, ClosureLocation!$B$6 &gt;= Table4[[#This Row],[StartMP]], ClosureLocation!$B$6 &lt;= Table4[[#This Row],[EndMP]]), "Yes", "")</f>
        <v/>
      </c>
      <c r="Q1391" s="1" t="str">
        <f>IF( AND( Table4[[#This Row],[Route]]=ClosureLocation!$B$3, ClosureLocation!$B$6 &lt;= Table4[[#This Row],[StartMP]], ClosureLocation!$B$6 &gt;= Table4[[#This Row],[EndMP]]), "Yes", "")</f>
        <v/>
      </c>
      <c r="R1391" s="1" t="str">
        <f>IF( OR( Table4[[#This Row],[PrimaryMatch]]="Yes", Table4[[#This Row],[SecondaryMatch]]="Yes"), "Yes", "")</f>
        <v/>
      </c>
    </row>
    <row r="1392" spans="1:18" hidden="1" x14ac:dyDescent="0.25">
      <c r="A1392" t="s">
        <v>575</v>
      </c>
      <c r="B1392" t="s">
        <v>3205</v>
      </c>
      <c r="C1392" t="s">
        <v>3222</v>
      </c>
      <c r="D1392" t="s">
        <v>3593</v>
      </c>
      <c r="E1392" s="1">
        <v>386.01001000000002</v>
      </c>
      <c r="F1392" s="1">
        <v>386.09399400000001</v>
      </c>
      <c r="K1392" s="39">
        <f>DefaultValues!$B$4</f>
        <v>5</v>
      </c>
      <c r="L1392" s="1">
        <f>DefaultValues!$C$4</f>
        <v>0.5</v>
      </c>
      <c r="M1392" s="1" t="str">
        <f>DefaultValues!$D$4</f>
        <v xml:space="preserve">- Within interchange - </v>
      </c>
      <c r="N1392" s="1">
        <v>386.01001000000002</v>
      </c>
      <c r="O1392" s="1">
        <f>ABS(Table4[[#This Row],[EndMP]]-Table4[[#This Row],[StartMP]])</f>
        <v>8.3983999999986736E-2</v>
      </c>
      <c r="P1392" s="1" t="str">
        <f>IF( AND( Table4[[#This Row],[Route]]=ClosureLocation!$B$3, ClosureLocation!$B$6 &gt;= Table4[[#This Row],[StartMP]], ClosureLocation!$B$6 &lt;= Table4[[#This Row],[EndMP]]), "Yes", "")</f>
        <v/>
      </c>
      <c r="Q1392" s="1" t="str">
        <f>IF( AND( Table4[[#This Row],[Route]]=ClosureLocation!$B$3, ClosureLocation!$B$6 &lt;= Table4[[#This Row],[StartMP]], ClosureLocation!$B$6 &gt;= Table4[[#This Row],[EndMP]]), "Yes", "")</f>
        <v/>
      </c>
      <c r="R1392" s="1" t="str">
        <f>IF( OR( Table4[[#This Row],[PrimaryMatch]]="Yes", Table4[[#This Row],[SecondaryMatch]]="Yes"), "Yes", "")</f>
        <v/>
      </c>
    </row>
    <row r="1393" spans="1:18" hidden="1" x14ac:dyDescent="0.25">
      <c r="A1393" t="s">
        <v>575</v>
      </c>
      <c r="B1393" t="s">
        <v>3209</v>
      </c>
      <c r="C1393" t="s">
        <v>3226</v>
      </c>
      <c r="D1393" t="s">
        <v>3596</v>
      </c>
      <c r="E1393" s="1">
        <v>386.09399400000001</v>
      </c>
      <c r="F1393" s="1">
        <v>386.01001000000002</v>
      </c>
      <c r="K1393" s="39">
        <f>DefaultValues!$B$4</f>
        <v>5</v>
      </c>
      <c r="L1393" s="1">
        <f>DefaultValues!$C$4</f>
        <v>0.5</v>
      </c>
      <c r="M1393" s="1" t="str">
        <f>DefaultValues!$D$4</f>
        <v xml:space="preserve">- Within interchange - </v>
      </c>
      <c r="N1393" s="1">
        <v>613.90600600000005</v>
      </c>
      <c r="O1393" s="1">
        <f>ABS(Table4[[#This Row],[EndMP]]-Table4[[#This Row],[StartMP]])</f>
        <v>8.3983999999986736E-2</v>
      </c>
      <c r="P1393" s="1" t="str">
        <f>IF( AND( Table4[[#This Row],[Route]]=ClosureLocation!$B$3, ClosureLocation!$B$6 &gt;= Table4[[#This Row],[StartMP]], ClosureLocation!$B$6 &lt;= Table4[[#This Row],[EndMP]]), "Yes", "")</f>
        <v/>
      </c>
      <c r="Q1393" s="1" t="str">
        <f>IF( AND( Table4[[#This Row],[Route]]=ClosureLocation!$B$3, ClosureLocation!$B$6 &lt;= Table4[[#This Row],[StartMP]], ClosureLocation!$B$6 &gt;= Table4[[#This Row],[EndMP]]), "Yes", "")</f>
        <v/>
      </c>
      <c r="R1393" s="1" t="str">
        <f>IF( OR( Table4[[#This Row],[PrimaryMatch]]="Yes", Table4[[#This Row],[SecondaryMatch]]="Yes"), "Yes", "")</f>
        <v/>
      </c>
    </row>
    <row r="1394" spans="1:18" hidden="1" x14ac:dyDescent="0.25">
      <c r="A1394" t="s">
        <v>593</v>
      </c>
      <c r="B1394" t="s">
        <v>3205</v>
      </c>
      <c r="C1394" t="s">
        <v>3206</v>
      </c>
      <c r="D1394" t="s">
        <v>3603</v>
      </c>
      <c r="E1394" s="1">
        <v>0</v>
      </c>
      <c r="F1394" s="1">
        <v>0.16</v>
      </c>
      <c r="K1394" s="39">
        <f>DefaultValues!$B$4</f>
        <v>5</v>
      </c>
      <c r="L1394" s="1">
        <f>DefaultValues!$C$4</f>
        <v>0.5</v>
      </c>
      <c r="M1394" s="1" t="str">
        <f>DefaultValues!$D$4</f>
        <v xml:space="preserve">- Within interchange - </v>
      </c>
      <c r="N1394" s="1">
        <v>0</v>
      </c>
      <c r="O1394" s="1">
        <f>ABS(Table4[[#This Row],[EndMP]]-Table4[[#This Row],[StartMP]])</f>
        <v>0.16</v>
      </c>
      <c r="P1394" s="1" t="str">
        <f>IF( AND( Table4[[#This Row],[Route]]=ClosureLocation!$B$3, ClosureLocation!$B$6 &gt;= Table4[[#This Row],[StartMP]], ClosureLocation!$B$6 &lt;= Table4[[#This Row],[EndMP]]), "Yes", "")</f>
        <v/>
      </c>
      <c r="Q1394" s="1" t="str">
        <f>IF( AND( Table4[[#This Row],[Route]]=ClosureLocation!$B$3, ClosureLocation!$B$6 &lt;= Table4[[#This Row],[StartMP]], ClosureLocation!$B$6 &gt;= Table4[[#This Row],[EndMP]]), "Yes", "")</f>
        <v/>
      </c>
      <c r="R1394" s="1" t="str">
        <f>IF( OR( Table4[[#This Row],[PrimaryMatch]]="Yes", Table4[[#This Row],[SecondaryMatch]]="Yes"), "Yes", "")</f>
        <v/>
      </c>
    </row>
    <row r="1395" spans="1:18" hidden="1" x14ac:dyDescent="0.25">
      <c r="A1395" t="s">
        <v>593</v>
      </c>
      <c r="B1395" t="s">
        <v>3205</v>
      </c>
      <c r="C1395" t="s">
        <v>3206</v>
      </c>
      <c r="D1395" t="s">
        <v>3603</v>
      </c>
      <c r="E1395" s="1">
        <v>3.141</v>
      </c>
      <c r="F1395" s="1">
        <v>3.141</v>
      </c>
      <c r="K1395" s="39">
        <f>DefaultValues!$B$4</f>
        <v>5</v>
      </c>
      <c r="L1395" s="1">
        <f>DefaultValues!$C$4</f>
        <v>0.5</v>
      </c>
      <c r="M1395" s="1" t="str">
        <f>DefaultValues!$D$4</f>
        <v xml:space="preserve">- Within interchange - </v>
      </c>
      <c r="N1395" s="1">
        <v>3.141</v>
      </c>
      <c r="O1395" s="1">
        <f>ABS(Table4[[#This Row],[EndMP]]-Table4[[#This Row],[StartMP]])</f>
        <v>0</v>
      </c>
      <c r="P1395" s="1" t="str">
        <f>IF( AND( Table4[[#This Row],[Route]]=ClosureLocation!$B$3, ClosureLocation!$B$6 &gt;= Table4[[#This Row],[StartMP]], ClosureLocation!$B$6 &lt;= Table4[[#This Row],[EndMP]]), "Yes", "")</f>
        <v/>
      </c>
      <c r="Q1395" s="1" t="str">
        <f>IF( AND( Table4[[#This Row],[Route]]=ClosureLocation!$B$3, ClosureLocation!$B$6 &lt;= Table4[[#This Row],[StartMP]], ClosureLocation!$B$6 &gt;= Table4[[#This Row],[EndMP]]), "Yes", "")</f>
        <v/>
      </c>
      <c r="R1395" s="1" t="str">
        <f>IF( OR( Table4[[#This Row],[PrimaryMatch]]="Yes", Table4[[#This Row],[SecondaryMatch]]="Yes"), "Yes", "")</f>
        <v/>
      </c>
    </row>
    <row r="1396" spans="1:18" hidden="1" x14ac:dyDescent="0.25">
      <c r="A1396" t="s">
        <v>593</v>
      </c>
      <c r="B1396" t="s">
        <v>3205</v>
      </c>
      <c r="C1396" t="s">
        <v>3206</v>
      </c>
      <c r="D1396" t="s">
        <v>3603</v>
      </c>
      <c r="E1396" s="1">
        <v>8.5259999999999998</v>
      </c>
      <c r="F1396" s="1">
        <v>8.67</v>
      </c>
      <c r="K1396" s="39">
        <f>DefaultValues!$B$4</f>
        <v>5</v>
      </c>
      <c r="L1396" s="1">
        <f>DefaultValues!$C$4</f>
        <v>0.5</v>
      </c>
      <c r="M1396" s="1" t="str">
        <f>DefaultValues!$D$4</f>
        <v xml:space="preserve">- Within interchange - </v>
      </c>
      <c r="N1396" s="1">
        <v>8.5259999999999998</v>
      </c>
      <c r="O1396" s="1">
        <f>ABS(Table4[[#This Row],[EndMP]]-Table4[[#This Row],[StartMP]])</f>
        <v>0.14400000000000013</v>
      </c>
      <c r="P1396" s="1" t="str">
        <f>IF( AND( Table4[[#This Row],[Route]]=ClosureLocation!$B$3, ClosureLocation!$B$6 &gt;= Table4[[#This Row],[StartMP]], ClosureLocation!$B$6 &lt;= Table4[[#This Row],[EndMP]]), "Yes", "")</f>
        <v/>
      </c>
      <c r="Q1396" s="1" t="str">
        <f>IF( AND( Table4[[#This Row],[Route]]=ClosureLocation!$B$3, ClosureLocation!$B$6 &lt;= Table4[[#This Row],[StartMP]], ClosureLocation!$B$6 &gt;= Table4[[#This Row],[EndMP]]), "Yes", "")</f>
        <v/>
      </c>
      <c r="R1396" s="1" t="str">
        <f>IF( OR( Table4[[#This Row],[PrimaryMatch]]="Yes", Table4[[#This Row],[SecondaryMatch]]="Yes"), "Yes", "")</f>
        <v/>
      </c>
    </row>
    <row r="1397" spans="1:18" hidden="1" x14ac:dyDescent="0.25">
      <c r="A1397" t="s">
        <v>593</v>
      </c>
      <c r="B1397" t="s">
        <v>3209</v>
      </c>
      <c r="C1397" t="s">
        <v>3210</v>
      </c>
      <c r="D1397" t="s">
        <v>3606</v>
      </c>
      <c r="E1397" s="1">
        <v>8.67</v>
      </c>
      <c r="F1397" s="1">
        <v>8.5259999999999998</v>
      </c>
      <c r="K1397" s="39">
        <f>DefaultValues!$B$4</f>
        <v>5</v>
      </c>
      <c r="L1397" s="1">
        <f>DefaultValues!$C$4</f>
        <v>0.5</v>
      </c>
      <c r="M1397" s="1" t="str">
        <f>DefaultValues!$D$4</f>
        <v xml:space="preserve">- Within interchange - </v>
      </c>
      <c r="N1397" s="1">
        <v>991.330017</v>
      </c>
      <c r="O1397" s="1">
        <f>ABS(Table4[[#This Row],[EndMP]]-Table4[[#This Row],[StartMP]])</f>
        <v>0.14400000000000013</v>
      </c>
      <c r="P1397" s="1" t="str">
        <f>IF( AND( Table4[[#This Row],[Route]]=ClosureLocation!$B$3, ClosureLocation!$B$6 &gt;= Table4[[#This Row],[StartMP]], ClosureLocation!$B$6 &lt;= Table4[[#This Row],[EndMP]]), "Yes", "")</f>
        <v/>
      </c>
      <c r="Q1397" s="1" t="str">
        <f>IF( AND( Table4[[#This Row],[Route]]=ClosureLocation!$B$3, ClosureLocation!$B$6 &lt;= Table4[[#This Row],[StartMP]], ClosureLocation!$B$6 &gt;= Table4[[#This Row],[EndMP]]), "Yes", "")</f>
        <v/>
      </c>
      <c r="R1397" s="1" t="str">
        <f>IF( OR( Table4[[#This Row],[PrimaryMatch]]="Yes", Table4[[#This Row],[SecondaryMatch]]="Yes"), "Yes", "")</f>
        <v/>
      </c>
    </row>
    <row r="1398" spans="1:18" hidden="1" x14ac:dyDescent="0.25">
      <c r="A1398" t="s">
        <v>593</v>
      </c>
      <c r="B1398" t="s">
        <v>3209</v>
      </c>
      <c r="C1398" t="s">
        <v>3210</v>
      </c>
      <c r="D1398" t="s">
        <v>3606</v>
      </c>
      <c r="E1398" s="1">
        <v>3.141</v>
      </c>
      <c r="F1398" s="1">
        <v>3.141</v>
      </c>
      <c r="K1398" s="39">
        <f>DefaultValues!$B$4</f>
        <v>5</v>
      </c>
      <c r="L1398" s="1">
        <f>DefaultValues!$C$4</f>
        <v>0.5</v>
      </c>
      <c r="M1398" s="1" t="str">
        <f>DefaultValues!$D$4</f>
        <v xml:space="preserve">- Within interchange - </v>
      </c>
      <c r="N1398" s="1">
        <v>996.85900900000001</v>
      </c>
      <c r="O1398" s="1">
        <f>ABS(Table4[[#This Row],[EndMP]]-Table4[[#This Row],[StartMP]])</f>
        <v>0</v>
      </c>
      <c r="P1398" s="1" t="str">
        <f>IF( AND( Table4[[#This Row],[Route]]=ClosureLocation!$B$3, ClosureLocation!$B$6 &gt;= Table4[[#This Row],[StartMP]], ClosureLocation!$B$6 &lt;= Table4[[#This Row],[EndMP]]), "Yes", "")</f>
        <v/>
      </c>
      <c r="Q1398" s="1" t="str">
        <f>IF( AND( Table4[[#This Row],[Route]]=ClosureLocation!$B$3, ClosureLocation!$B$6 &lt;= Table4[[#This Row],[StartMP]], ClosureLocation!$B$6 &gt;= Table4[[#This Row],[EndMP]]), "Yes", "")</f>
        <v/>
      </c>
      <c r="R1398" s="1" t="str">
        <f>IF( OR( Table4[[#This Row],[PrimaryMatch]]="Yes", Table4[[#This Row],[SecondaryMatch]]="Yes"), "Yes", "")</f>
        <v/>
      </c>
    </row>
    <row r="1399" spans="1:18" hidden="1" x14ac:dyDescent="0.25">
      <c r="A1399" t="s">
        <v>593</v>
      </c>
      <c r="B1399" t="s">
        <v>3209</v>
      </c>
      <c r="C1399" t="s">
        <v>3210</v>
      </c>
      <c r="D1399" t="s">
        <v>3606</v>
      </c>
      <c r="E1399" s="1">
        <v>0.16</v>
      </c>
      <c r="F1399" s="1">
        <v>0</v>
      </c>
      <c r="K1399" s="39">
        <f>DefaultValues!$B$4</f>
        <v>5</v>
      </c>
      <c r="L1399" s="1">
        <f>DefaultValues!$C$4</f>
        <v>0.5</v>
      </c>
      <c r="M1399" s="1" t="str">
        <f>DefaultValues!$D$4</f>
        <v xml:space="preserve">- Within interchange - </v>
      </c>
      <c r="N1399" s="1">
        <v>999.84002699999996</v>
      </c>
      <c r="O1399" s="1">
        <f>ABS(Table4[[#This Row],[EndMP]]-Table4[[#This Row],[StartMP]])</f>
        <v>0.16</v>
      </c>
      <c r="P1399" s="1" t="str">
        <f>IF( AND( Table4[[#This Row],[Route]]=ClosureLocation!$B$3, ClosureLocation!$B$6 &gt;= Table4[[#This Row],[StartMP]], ClosureLocation!$B$6 &lt;= Table4[[#This Row],[EndMP]]), "Yes", "")</f>
        <v/>
      </c>
      <c r="Q1399" s="1" t="str">
        <f>IF( AND( Table4[[#This Row],[Route]]=ClosureLocation!$B$3, ClosureLocation!$B$6 &lt;= Table4[[#This Row],[StartMP]], ClosureLocation!$B$6 &gt;= Table4[[#This Row],[EndMP]]), "Yes", "")</f>
        <v/>
      </c>
      <c r="R1399" s="1" t="str">
        <f>IF( OR( Table4[[#This Row],[PrimaryMatch]]="Yes", Table4[[#This Row],[SecondaryMatch]]="Yes"), "Yes", "")</f>
        <v/>
      </c>
    </row>
    <row r="1400" spans="1:18" hidden="1" x14ac:dyDescent="0.25">
      <c r="A1400" t="s">
        <v>599</v>
      </c>
      <c r="B1400" t="s">
        <v>3205</v>
      </c>
      <c r="C1400" t="s">
        <v>3222</v>
      </c>
      <c r="D1400" t="s">
        <v>3609</v>
      </c>
      <c r="E1400" s="1">
        <v>0</v>
      </c>
      <c r="F1400" s="1">
        <v>8.4000000000000005E-2</v>
      </c>
      <c r="K1400" s="39">
        <f>DefaultValues!$B$4</f>
        <v>5</v>
      </c>
      <c r="L1400" s="1">
        <f>DefaultValues!$C$4</f>
        <v>0.5</v>
      </c>
      <c r="M1400" s="1" t="str">
        <f>DefaultValues!$D$4</f>
        <v xml:space="preserve">- Within interchange - </v>
      </c>
      <c r="N1400" s="1">
        <v>0</v>
      </c>
      <c r="O1400" s="1">
        <f>ABS(Table4[[#This Row],[EndMP]]-Table4[[#This Row],[StartMP]])</f>
        <v>8.4000000000000005E-2</v>
      </c>
      <c r="P1400" s="1" t="str">
        <f>IF( AND( Table4[[#This Row],[Route]]=ClosureLocation!$B$3, ClosureLocation!$B$6 &gt;= Table4[[#This Row],[StartMP]], ClosureLocation!$B$6 &lt;= Table4[[#This Row],[EndMP]]), "Yes", "")</f>
        <v/>
      </c>
      <c r="Q1400" s="1" t="str">
        <f>IF( AND( Table4[[#This Row],[Route]]=ClosureLocation!$B$3, ClosureLocation!$B$6 &lt;= Table4[[#This Row],[StartMP]], ClosureLocation!$B$6 &gt;= Table4[[#This Row],[EndMP]]), "Yes", "")</f>
        <v/>
      </c>
      <c r="R1400" s="1" t="str">
        <f>IF( OR( Table4[[#This Row],[PrimaryMatch]]="Yes", Table4[[#This Row],[SecondaryMatch]]="Yes"), "Yes", "")</f>
        <v/>
      </c>
    </row>
    <row r="1401" spans="1:18" hidden="1" x14ac:dyDescent="0.25">
      <c r="A1401" t="s">
        <v>599</v>
      </c>
      <c r="B1401" t="s">
        <v>3205</v>
      </c>
      <c r="C1401" t="s">
        <v>3222</v>
      </c>
      <c r="D1401" t="s">
        <v>3609</v>
      </c>
      <c r="E1401" s="1">
        <v>0.6</v>
      </c>
      <c r="F1401" s="1">
        <v>0.97599999999999998</v>
      </c>
      <c r="K1401" s="39">
        <f>DefaultValues!$B$4</f>
        <v>5</v>
      </c>
      <c r="L1401" s="1">
        <f>DefaultValues!$C$4</f>
        <v>0.5</v>
      </c>
      <c r="M1401" s="1" t="str">
        <f>DefaultValues!$D$4</f>
        <v xml:space="preserve">- Within interchange - </v>
      </c>
      <c r="N1401" s="1">
        <v>0.6</v>
      </c>
      <c r="O1401" s="1">
        <f>ABS(Table4[[#This Row],[EndMP]]-Table4[[#This Row],[StartMP]])</f>
        <v>0.376</v>
      </c>
      <c r="P1401" s="1" t="str">
        <f>IF( AND( Table4[[#This Row],[Route]]=ClosureLocation!$B$3, ClosureLocation!$B$6 &gt;= Table4[[#This Row],[StartMP]], ClosureLocation!$B$6 &lt;= Table4[[#This Row],[EndMP]]), "Yes", "")</f>
        <v/>
      </c>
      <c r="Q1401" s="1" t="str">
        <f>IF( AND( Table4[[#This Row],[Route]]=ClosureLocation!$B$3, ClosureLocation!$B$6 &lt;= Table4[[#This Row],[StartMP]], ClosureLocation!$B$6 &gt;= Table4[[#This Row],[EndMP]]), "Yes", "")</f>
        <v/>
      </c>
      <c r="R1401" s="1" t="str">
        <f>IF( OR( Table4[[#This Row],[PrimaryMatch]]="Yes", Table4[[#This Row],[SecondaryMatch]]="Yes"), "Yes", "")</f>
        <v/>
      </c>
    </row>
    <row r="1402" spans="1:18" hidden="1" x14ac:dyDescent="0.25">
      <c r="A1402" t="s">
        <v>599</v>
      </c>
      <c r="B1402" t="s">
        <v>3205</v>
      </c>
      <c r="C1402" t="s">
        <v>3222</v>
      </c>
      <c r="D1402" t="s">
        <v>3609</v>
      </c>
      <c r="E1402" s="1">
        <v>1.4</v>
      </c>
      <c r="F1402" s="1">
        <v>1.677</v>
      </c>
      <c r="K1402" s="39">
        <f>DefaultValues!$B$4</f>
        <v>5</v>
      </c>
      <c r="L1402" s="1">
        <f>DefaultValues!$C$4</f>
        <v>0.5</v>
      </c>
      <c r="M1402" s="1" t="str">
        <f>DefaultValues!$D$4</f>
        <v xml:space="preserve">- Within interchange - </v>
      </c>
      <c r="N1402" s="1">
        <v>1.4</v>
      </c>
      <c r="O1402" s="1">
        <f>ABS(Table4[[#This Row],[EndMP]]-Table4[[#This Row],[StartMP]])</f>
        <v>0.27700000000000014</v>
      </c>
      <c r="P1402" s="1" t="str">
        <f>IF( AND( Table4[[#This Row],[Route]]=ClosureLocation!$B$3, ClosureLocation!$B$6 &gt;= Table4[[#This Row],[StartMP]], ClosureLocation!$B$6 &lt;= Table4[[#This Row],[EndMP]]), "Yes", "")</f>
        <v/>
      </c>
      <c r="Q1402" s="1" t="str">
        <f>IF( AND( Table4[[#This Row],[Route]]=ClosureLocation!$B$3, ClosureLocation!$B$6 &lt;= Table4[[#This Row],[StartMP]], ClosureLocation!$B$6 &gt;= Table4[[#This Row],[EndMP]]), "Yes", "")</f>
        <v/>
      </c>
      <c r="R1402" s="1" t="str">
        <f>IF( OR( Table4[[#This Row],[PrimaryMatch]]="Yes", Table4[[#This Row],[SecondaryMatch]]="Yes"), "Yes", "")</f>
        <v/>
      </c>
    </row>
    <row r="1403" spans="1:18" hidden="1" x14ac:dyDescent="0.25">
      <c r="A1403" t="s">
        <v>599</v>
      </c>
      <c r="B1403" t="s">
        <v>3205</v>
      </c>
      <c r="C1403" t="s">
        <v>3222</v>
      </c>
      <c r="D1403" t="s">
        <v>3609</v>
      </c>
      <c r="E1403" s="1">
        <v>2.2160000000000002</v>
      </c>
      <c r="F1403" s="1">
        <v>2.665</v>
      </c>
      <c r="K1403" s="39">
        <f>DefaultValues!$B$4</f>
        <v>5</v>
      </c>
      <c r="L1403" s="1">
        <f>DefaultValues!$C$4</f>
        <v>0.5</v>
      </c>
      <c r="M1403" s="1" t="str">
        <f>DefaultValues!$D$4</f>
        <v xml:space="preserve">- Within interchange - </v>
      </c>
      <c r="N1403" s="1">
        <v>2.2160000000000002</v>
      </c>
      <c r="O1403" s="1">
        <f>ABS(Table4[[#This Row],[EndMP]]-Table4[[#This Row],[StartMP]])</f>
        <v>0.44899999999999984</v>
      </c>
      <c r="P1403" s="1" t="str">
        <f>IF( AND( Table4[[#This Row],[Route]]=ClosureLocation!$B$3, ClosureLocation!$B$6 &gt;= Table4[[#This Row],[StartMP]], ClosureLocation!$B$6 &lt;= Table4[[#This Row],[EndMP]]), "Yes", "")</f>
        <v/>
      </c>
      <c r="Q1403" s="1" t="str">
        <f>IF( AND( Table4[[#This Row],[Route]]=ClosureLocation!$B$3, ClosureLocation!$B$6 &lt;= Table4[[#This Row],[StartMP]], ClosureLocation!$B$6 &gt;= Table4[[#This Row],[EndMP]]), "Yes", "")</f>
        <v/>
      </c>
      <c r="R1403" s="1" t="str">
        <f>IF( OR( Table4[[#This Row],[PrimaryMatch]]="Yes", Table4[[#This Row],[SecondaryMatch]]="Yes"), "Yes", "")</f>
        <v/>
      </c>
    </row>
    <row r="1404" spans="1:18" hidden="1" x14ac:dyDescent="0.25">
      <c r="A1404" t="s">
        <v>599</v>
      </c>
      <c r="B1404" t="s">
        <v>3205</v>
      </c>
      <c r="C1404" t="s">
        <v>3222</v>
      </c>
      <c r="D1404" t="s">
        <v>3609</v>
      </c>
      <c r="E1404" s="1">
        <v>4.4660000000000002</v>
      </c>
      <c r="F1404" s="1">
        <v>4.6349999999999998</v>
      </c>
      <c r="K1404" s="39">
        <f>DefaultValues!$B$4</f>
        <v>5</v>
      </c>
      <c r="L1404" s="1">
        <f>DefaultValues!$C$4</f>
        <v>0.5</v>
      </c>
      <c r="M1404" s="1" t="str">
        <f>DefaultValues!$D$4</f>
        <v xml:space="preserve">- Within interchange - </v>
      </c>
      <c r="N1404" s="1">
        <v>4.4660000000000002</v>
      </c>
      <c r="O1404" s="1">
        <f>ABS(Table4[[#This Row],[EndMP]]-Table4[[#This Row],[StartMP]])</f>
        <v>0.16899999999999959</v>
      </c>
      <c r="P1404" s="1" t="str">
        <f>IF( AND( Table4[[#This Row],[Route]]=ClosureLocation!$B$3, ClosureLocation!$B$6 &gt;= Table4[[#This Row],[StartMP]], ClosureLocation!$B$6 &lt;= Table4[[#This Row],[EndMP]]), "Yes", "")</f>
        <v/>
      </c>
      <c r="Q1404" s="1" t="str">
        <f>IF( AND( Table4[[#This Row],[Route]]=ClosureLocation!$B$3, ClosureLocation!$B$6 &lt;= Table4[[#This Row],[StartMP]], ClosureLocation!$B$6 &gt;= Table4[[#This Row],[EndMP]]), "Yes", "")</f>
        <v/>
      </c>
      <c r="R1404" s="1" t="str">
        <f>IF( OR( Table4[[#This Row],[PrimaryMatch]]="Yes", Table4[[#This Row],[SecondaryMatch]]="Yes"), "Yes", "")</f>
        <v/>
      </c>
    </row>
    <row r="1405" spans="1:18" hidden="1" x14ac:dyDescent="0.25">
      <c r="A1405" t="s">
        <v>599</v>
      </c>
      <c r="B1405" t="s">
        <v>3209</v>
      </c>
      <c r="C1405" t="s">
        <v>3226</v>
      </c>
      <c r="D1405" t="s">
        <v>3610</v>
      </c>
      <c r="E1405" s="1">
        <v>4.6349999999999998</v>
      </c>
      <c r="F1405" s="1">
        <v>4.4660000000000002</v>
      </c>
      <c r="K1405" s="39">
        <f>DefaultValues!$B$4</f>
        <v>5</v>
      </c>
      <c r="L1405" s="1">
        <f>DefaultValues!$C$4</f>
        <v>0.5</v>
      </c>
      <c r="M1405" s="1" t="str">
        <f>DefaultValues!$D$4</f>
        <v xml:space="preserve">- Within interchange - </v>
      </c>
      <c r="N1405" s="1">
        <v>995.36499000000003</v>
      </c>
      <c r="O1405" s="1">
        <f>ABS(Table4[[#This Row],[EndMP]]-Table4[[#This Row],[StartMP]])</f>
        <v>0.16899999999999959</v>
      </c>
      <c r="P1405" s="1" t="str">
        <f>IF( AND( Table4[[#This Row],[Route]]=ClosureLocation!$B$3, ClosureLocation!$B$6 &gt;= Table4[[#This Row],[StartMP]], ClosureLocation!$B$6 &lt;= Table4[[#This Row],[EndMP]]), "Yes", "")</f>
        <v/>
      </c>
      <c r="Q1405" s="1" t="str">
        <f>IF( AND( Table4[[#This Row],[Route]]=ClosureLocation!$B$3, ClosureLocation!$B$6 &lt;= Table4[[#This Row],[StartMP]], ClosureLocation!$B$6 &gt;= Table4[[#This Row],[EndMP]]), "Yes", "")</f>
        <v/>
      </c>
      <c r="R1405" s="1" t="str">
        <f>IF( OR( Table4[[#This Row],[PrimaryMatch]]="Yes", Table4[[#This Row],[SecondaryMatch]]="Yes"), "Yes", "")</f>
        <v/>
      </c>
    </row>
    <row r="1406" spans="1:18" hidden="1" x14ac:dyDescent="0.25">
      <c r="A1406" t="s">
        <v>599</v>
      </c>
      <c r="B1406" t="s">
        <v>3209</v>
      </c>
      <c r="C1406" t="s">
        <v>3226</v>
      </c>
      <c r="D1406" t="s">
        <v>3610</v>
      </c>
      <c r="E1406" s="1">
        <v>2.665</v>
      </c>
      <c r="F1406" s="1">
        <v>2.2160000000000002</v>
      </c>
      <c r="K1406" s="39">
        <f>DefaultValues!$B$4</f>
        <v>5</v>
      </c>
      <c r="L1406" s="1">
        <f>DefaultValues!$C$4</f>
        <v>0.5</v>
      </c>
      <c r="M1406" s="1" t="str">
        <f>DefaultValues!$D$4</f>
        <v xml:space="preserve">- Within interchange - </v>
      </c>
      <c r="N1406" s="1">
        <v>997.33502199999998</v>
      </c>
      <c r="O1406" s="1">
        <f>ABS(Table4[[#This Row],[EndMP]]-Table4[[#This Row],[StartMP]])</f>
        <v>0.44899999999999984</v>
      </c>
      <c r="P1406" s="1" t="str">
        <f>IF( AND( Table4[[#This Row],[Route]]=ClosureLocation!$B$3, ClosureLocation!$B$6 &gt;= Table4[[#This Row],[StartMP]], ClosureLocation!$B$6 &lt;= Table4[[#This Row],[EndMP]]), "Yes", "")</f>
        <v/>
      </c>
      <c r="Q1406" s="1" t="str">
        <f>IF( AND( Table4[[#This Row],[Route]]=ClosureLocation!$B$3, ClosureLocation!$B$6 &lt;= Table4[[#This Row],[StartMP]], ClosureLocation!$B$6 &gt;= Table4[[#This Row],[EndMP]]), "Yes", "")</f>
        <v/>
      </c>
      <c r="R1406" s="1" t="str">
        <f>IF( OR( Table4[[#This Row],[PrimaryMatch]]="Yes", Table4[[#This Row],[SecondaryMatch]]="Yes"), "Yes", "")</f>
        <v/>
      </c>
    </row>
    <row r="1407" spans="1:18" hidden="1" x14ac:dyDescent="0.25">
      <c r="A1407" t="s">
        <v>599</v>
      </c>
      <c r="B1407" t="s">
        <v>3209</v>
      </c>
      <c r="C1407" t="s">
        <v>3226</v>
      </c>
      <c r="D1407" t="s">
        <v>3610</v>
      </c>
      <c r="E1407" s="1">
        <v>1.677</v>
      </c>
      <c r="F1407" s="1">
        <v>1.4</v>
      </c>
      <c r="K1407" s="39">
        <f>DefaultValues!$B$4</f>
        <v>5</v>
      </c>
      <c r="L1407" s="1">
        <f>DefaultValues!$C$4</f>
        <v>0.5</v>
      </c>
      <c r="M1407" s="1" t="str">
        <f>DefaultValues!$D$4</f>
        <v xml:space="preserve">- Within interchange - </v>
      </c>
      <c r="N1407" s="1">
        <v>998.32299799999998</v>
      </c>
      <c r="O1407" s="1">
        <f>ABS(Table4[[#This Row],[EndMP]]-Table4[[#This Row],[StartMP]])</f>
        <v>0.27700000000000014</v>
      </c>
      <c r="P1407" s="1" t="str">
        <f>IF( AND( Table4[[#This Row],[Route]]=ClosureLocation!$B$3, ClosureLocation!$B$6 &gt;= Table4[[#This Row],[StartMP]], ClosureLocation!$B$6 &lt;= Table4[[#This Row],[EndMP]]), "Yes", "")</f>
        <v/>
      </c>
      <c r="Q1407" s="1" t="str">
        <f>IF( AND( Table4[[#This Row],[Route]]=ClosureLocation!$B$3, ClosureLocation!$B$6 &lt;= Table4[[#This Row],[StartMP]], ClosureLocation!$B$6 &gt;= Table4[[#This Row],[EndMP]]), "Yes", "")</f>
        <v/>
      </c>
      <c r="R1407" s="1" t="str">
        <f>IF( OR( Table4[[#This Row],[PrimaryMatch]]="Yes", Table4[[#This Row],[SecondaryMatch]]="Yes"), "Yes", "")</f>
        <v/>
      </c>
    </row>
    <row r="1408" spans="1:18" hidden="1" x14ac:dyDescent="0.25">
      <c r="A1408" t="s">
        <v>599</v>
      </c>
      <c r="B1408" t="s">
        <v>3209</v>
      </c>
      <c r="C1408" t="s">
        <v>3226</v>
      </c>
      <c r="D1408" t="s">
        <v>3610</v>
      </c>
      <c r="E1408" s="1">
        <v>0.97599999999999998</v>
      </c>
      <c r="F1408" s="1">
        <v>0.6</v>
      </c>
      <c r="K1408" s="39">
        <f>DefaultValues!$B$4</f>
        <v>5</v>
      </c>
      <c r="L1408" s="1">
        <f>DefaultValues!$C$4</f>
        <v>0.5</v>
      </c>
      <c r="M1408" s="1" t="str">
        <f>DefaultValues!$D$4</f>
        <v xml:space="preserve">- Within interchange - </v>
      </c>
      <c r="N1408" s="1">
        <v>999.02398700000003</v>
      </c>
      <c r="O1408" s="1">
        <f>ABS(Table4[[#This Row],[EndMP]]-Table4[[#This Row],[StartMP]])</f>
        <v>0.376</v>
      </c>
      <c r="P1408" s="1" t="str">
        <f>IF( AND( Table4[[#This Row],[Route]]=ClosureLocation!$B$3, ClosureLocation!$B$6 &gt;= Table4[[#This Row],[StartMP]], ClosureLocation!$B$6 &lt;= Table4[[#This Row],[EndMP]]), "Yes", "")</f>
        <v/>
      </c>
      <c r="Q1408" s="1" t="str">
        <f>IF( AND( Table4[[#This Row],[Route]]=ClosureLocation!$B$3, ClosureLocation!$B$6 &lt;= Table4[[#This Row],[StartMP]], ClosureLocation!$B$6 &gt;= Table4[[#This Row],[EndMP]]), "Yes", "")</f>
        <v/>
      </c>
      <c r="R1408" s="1" t="str">
        <f>IF( OR( Table4[[#This Row],[PrimaryMatch]]="Yes", Table4[[#This Row],[SecondaryMatch]]="Yes"), "Yes", "")</f>
        <v/>
      </c>
    </row>
    <row r="1409" spans="1:18" hidden="1" x14ac:dyDescent="0.25">
      <c r="A1409" t="s">
        <v>599</v>
      </c>
      <c r="B1409" t="s">
        <v>3209</v>
      </c>
      <c r="C1409" t="s">
        <v>3226</v>
      </c>
      <c r="D1409" t="s">
        <v>3610</v>
      </c>
      <c r="E1409" s="1">
        <v>8.4000000000000005E-2</v>
      </c>
      <c r="F1409" s="1">
        <v>0</v>
      </c>
      <c r="K1409" s="39">
        <f>DefaultValues!$B$4</f>
        <v>5</v>
      </c>
      <c r="L1409" s="1">
        <f>DefaultValues!$C$4</f>
        <v>0.5</v>
      </c>
      <c r="M1409" s="1" t="str">
        <f>DefaultValues!$D$4</f>
        <v xml:space="preserve">- Within interchange - </v>
      </c>
      <c r="N1409" s="1">
        <v>999.91601600000001</v>
      </c>
      <c r="O1409" s="1">
        <f>ABS(Table4[[#This Row],[EndMP]]-Table4[[#This Row],[StartMP]])</f>
        <v>8.4000000000000005E-2</v>
      </c>
      <c r="P1409" s="1" t="str">
        <f>IF( AND( Table4[[#This Row],[Route]]=ClosureLocation!$B$3, ClosureLocation!$B$6 &gt;= Table4[[#This Row],[StartMP]], ClosureLocation!$B$6 &lt;= Table4[[#This Row],[EndMP]]), "Yes", "")</f>
        <v/>
      </c>
      <c r="Q1409" s="1" t="str">
        <f>IF( AND( Table4[[#This Row],[Route]]=ClosureLocation!$B$3, ClosureLocation!$B$6 &lt;= Table4[[#This Row],[StartMP]], ClosureLocation!$B$6 &gt;= Table4[[#This Row],[EndMP]]), "Yes", "")</f>
        <v/>
      </c>
      <c r="R1409" s="1" t="str">
        <f>IF( OR( Table4[[#This Row],[PrimaryMatch]]="Yes", Table4[[#This Row],[SecondaryMatch]]="Yes"), "Yes", "")</f>
        <v/>
      </c>
    </row>
    <row r="1410" spans="1:18" hidden="1" x14ac:dyDescent="0.25">
      <c r="A1410" t="s">
        <v>602</v>
      </c>
      <c r="B1410" t="s">
        <v>3205</v>
      </c>
      <c r="C1410" t="s">
        <v>3222</v>
      </c>
      <c r="D1410" t="s">
        <v>3612</v>
      </c>
      <c r="E1410" s="1">
        <v>32.158000999999999</v>
      </c>
      <c r="F1410" s="1">
        <v>32.398997999999999</v>
      </c>
      <c r="K1410" s="39">
        <f>DefaultValues!$B$4</f>
        <v>5</v>
      </c>
      <c r="L1410" s="1">
        <f>DefaultValues!$C$4</f>
        <v>0.5</v>
      </c>
      <c r="M1410" s="1" t="str">
        <f>DefaultValues!$D$4</f>
        <v xml:space="preserve">- Within interchange - </v>
      </c>
      <c r="N1410" s="1">
        <v>32.158000999999999</v>
      </c>
      <c r="O1410" s="1">
        <f>ABS(Table4[[#This Row],[EndMP]]-Table4[[#This Row],[StartMP]])</f>
        <v>0.24099700000000013</v>
      </c>
      <c r="P1410" s="1" t="str">
        <f>IF( AND( Table4[[#This Row],[Route]]=ClosureLocation!$B$3, ClosureLocation!$B$6 &gt;= Table4[[#This Row],[StartMP]], ClosureLocation!$B$6 &lt;= Table4[[#This Row],[EndMP]]), "Yes", "")</f>
        <v/>
      </c>
      <c r="Q1410" s="1" t="str">
        <f>IF( AND( Table4[[#This Row],[Route]]=ClosureLocation!$B$3, ClosureLocation!$B$6 &lt;= Table4[[#This Row],[StartMP]], ClosureLocation!$B$6 &gt;= Table4[[#This Row],[EndMP]]), "Yes", "")</f>
        <v/>
      </c>
      <c r="R1410" s="1" t="str">
        <f>IF( OR( Table4[[#This Row],[PrimaryMatch]]="Yes", Table4[[#This Row],[SecondaryMatch]]="Yes"), "Yes", "")</f>
        <v/>
      </c>
    </row>
    <row r="1411" spans="1:18" hidden="1" x14ac:dyDescent="0.25">
      <c r="A1411" t="s">
        <v>602</v>
      </c>
      <c r="B1411" t="s">
        <v>3205</v>
      </c>
      <c r="C1411" t="s">
        <v>3222</v>
      </c>
      <c r="D1411" t="s">
        <v>3612</v>
      </c>
      <c r="E1411" s="1">
        <v>34</v>
      </c>
      <c r="F1411" s="1">
        <v>34.139999000000003</v>
      </c>
      <c r="K1411" s="39">
        <f>DefaultValues!$B$4</f>
        <v>5</v>
      </c>
      <c r="L1411" s="1">
        <f>DefaultValues!$C$4</f>
        <v>0.5</v>
      </c>
      <c r="M1411" s="1" t="str">
        <f>DefaultValues!$D$4</f>
        <v xml:space="preserve">- Within interchange - </v>
      </c>
      <c r="N1411" s="1">
        <v>34</v>
      </c>
      <c r="O1411" s="1">
        <f>ABS(Table4[[#This Row],[EndMP]]-Table4[[#This Row],[StartMP]])</f>
        <v>0.13999900000000309</v>
      </c>
      <c r="P1411" s="1" t="str">
        <f>IF( AND( Table4[[#This Row],[Route]]=ClosureLocation!$B$3, ClosureLocation!$B$6 &gt;= Table4[[#This Row],[StartMP]], ClosureLocation!$B$6 &lt;= Table4[[#This Row],[EndMP]]), "Yes", "")</f>
        <v/>
      </c>
      <c r="Q1411" s="1" t="str">
        <f>IF( AND( Table4[[#This Row],[Route]]=ClosureLocation!$B$3, ClosureLocation!$B$6 &lt;= Table4[[#This Row],[StartMP]], ClosureLocation!$B$6 &gt;= Table4[[#This Row],[EndMP]]), "Yes", "")</f>
        <v/>
      </c>
      <c r="R1411" s="1" t="str">
        <f>IF( OR( Table4[[#This Row],[PrimaryMatch]]="Yes", Table4[[#This Row],[SecondaryMatch]]="Yes"), "Yes", "")</f>
        <v/>
      </c>
    </row>
    <row r="1412" spans="1:18" hidden="1" x14ac:dyDescent="0.25">
      <c r="A1412" t="s">
        <v>602</v>
      </c>
      <c r="B1412" t="s">
        <v>3205</v>
      </c>
      <c r="C1412" t="s">
        <v>3222</v>
      </c>
      <c r="D1412" t="s">
        <v>3612</v>
      </c>
      <c r="E1412" s="1">
        <v>217.229996</v>
      </c>
      <c r="F1412" s="1">
        <v>217.509995</v>
      </c>
      <c r="K1412" s="39">
        <f>DefaultValues!$B$4</f>
        <v>5</v>
      </c>
      <c r="L1412" s="1">
        <f>DefaultValues!$C$4</f>
        <v>0.5</v>
      </c>
      <c r="M1412" s="1" t="str">
        <f>DefaultValues!$D$4</f>
        <v xml:space="preserve">- Within interchange - </v>
      </c>
      <c r="N1412" s="1">
        <v>217.229996</v>
      </c>
      <c r="O1412" s="1">
        <f>ABS(Table4[[#This Row],[EndMP]]-Table4[[#This Row],[StartMP]])</f>
        <v>0.27999900000000366</v>
      </c>
      <c r="P1412" s="1" t="str">
        <f>IF( AND( Table4[[#This Row],[Route]]=ClosureLocation!$B$3, ClosureLocation!$B$6 &gt;= Table4[[#This Row],[StartMP]], ClosureLocation!$B$6 &lt;= Table4[[#This Row],[EndMP]]), "Yes", "")</f>
        <v/>
      </c>
      <c r="Q1412" s="1" t="str">
        <f>IF( AND( Table4[[#This Row],[Route]]=ClosureLocation!$B$3, ClosureLocation!$B$6 &lt;= Table4[[#This Row],[StartMP]], ClosureLocation!$B$6 &gt;= Table4[[#This Row],[EndMP]]), "Yes", "")</f>
        <v/>
      </c>
      <c r="R1412" s="1" t="str">
        <f>IF( OR( Table4[[#This Row],[PrimaryMatch]]="Yes", Table4[[#This Row],[SecondaryMatch]]="Yes"), "Yes", "")</f>
        <v/>
      </c>
    </row>
    <row r="1413" spans="1:18" hidden="1" x14ac:dyDescent="0.25">
      <c r="A1413" t="s">
        <v>602</v>
      </c>
      <c r="B1413" t="s">
        <v>3205</v>
      </c>
      <c r="C1413" t="s">
        <v>3222</v>
      </c>
      <c r="D1413" t="s">
        <v>3612</v>
      </c>
      <c r="E1413" s="1">
        <v>289.59600799999998</v>
      </c>
      <c r="F1413" s="1">
        <v>290.03100599999999</v>
      </c>
      <c r="K1413" s="39">
        <f>DefaultValues!$B$4</f>
        <v>5</v>
      </c>
      <c r="L1413" s="1">
        <f>DefaultValues!$C$4</f>
        <v>0.5</v>
      </c>
      <c r="M1413" s="1" t="str">
        <f>DefaultValues!$D$4</f>
        <v xml:space="preserve">- Within interchange - </v>
      </c>
      <c r="N1413" s="1">
        <v>289.59600799999998</v>
      </c>
      <c r="O1413" s="1">
        <f>ABS(Table4[[#This Row],[EndMP]]-Table4[[#This Row],[StartMP]])</f>
        <v>0.43499800000000732</v>
      </c>
      <c r="P1413" s="1" t="str">
        <f>IF( AND( Table4[[#This Row],[Route]]=ClosureLocation!$B$3, ClosureLocation!$B$6 &gt;= Table4[[#This Row],[StartMP]], ClosureLocation!$B$6 &lt;= Table4[[#This Row],[EndMP]]), "Yes", "")</f>
        <v/>
      </c>
      <c r="Q1413" s="1" t="str">
        <f>IF( AND( Table4[[#This Row],[Route]]=ClosureLocation!$B$3, ClosureLocation!$B$6 &lt;= Table4[[#This Row],[StartMP]], ClosureLocation!$B$6 &gt;= Table4[[#This Row],[EndMP]]), "Yes", "")</f>
        <v/>
      </c>
      <c r="R1413" s="1" t="str">
        <f>IF( OR( Table4[[#This Row],[PrimaryMatch]]="Yes", Table4[[#This Row],[SecondaryMatch]]="Yes"), "Yes", "")</f>
        <v/>
      </c>
    </row>
    <row r="1414" spans="1:18" hidden="1" x14ac:dyDescent="0.25">
      <c r="A1414" t="s">
        <v>602</v>
      </c>
      <c r="B1414" t="s">
        <v>3205</v>
      </c>
      <c r="C1414" t="s">
        <v>3222</v>
      </c>
      <c r="D1414" t="s">
        <v>3612</v>
      </c>
      <c r="E1414" s="1">
        <v>312.06100500000002</v>
      </c>
      <c r="F1414" s="1">
        <v>312.10400399999997</v>
      </c>
      <c r="K1414" s="39">
        <f>DefaultValues!$B$4</f>
        <v>5</v>
      </c>
      <c r="L1414" s="1">
        <f>DefaultValues!$C$4</f>
        <v>0.5</v>
      </c>
      <c r="M1414" s="1" t="str">
        <f>DefaultValues!$D$4</f>
        <v xml:space="preserve">- Within interchange - </v>
      </c>
      <c r="N1414" s="1">
        <v>312.06100500000002</v>
      </c>
      <c r="O1414" s="1">
        <f>ABS(Table4[[#This Row],[EndMP]]-Table4[[#This Row],[StartMP]])</f>
        <v>4.2998999999952048E-2</v>
      </c>
      <c r="P1414" s="1" t="str">
        <f>IF( AND( Table4[[#This Row],[Route]]=ClosureLocation!$B$3, ClosureLocation!$B$6 &gt;= Table4[[#This Row],[StartMP]], ClosureLocation!$B$6 &lt;= Table4[[#This Row],[EndMP]]), "Yes", "")</f>
        <v/>
      </c>
      <c r="Q1414" s="1" t="str">
        <f>IF( AND( Table4[[#This Row],[Route]]=ClosureLocation!$B$3, ClosureLocation!$B$6 &lt;= Table4[[#This Row],[StartMP]], ClosureLocation!$B$6 &gt;= Table4[[#This Row],[EndMP]]), "Yes", "")</f>
        <v/>
      </c>
      <c r="R1414" s="1" t="str">
        <f>IF( OR( Table4[[#This Row],[PrimaryMatch]]="Yes", Table4[[#This Row],[SecondaryMatch]]="Yes"), "Yes", "")</f>
        <v/>
      </c>
    </row>
    <row r="1415" spans="1:18" hidden="1" x14ac:dyDescent="0.25">
      <c r="A1415" t="s">
        <v>602</v>
      </c>
      <c r="B1415" t="s">
        <v>3205</v>
      </c>
      <c r="C1415" t="s">
        <v>3222</v>
      </c>
      <c r="D1415" t="s">
        <v>3612</v>
      </c>
      <c r="E1415" s="1">
        <v>314.55999800000001</v>
      </c>
      <c r="F1415" s="1">
        <v>314.59799199999998</v>
      </c>
      <c r="K1415" s="39">
        <f>DefaultValues!$B$4</f>
        <v>5</v>
      </c>
      <c r="L1415" s="1">
        <f>DefaultValues!$C$4</f>
        <v>0.5</v>
      </c>
      <c r="M1415" s="1" t="str">
        <f>DefaultValues!$D$4</f>
        <v xml:space="preserve">- Within interchange - </v>
      </c>
      <c r="N1415" s="1">
        <v>314.55999800000001</v>
      </c>
      <c r="O1415" s="1">
        <f>ABS(Table4[[#This Row],[EndMP]]-Table4[[#This Row],[StartMP]])</f>
        <v>3.7993999999969219E-2</v>
      </c>
      <c r="P1415" s="1" t="str">
        <f>IF( AND( Table4[[#This Row],[Route]]=ClosureLocation!$B$3, ClosureLocation!$B$6 &gt;= Table4[[#This Row],[StartMP]], ClosureLocation!$B$6 &lt;= Table4[[#This Row],[EndMP]]), "Yes", "")</f>
        <v/>
      </c>
      <c r="Q1415" s="1" t="str">
        <f>IF( AND( Table4[[#This Row],[Route]]=ClosureLocation!$B$3, ClosureLocation!$B$6 &lt;= Table4[[#This Row],[StartMP]], ClosureLocation!$B$6 &gt;= Table4[[#This Row],[EndMP]]), "Yes", "")</f>
        <v/>
      </c>
      <c r="R1415" s="1" t="str">
        <f>IF( OR( Table4[[#This Row],[PrimaryMatch]]="Yes", Table4[[#This Row],[SecondaryMatch]]="Yes"), "Yes", "")</f>
        <v/>
      </c>
    </row>
    <row r="1416" spans="1:18" hidden="1" x14ac:dyDescent="0.25">
      <c r="A1416" t="s">
        <v>602</v>
      </c>
      <c r="B1416" t="s">
        <v>3209</v>
      </c>
      <c r="C1416" t="s">
        <v>3226</v>
      </c>
      <c r="D1416" t="s">
        <v>3626</v>
      </c>
      <c r="E1416" s="1">
        <v>314.59799199999998</v>
      </c>
      <c r="F1416" s="1">
        <v>314.55999800000001</v>
      </c>
      <c r="K1416" s="39">
        <f>DefaultValues!$B$4</f>
        <v>5</v>
      </c>
      <c r="L1416" s="1">
        <f>DefaultValues!$C$4</f>
        <v>0.5</v>
      </c>
      <c r="M1416" s="1" t="str">
        <f>DefaultValues!$D$4</f>
        <v xml:space="preserve">- Within interchange - </v>
      </c>
      <c r="N1416" s="1">
        <v>685.40197799999999</v>
      </c>
      <c r="O1416" s="1">
        <f>ABS(Table4[[#This Row],[EndMP]]-Table4[[#This Row],[StartMP]])</f>
        <v>3.7993999999969219E-2</v>
      </c>
      <c r="P1416" s="1" t="str">
        <f>IF( AND( Table4[[#This Row],[Route]]=ClosureLocation!$B$3, ClosureLocation!$B$6 &gt;= Table4[[#This Row],[StartMP]], ClosureLocation!$B$6 &lt;= Table4[[#This Row],[EndMP]]), "Yes", "")</f>
        <v/>
      </c>
      <c r="Q1416" s="1" t="str">
        <f>IF( AND( Table4[[#This Row],[Route]]=ClosureLocation!$B$3, ClosureLocation!$B$6 &lt;= Table4[[#This Row],[StartMP]], ClosureLocation!$B$6 &gt;= Table4[[#This Row],[EndMP]]), "Yes", "")</f>
        <v/>
      </c>
      <c r="R1416" s="1" t="str">
        <f>IF( OR( Table4[[#This Row],[PrimaryMatch]]="Yes", Table4[[#This Row],[SecondaryMatch]]="Yes"), "Yes", "")</f>
        <v/>
      </c>
    </row>
    <row r="1417" spans="1:18" hidden="1" x14ac:dyDescent="0.25">
      <c r="A1417" t="s">
        <v>602</v>
      </c>
      <c r="B1417" t="s">
        <v>3209</v>
      </c>
      <c r="C1417" t="s">
        <v>3226</v>
      </c>
      <c r="D1417" t="s">
        <v>3626</v>
      </c>
      <c r="E1417" s="1">
        <v>290.03100599999999</v>
      </c>
      <c r="F1417" s="1">
        <v>289.59600799999998</v>
      </c>
      <c r="K1417" s="39">
        <f>DefaultValues!$B$4</f>
        <v>5</v>
      </c>
      <c r="L1417" s="1">
        <f>DefaultValues!$C$4</f>
        <v>0.5</v>
      </c>
      <c r="M1417" s="1" t="str">
        <f>DefaultValues!$D$4</f>
        <v xml:space="preserve">- Within interchange - </v>
      </c>
      <c r="N1417" s="1">
        <v>709.96899399999995</v>
      </c>
      <c r="O1417" s="1">
        <f>ABS(Table4[[#This Row],[EndMP]]-Table4[[#This Row],[StartMP]])</f>
        <v>0.43499800000000732</v>
      </c>
      <c r="P1417" s="1" t="str">
        <f>IF( AND( Table4[[#This Row],[Route]]=ClosureLocation!$B$3, ClosureLocation!$B$6 &gt;= Table4[[#This Row],[StartMP]], ClosureLocation!$B$6 &lt;= Table4[[#This Row],[EndMP]]), "Yes", "")</f>
        <v/>
      </c>
      <c r="Q1417" s="1" t="str">
        <f>IF( AND( Table4[[#This Row],[Route]]=ClosureLocation!$B$3, ClosureLocation!$B$6 &lt;= Table4[[#This Row],[StartMP]], ClosureLocation!$B$6 &gt;= Table4[[#This Row],[EndMP]]), "Yes", "")</f>
        <v/>
      </c>
      <c r="R1417" s="1" t="str">
        <f>IF( OR( Table4[[#This Row],[PrimaryMatch]]="Yes", Table4[[#This Row],[SecondaryMatch]]="Yes"), "Yes", "")</f>
        <v/>
      </c>
    </row>
    <row r="1418" spans="1:18" hidden="1" x14ac:dyDescent="0.25">
      <c r="A1418" t="s">
        <v>602</v>
      </c>
      <c r="B1418" t="s">
        <v>3209</v>
      </c>
      <c r="C1418" t="s">
        <v>3226</v>
      </c>
      <c r="D1418" t="s">
        <v>3626</v>
      </c>
      <c r="E1418" s="1">
        <v>217.509995</v>
      </c>
      <c r="F1418" s="1">
        <v>217.229996</v>
      </c>
      <c r="K1418" s="39">
        <f>DefaultValues!$B$4</f>
        <v>5</v>
      </c>
      <c r="L1418" s="1">
        <f>DefaultValues!$C$4</f>
        <v>0.5</v>
      </c>
      <c r="M1418" s="1" t="str">
        <f>DefaultValues!$D$4</f>
        <v xml:space="preserve">- Within interchange - </v>
      </c>
      <c r="N1418" s="1">
        <v>782.48999000000003</v>
      </c>
      <c r="O1418" s="1">
        <f>ABS(Table4[[#This Row],[EndMP]]-Table4[[#This Row],[StartMP]])</f>
        <v>0.27999900000000366</v>
      </c>
      <c r="P1418" s="1" t="str">
        <f>IF( AND( Table4[[#This Row],[Route]]=ClosureLocation!$B$3, ClosureLocation!$B$6 &gt;= Table4[[#This Row],[StartMP]], ClosureLocation!$B$6 &lt;= Table4[[#This Row],[EndMP]]), "Yes", "")</f>
        <v/>
      </c>
      <c r="Q1418" s="1" t="str">
        <f>IF( AND( Table4[[#This Row],[Route]]=ClosureLocation!$B$3, ClosureLocation!$B$6 &lt;= Table4[[#This Row],[StartMP]], ClosureLocation!$B$6 &gt;= Table4[[#This Row],[EndMP]]), "Yes", "")</f>
        <v/>
      </c>
      <c r="R1418" s="1" t="str">
        <f>IF( OR( Table4[[#This Row],[PrimaryMatch]]="Yes", Table4[[#This Row],[SecondaryMatch]]="Yes"), "Yes", "")</f>
        <v/>
      </c>
    </row>
    <row r="1419" spans="1:18" hidden="1" x14ac:dyDescent="0.25">
      <c r="A1419" t="s">
        <v>602</v>
      </c>
      <c r="B1419" t="s">
        <v>3209</v>
      </c>
      <c r="C1419" t="s">
        <v>3226</v>
      </c>
      <c r="D1419" t="s">
        <v>3626</v>
      </c>
      <c r="E1419" s="1">
        <v>32.398997999999999</v>
      </c>
      <c r="F1419" s="1">
        <v>32.300998999999997</v>
      </c>
      <c r="K1419" s="39">
        <f>DefaultValues!$B$4</f>
        <v>5</v>
      </c>
      <c r="L1419" s="1">
        <f>DefaultValues!$C$4</f>
        <v>0.5</v>
      </c>
      <c r="M1419" s="1" t="str">
        <f>DefaultValues!$D$4</f>
        <v xml:space="preserve">- Within interchange - </v>
      </c>
      <c r="N1419" s="1">
        <v>967.60101299999997</v>
      </c>
      <c r="O1419" s="1">
        <f>ABS(Table4[[#This Row],[EndMP]]-Table4[[#This Row],[StartMP]])</f>
        <v>9.7999000000001502E-2</v>
      </c>
      <c r="P1419" s="1" t="str">
        <f>IF( AND( Table4[[#This Row],[Route]]=ClosureLocation!$B$3, ClosureLocation!$B$6 &gt;= Table4[[#This Row],[StartMP]], ClosureLocation!$B$6 &lt;= Table4[[#This Row],[EndMP]]), "Yes", "")</f>
        <v/>
      </c>
      <c r="Q1419" s="1" t="str">
        <f>IF( AND( Table4[[#This Row],[Route]]=ClosureLocation!$B$3, ClosureLocation!$B$6 &lt;= Table4[[#This Row],[StartMP]], ClosureLocation!$B$6 &gt;= Table4[[#This Row],[EndMP]]), "Yes", "")</f>
        <v/>
      </c>
      <c r="R1419" s="1" t="str">
        <f>IF( OR( Table4[[#This Row],[PrimaryMatch]]="Yes", Table4[[#This Row],[SecondaryMatch]]="Yes"), "Yes", "")</f>
        <v/>
      </c>
    </row>
    <row r="1420" spans="1:18" hidden="1" x14ac:dyDescent="0.25">
      <c r="A1420" t="s">
        <v>640</v>
      </c>
      <c r="B1420" t="s">
        <v>3205</v>
      </c>
      <c r="C1420" t="s">
        <v>3222</v>
      </c>
      <c r="D1420" t="s">
        <v>3638</v>
      </c>
      <c r="E1420" s="1">
        <v>315.70901500000002</v>
      </c>
      <c r="F1420" s="1">
        <v>316.01800500000002</v>
      </c>
      <c r="K1420" s="39">
        <f>DefaultValues!$B$4</f>
        <v>5</v>
      </c>
      <c r="L1420" s="1">
        <f>DefaultValues!$C$4</f>
        <v>0.5</v>
      </c>
      <c r="M1420" s="1" t="str">
        <f>DefaultValues!$D$4</f>
        <v xml:space="preserve">- Within interchange - </v>
      </c>
      <c r="N1420" s="1">
        <v>315.70901500000002</v>
      </c>
      <c r="O1420" s="1">
        <f>ABS(Table4[[#This Row],[EndMP]]-Table4[[#This Row],[StartMP]])</f>
        <v>0.30898999999999432</v>
      </c>
      <c r="P1420" s="1" t="str">
        <f>IF( AND( Table4[[#This Row],[Route]]=ClosureLocation!$B$3, ClosureLocation!$B$6 &gt;= Table4[[#This Row],[StartMP]], ClosureLocation!$B$6 &lt;= Table4[[#This Row],[EndMP]]), "Yes", "")</f>
        <v/>
      </c>
      <c r="Q1420" s="1" t="str">
        <f>IF( AND( Table4[[#This Row],[Route]]=ClosureLocation!$B$3, ClosureLocation!$B$6 &lt;= Table4[[#This Row],[StartMP]], ClosureLocation!$B$6 &gt;= Table4[[#This Row],[EndMP]]), "Yes", "")</f>
        <v/>
      </c>
      <c r="R1420" s="1" t="str">
        <f>IF( OR( Table4[[#This Row],[PrimaryMatch]]="Yes", Table4[[#This Row],[SecondaryMatch]]="Yes"), "Yes", "")</f>
        <v/>
      </c>
    </row>
    <row r="1421" spans="1:18" hidden="1" x14ac:dyDescent="0.25">
      <c r="A1421" t="s">
        <v>640</v>
      </c>
      <c r="B1421" t="s">
        <v>3205</v>
      </c>
      <c r="C1421" t="s">
        <v>3222</v>
      </c>
      <c r="D1421" t="s">
        <v>3638</v>
      </c>
      <c r="E1421" s="1">
        <v>318.52499399999999</v>
      </c>
      <c r="F1421" s="1">
        <v>319</v>
      </c>
      <c r="K1421" s="39">
        <f>DefaultValues!$B$4</f>
        <v>5</v>
      </c>
      <c r="L1421" s="1">
        <f>DefaultValues!$C$4</f>
        <v>0.5</v>
      </c>
      <c r="M1421" s="1" t="str">
        <f>DefaultValues!$D$4</f>
        <v xml:space="preserve">- Within interchange - </v>
      </c>
      <c r="N1421" s="1">
        <v>318.52499399999999</v>
      </c>
      <c r="O1421" s="1">
        <f>ABS(Table4[[#This Row],[EndMP]]-Table4[[#This Row],[StartMP]])</f>
        <v>0.47500600000000759</v>
      </c>
      <c r="P1421" s="1" t="str">
        <f>IF( AND( Table4[[#This Row],[Route]]=ClosureLocation!$B$3, ClosureLocation!$B$6 &gt;= Table4[[#This Row],[StartMP]], ClosureLocation!$B$6 &lt;= Table4[[#This Row],[EndMP]]), "Yes", "")</f>
        <v/>
      </c>
      <c r="Q1421" s="1" t="str">
        <f>IF( AND( Table4[[#This Row],[Route]]=ClosureLocation!$B$3, ClosureLocation!$B$6 &lt;= Table4[[#This Row],[StartMP]], ClosureLocation!$B$6 &gt;= Table4[[#This Row],[EndMP]]), "Yes", "")</f>
        <v/>
      </c>
      <c r="R1421" s="1" t="str">
        <f>IF( OR( Table4[[#This Row],[PrimaryMatch]]="Yes", Table4[[#This Row],[SecondaryMatch]]="Yes"), "Yes", "")</f>
        <v/>
      </c>
    </row>
    <row r="1422" spans="1:18" hidden="1" x14ac:dyDescent="0.25">
      <c r="A1422" t="s">
        <v>640</v>
      </c>
      <c r="B1422" t="s">
        <v>3205</v>
      </c>
      <c r="C1422" t="s">
        <v>3222</v>
      </c>
      <c r="D1422" t="s">
        <v>3638</v>
      </c>
      <c r="E1422" s="1">
        <v>321.49798600000003</v>
      </c>
      <c r="F1422" s="1">
        <v>321.87600700000002</v>
      </c>
      <c r="K1422" s="39">
        <f>DefaultValues!$B$4</f>
        <v>5</v>
      </c>
      <c r="L1422" s="1">
        <f>DefaultValues!$C$4</f>
        <v>0.5</v>
      </c>
      <c r="M1422" s="1" t="str">
        <f>DefaultValues!$D$4</f>
        <v xml:space="preserve">- Within interchange - </v>
      </c>
      <c r="N1422" s="1">
        <v>321.49798600000003</v>
      </c>
      <c r="O1422" s="1">
        <f>ABS(Table4[[#This Row],[EndMP]]-Table4[[#This Row],[StartMP]])</f>
        <v>0.37802099999998973</v>
      </c>
      <c r="P1422" s="1" t="str">
        <f>IF( AND( Table4[[#This Row],[Route]]=ClosureLocation!$B$3, ClosureLocation!$B$6 &gt;= Table4[[#This Row],[StartMP]], ClosureLocation!$B$6 &lt;= Table4[[#This Row],[EndMP]]), "Yes", "")</f>
        <v/>
      </c>
      <c r="Q1422" s="1" t="str">
        <f>IF( AND( Table4[[#This Row],[Route]]=ClosureLocation!$B$3, ClosureLocation!$B$6 &lt;= Table4[[#This Row],[StartMP]], ClosureLocation!$B$6 &gt;= Table4[[#This Row],[EndMP]]), "Yes", "")</f>
        <v/>
      </c>
      <c r="R1422" s="1" t="str">
        <f>IF( OR( Table4[[#This Row],[PrimaryMatch]]="Yes", Table4[[#This Row],[SecondaryMatch]]="Yes"), "Yes", "")</f>
        <v/>
      </c>
    </row>
    <row r="1423" spans="1:18" hidden="1" x14ac:dyDescent="0.25">
      <c r="A1423" t="s">
        <v>640</v>
      </c>
      <c r="B1423" t="s">
        <v>3205</v>
      </c>
      <c r="C1423" t="s">
        <v>3222</v>
      </c>
      <c r="D1423" t="s">
        <v>3638</v>
      </c>
      <c r="E1423" s="1">
        <v>328.91799900000001</v>
      </c>
      <c r="F1423" s="1">
        <v>329.22000100000002</v>
      </c>
      <c r="K1423" s="39">
        <f>DefaultValues!$B$4</f>
        <v>5</v>
      </c>
      <c r="L1423" s="1">
        <f>DefaultValues!$C$4</f>
        <v>0.5</v>
      </c>
      <c r="M1423" s="1" t="str">
        <f>DefaultValues!$D$4</f>
        <v xml:space="preserve">- Within interchange - </v>
      </c>
      <c r="N1423" s="1">
        <v>328.91799900000001</v>
      </c>
      <c r="O1423" s="1">
        <f>ABS(Table4[[#This Row],[EndMP]]-Table4[[#This Row],[StartMP]])</f>
        <v>0.30200200000001587</v>
      </c>
      <c r="P1423" s="1" t="str">
        <f>IF( AND( Table4[[#This Row],[Route]]=ClosureLocation!$B$3, ClosureLocation!$B$6 &gt;= Table4[[#This Row],[StartMP]], ClosureLocation!$B$6 &lt;= Table4[[#This Row],[EndMP]]), "Yes", "")</f>
        <v/>
      </c>
      <c r="Q1423" s="1" t="str">
        <f>IF( AND( Table4[[#This Row],[Route]]=ClosureLocation!$B$3, ClosureLocation!$B$6 &lt;= Table4[[#This Row],[StartMP]], ClosureLocation!$B$6 &gt;= Table4[[#This Row],[EndMP]]), "Yes", "")</f>
        <v/>
      </c>
      <c r="R1423" s="1" t="str">
        <f>IF( OR( Table4[[#This Row],[PrimaryMatch]]="Yes", Table4[[#This Row],[SecondaryMatch]]="Yes"), "Yes", "")</f>
        <v/>
      </c>
    </row>
    <row r="1424" spans="1:18" hidden="1" x14ac:dyDescent="0.25">
      <c r="A1424" t="s">
        <v>640</v>
      </c>
      <c r="B1424" t="s">
        <v>3205</v>
      </c>
      <c r="C1424" t="s">
        <v>3222</v>
      </c>
      <c r="D1424" t="s">
        <v>3638</v>
      </c>
      <c r="E1424" s="1">
        <v>400.06298800000002</v>
      </c>
      <c r="F1424" s="1">
        <v>400.449005</v>
      </c>
      <c r="K1424" s="39">
        <f>DefaultValues!$B$4</f>
        <v>5</v>
      </c>
      <c r="L1424" s="1">
        <f>DefaultValues!$C$4</f>
        <v>0.5</v>
      </c>
      <c r="M1424" s="1" t="str">
        <f>DefaultValues!$D$4</f>
        <v xml:space="preserve">- Within interchange - </v>
      </c>
      <c r="N1424" s="1">
        <v>400.06298800000002</v>
      </c>
      <c r="O1424" s="1">
        <f>ABS(Table4[[#This Row],[EndMP]]-Table4[[#This Row],[StartMP]])</f>
        <v>0.38601699999998118</v>
      </c>
      <c r="P1424" s="1" t="str">
        <f>IF( AND( Table4[[#This Row],[Route]]=ClosureLocation!$B$3, ClosureLocation!$B$6 &gt;= Table4[[#This Row],[StartMP]], ClosureLocation!$B$6 &lt;= Table4[[#This Row],[EndMP]]), "Yes", "")</f>
        <v/>
      </c>
      <c r="Q1424" s="1" t="str">
        <f>IF( AND( Table4[[#This Row],[Route]]=ClosureLocation!$B$3, ClosureLocation!$B$6 &lt;= Table4[[#This Row],[StartMP]], ClosureLocation!$B$6 &gt;= Table4[[#This Row],[EndMP]]), "Yes", "")</f>
        <v/>
      </c>
      <c r="R1424" s="1" t="str">
        <f>IF( OR( Table4[[#This Row],[PrimaryMatch]]="Yes", Table4[[#This Row],[SecondaryMatch]]="Yes"), "Yes", "")</f>
        <v/>
      </c>
    </row>
    <row r="1425" spans="1:18" hidden="1" x14ac:dyDescent="0.25">
      <c r="A1425" t="s">
        <v>640</v>
      </c>
      <c r="B1425" t="s">
        <v>3205</v>
      </c>
      <c r="C1425" t="s">
        <v>3222</v>
      </c>
      <c r="D1425" t="s">
        <v>3638</v>
      </c>
      <c r="E1425" s="1">
        <v>427.44000199999999</v>
      </c>
      <c r="F1425" s="1">
        <v>428.38699300000002</v>
      </c>
      <c r="K1425" s="39">
        <f>DefaultValues!$B$4</f>
        <v>5</v>
      </c>
      <c r="L1425" s="1">
        <f>DefaultValues!$C$4</f>
        <v>0.5</v>
      </c>
      <c r="M1425" s="1" t="str">
        <f>DefaultValues!$D$4</f>
        <v xml:space="preserve">- Within interchange - </v>
      </c>
      <c r="N1425" s="1">
        <v>427.44000199999999</v>
      </c>
      <c r="O1425" s="1">
        <f>ABS(Table4[[#This Row],[EndMP]]-Table4[[#This Row],[StartMP]])</f>
        <v>0.94699100000002545</v>
      </c>
      <c r="P1425" s="1" t="str">
        <f>IF( AND( Table4[[#This Row],[Route]]=ClosureLocation!$B$3, ClosureLocation!$B$6 &gt;= Table4[[#This Row],[StartMP]], ClosureLocation!$B$6 &lt;= Table4[[#This Row],[EndMP]]), "Yes", "")</f>
        <v/>
      </c>
      <c r="Q1425" s="1" t="str">
        <f>IF( AND( Table4[[#This Row],[Route]]=ClosureLocation!$B$3, ClosureLocation!$B$6 &lt;= Table4[[#This Row],[StartMP]], ClosureLocation!$B$6 &gt;= Table4[[#This Row],[EndMP]]), "Yes", "")</f>
        <v/>
      </c>
      <c r="R1425" s="1" t="str">
        <f>IF( OR( Table4[[#This Row],[PrimaryMatch]]="Yes", Table4[[#This Row],[SecondaryMatch]]="Yes"), "Yes", "")</f>
        <v/>
      </c>
    </row>
    <row r="1426" spans="1:18" hidden="1" x14ac:dyDescent="0.25">
      <c r="A1426" t="s">
        <v>640</v>
      </c>
      <c r="B1426" t="s">
        <v>3205</v>
      </c>
      <c r="C1426" t="s">
        <v>3222</v>
      </c>
      <c r="D1426" t="s">
        <v>3638</v>
      </c>
      <c r="E1426" s="1">
        <v>432.92300399999999</v>
      </c>
      <c r="F1426" s="1">
        <v>433</v>
      </c>
      <c r="K1426" s="39">
        <f>DefaultValues!$B$4</f>
        <v>5</v>
      </c>
      <c r="L1426" s="1">
        <f>DefaultValues!$C$4</f>
        <v>0.5</v>
      </c>
      <c r="M1426" s="1" t="str">
        <f>DefaultValues!$D$4</f>
        <v xml:space="preserve">- Within interchange - </v>
      </c>
      <c r="N1426" s="1">
        <v>432.92300399999999</v>
      </c>
      <c r="O1426" s="1">
        <f>ABS(Table4[[#This Row],[EndMP]]-Table4[[#This Row],[StartMP]])</f>
        <v>7.699600000000828E-2</v>
      </c>
      <c r="P1426" s="1" t="str">
        <f>IF( AND( Table4[[#This Row],[Route]]=ClosureLocation!$B$3, ClosureLocation!$B$6 &gt;= Table4[[#This Row],[StartMP]], ClosureLocation!$B$6 &lt;= Table4[[#This Row],[EndMP]]), "Yes", "")</f>
        <v/>
      </c>
      <c r="Q1426" s="1" t="str">
        <f>IF( AND( Table4[[#This Row],[Route]]=ClosureLocation!$B$3, ClosureLocation!$B$6 &lt;= Table4[[#This Row],[StartMP]], ClosureLocation!$B$6 &gt;= Table4[[#This Row],[EndMP]]), "Yes", "")</f>
        <v/>
      </c>
      <c r="R1426" s="1" t="str">
        <f>IF( OR( Table4[[#This Row],[PrimaryMatch]]="Yes", Table4[[#This Row],[SecondaryMatch]]="Yes"), "Yes", "")</f>
        <v/>
      </c>
    </row>
    <row r="1427" spans="1:18" hidden="1" x14ac:dyDescent="0.25">
      <c r="A1427" t="s">
        <v>640</v>
      </c>
      <c r="B1427" t="s">
        <v>3205</v>
      </c>
      <c r="C1427" t="s">
        <v>3222</v>
      </c>
      <c r="D1427" t="s">
        <v>3638</v>
      </c>
      <c r="E1427" s="1">
        <v>433.49899299999998</v>
      </c>
      <c r="F1427" s="1">
        <v>433.614014</v>
      </c>
      <c r="K1427" s="39">
        <f>DefaultValues!$B$4</f>
        <v>5</v>
      </c>
      <c r="L1427" s="1">
        <f>DefaultValues!$C$4</f>
        <v>0.5</v>
      </c>
      <c r="M1427" s="1" t="str">
        <f>DefaultValues!$D$4</f>
        <v xml:space="preserve">- Within interchange - </v>
      </c>
      <c r="N1427" s="1">
        <v>433.49899299999998</v>
      </c>
      <c r="O1427" s="1">
        <f>ABS(Table4[[#This Row],[EndMP]]-Table4[[#This Row],[StartMP]])</f>
        <v>0.11502100000001292</v>
      </c>
      <c r="P1427" s="1" t="str">
        <f>IF( AND( Table4[[#This Row],[Route]]=ClosureLocation!$B$3, ClosureLocation!$B$6 &gt;= Table4[[#This Row],[StartMP]], ClosureLocation!$B$6 &lt;= Table4[[#This Row],[EndMP]]), "Yes", "")</f>
        <v/>
      </c>
      <c r="Q1427" s="1" t="str">
        <f>IF( AND( Table4[[#This Row],[Route]]=ClosureLocation!$B$3, ClosureLocation!$B$6 &lt;= Table4[[#This Row],[StartMP]], ClosureLocation!$B$6 &gt;= Table4[[#This Row],[EndMP]]), "Yes", "")</f>
        <v/>
      </c>
      <c r="R1427" s="1" t="str">
        <f>IF( OR( Table4[[#This Row],[PrimaryMatch]]="Yes", Table4[[#This Row],[SecondaryMatch]]="Yes"), "Yes", "")</f>
        <v/>
      </c>
    </row>
    <row r="1428" spans="1:18" hidden="1" x14ac:dyDescent="0.25">
      <c r="A1428" t="s">
        <v>640</v>
      </c>
      <c r="B1428" t="s">
        <v>3209</v>
      </c>
      <c r="C1428" t="s">
        <v>3226</v>
      </c>
      <c r="D1428" t="s">
        <v>3640</v>
      </c>
      <c r="E1428" s="1">
        <v>433.614014</v>
      </c>
      <c r="F1428" s="1">
        <v>433.49899299999998</v>
      </c>
      <c r="K1428" s="39">
        <f>DefaultValues!$B$4</f>
        <v>5</v>
      </c>
      <c r="L1428" s="1">
        <f>DefaultValues!$C$4</f>
        <v>0.5</v>
      </c>
      <c r="M1428" s="1" t="str">
        <f>DefaultValues!$D$4</f>
        <v xml:space="preserve">- Within interchange - </v>
      </c>
      <c r="N1428" s="1">
        <v>566.385986</v>
      </c>
      <c r="O1428" s="1">
        <f>ABS(Table4[[#This Row],[EndMP]]-Table4[[#This Row],[StartMP]])</f>
        <v>0.11502100000001292</v>
      </c>
      <c r="P1428" s="1" t="str">
        <f>IF( AND( Table4[[#This Row],[Route]]=ClosureLocation!$B$3, ClosureLocation!$B$6 &gt;= Table4[[#This Row],[StartMP]], ClosureLocation!$B$6 &lt;= Table4[[#This Row],[EndMP]]), "Yes", "")</f>
        <v/>
      </c>
      <c r="Q1428" s="1" t="str">
        <f>IF( AND( Table4[[#This Row],[Route]]=ClosureLocation!$B$3, ClosureLocation!$B$6 &lt;= Table4[[#This Row],[StartMP]], ClosureLocation!$B$6 &gt;= Table4[[#This Row],[EndMP]]), "Yes", "")</f>
        <v/>
      </c>
      <c r="R1428" s="1" t="str">
        <f>IF( OR( Table4[[#This Row],[PrimaryMatch]]="Yes", Table4[[#This Row],[SecondaryMatch]]="Yes"), "Yes", "")</f>
        <v/>
      </c>
    </row>
    <row r="1429" spans="1:18" hidden="1" x14ac:dyDescent="0.25">
      <c r="A1429" t="s">
        <v>640</v>
      </c>
      <c r="B1429" t="s">
        <v>3209</v>
      </c>
      <c r="C1429" t="s">
        <v>3226</v>
      </c>
      <c r="D1429" t="s">
        <v>3640</v>
      </c>
      <c r="E1429" s="1">
        <v>433</v>
      </c>
      <c r="F1429" s="1">
        <v>432.92300399999999</v>
      </c>
      <c r="K1429" s="39">
        <f>DefaultValues!$B$4</f>
        <v>5</v>
      </c>
      <c r="L1429" s="1">
        <f>DefaultValues!$C$4</f>
        <v>0.5</v>
      </c>
      <c r="M1429" s="1" t="str">
        <f>DefaultValues!$D$4</f>
        <v xml:space="preserve">- Within interchange - </v>
      </c>
      <c r="N1429" s="1">
        <v>567</v>
      </c>
      <c r="O1429" s="1">
        <f>ABS(Table4[[#This Row],[EndMP]]-Table4[[#This Row],[StartMP]])</f>
        <v>7.699600000000828E-2</v>
      </c>
      <c r="P1429" s="1" t="str">
        <f>IF( AND( Table4[[#This Row],[Route]]=ClosureLocation!$B$3, ClosureLocation!$B$6 &gt;= Table4[[#This Row],[StartMP]], ClosureLocation!$B$6 &lt;= Table4[[#This Row],[EndMP]]), "Yes", "")</f>
        <v/>
      </c>
      <c r="Q1429" s="1" t="str">
        <f>IF( AND( Table4[[#This Row],[Route]]=ClosureLocation!$B$3, ClosureLocation!$B$6 &lt;= Table4[[#This Row],[StartMP]], ClosureLocation!$B$6 &gt;= Table4[[#This Row],[EndMP]]), "Yes", "")</f>
        <v/>
      </c>
      <c r="R1429" s="1" t="str">
        <f>IF( OR( Table4[[#This Row],[PrimaryMatch]]="Yes", Table4[[#This Row],[SecondaryMatch]]="Yes"), "Yes", "")</f>
        <v/>
      </c>
    </row>
    <row r="1430" spans="1:18" hidden="1" x14ac:dyDescent="0.25">
      <c r="A1430" t="s">
        <v>640</v>
      </c>
      <c r="B1430" t="s">
        <v>3209</v>
      </c>
      <c r="C1430" t="s">
        <v>3226</v>
      </c>
      <c r="D1430" t="s">
        <v>3640</v>
      </c>
      <c r="E1430" s="1">
        <v>428.38699300000002</v>
      </c>
      <c r="F1430" s="1">
        <v>427.44000199999999</v>
      </c>
      <c r="K1430" s="39">
        <f>DefaultValues!$B$4</f>
        <v>5</v>
      </c>
      <c r="L1430" s="1">
        <f>DefaultValues!$C$4</f>
        <v>0.5</v>
      </c>
      <c r="M1430" s="1" t="str">
        <f>DefaultValues!$D$4</f>
        <v xml:space="preserve">- Within interchange - </v>
      </c>
      <c r="N1430" s="1">
        <v>571.612976</v>
      </c>
      <c r="O1430" s="1">
        <f>ABS(Table4[[#This Row],[EndMP]]-Table4[[#This Row],[StartMP]])</f>
        <v>0.94699100000002545</v>
      </c>
      <c r="P1430" s="1" t="str">
        <f>IF( AND( Table4[[#This Row],[Route]]=ClosureLocation!$B$3, ClosureLocation!$B$6 &gt;= Table4[[#This Row],[StartMP]], ClosureLocation!$B$6 &lt;= Table4[[#This Row],[EndMP]]), "Yes", "")</f>
        <v/>
      </c>
      <c r="Q1430" s="1" t="str">
        <f>IF( AND( Table4[[#This Row],[Route]]=ClosureLocation!$B$3, ClosureLocation!$B$6 &lt;= Table4[[#This Row],[StartMP]], ClosureLocation!$B$6 &gt;= Table4[[#This Row],[EndMP]]), "Yes", "")</f>
        <v/>
      </c>
      <c r="R1430" s="1" t="str">
        <f>IF( OR( Table4[[#This Row],[PrimaryMatch]]="Yes", Table4[[#This Row],[SecondaryMatch]]="Yes"), "Yes", "")</f>
        <v/>
      </c>
    </row>
    <row r="1431" spans="1:18" hidden="1" x14ac:dyDescent="0.25">
      <c r="A1431" t="s">
        <v>640</v>
      </c>
      <c r="B1431" t="s">
        <v>3209</v>
      </c>
      <c r="C1431" t="s">
        <v>3226</v>
      </c>
      <c r="D1431" t="s">
        <v>3640</v>
      </c>
      <c r="E1431" s="1">
        <v>400.449005</v>
      </c>
      <c r="F1431" s="1">
        <v>400.06298800000002</v>
      </c>
      <c r="K1431" s="39">
        <f>DefaultValues!$B$4</f>
        <v>5</v>
      </c>
      <c r="L1431" s="1">
        <f>DefaultValues!$C$4</f>
        <v>0.5</v>
      </c>
      <c r="M1431" s="1" t="str">
        <f>DefaultValues!$D$4</f>
        <v xml:space="preserve">- Within interchange - </v>
      </c>
      <c r="N1431" s="1">
        <v>599.55102499999998</v>
      </c>
      <c r="O1431" s="1">
        <f>ABS(Table4[[#This Row],[EndMP]]-Table4[[#This Row],[StartMP]])</f>
        <v>0.38601699999998118</v>
      </c>
      <c r="P1431" s="1" t="str">
        <f>IF( AND( Table4[[#This Row],[Route]]=ClosureLocation!$B$3, ClosureLocation!$B$6 &gt;= Table4[[#This Row],[StartMP]], ClosureLocation!$B$6 &lt;= Table4[[#This Row],[EndMP]]), "Yes", "")</f>
        <v/>
      </c>
      <c r="Q1431" s="1" t="str">
        <f>IF( AND( Table4[[#This Row],[Route]]=ClosureLocation!$B$3, ClosureLocation!$B$6 &lt;= Table4[[#This Row],[StartMP]], ClosureLocation!$B$6 &gt;= Table4[[#This Row],[EndMP]]), "Yes", "")</f>
        <v/>
      </c>
      <c r="R1431" s="1" t="str">
        <f>IF( OR( Table4[[#This Row],[PrimaryMatch]]="Yes", Table4[[#This Row],[SecondaryMatch]]="Yes"), "Yes", "")</f>
        <v/>
      </c>
    </row>
    <row r="1432" spans="1:18" hidden="1" x14ac:dyDescent="0.25">
      <c r="A1432" t="s">
        <v>640</v>
      </c>
      <c r="B1432" t="s">
        <v>3209</v>
      </c>
      <c r="C1432" t="s">
        <v>3226</v>
      </c>
      <c r="D1432" t="s">
        <v>3640</v>
      </c>
      <c r="E1432" s="1">
        <v>329.22000100000002</v>
      </c>
      <c r="F1432" s="1">
        <v>328.91799900000001</v>
      </c>
      <c r="K1432" s="39">
        <f>DefaultValues!$B$4</f>
        <v>5</v>
      </c>
      <c r="L1432" s="1">
        <f>DefaultValues!$C$4</f>
        <v>0.5</v>
      </c>
      <c r="M1432" s="1" t="str">
        <f>DefaultValues!$D$4</f>
        <v xml:space="preserve">- Within interchange - </v>
      </c>
      <c r="N1432" s="1">
        <v>670.78002900000001</v>
      </c>
      <c r="O1432" s="1">
        <f>ABS(Table4[[#This Row],[EndMP]]-Table4[[#This Row],[StartMP]])</f>
        <v>0.30200200000001587</v>
      </c>
      <c r="P1432" s="1" t="str">
        <f>IF( AND( Table4[[#This Row],[Route]]=ClosureLocation!$B$3, ClosureLocation!$B$6 &gt;= Table4[[#This Row],[StartMP]], ClosureLocation!$B$6 &lt;= Table4[[#This Row],[EndMP]]), "Yes", "")</f>
        <v/>
      </c>
      <c r="Q1432" s="1" t="str">
        <f>IF( AND( Table4[[#This Row],[Route]]=ClosureLocation!$B$3, ClosureLocation!$B$6 &lt;= Table4[[#This Row],[StartMP]], ClosureLocation!$B$6 &gt;= Table4[[#This Row],[EndMP]]), "Yes", "")</f>
        <v/>
      </c>
      <c r="R1432" s="1" t="str">
        <f>IF( OR( Table4[[#This Row],[PrimaryMatch]]="Yes", Table4[[#This Row],[SecondaryMatch]]="Yes"), "Yes", "")</f>
        <v/>
      </c>
    </row>
    <row r="1433" spans="1:18" hidden="1" x14ac:dyDescent="0.25">
      <c r="A1433" t="s">
        <v>640</v>
      </c>
      <c r="B1433" t="s">
        <v>3209</v>
      </c>
      <c r="C1433" t="s">
        <v>3226</v>
      </c>
      <c r="D1433" t="s">
        <v>3640</v>
      </c>
      <c r="E1433" s="1">
        <v>321.87600700000002</v>
      </c>
      <c r="F1433" s="1">
        <v>321.49798600000003</v>
      </c>
      <c r="K1433" s="39">
        <f>DefaultValues!$B$4</f>
        <v>5</v>
      </c>
      <c r="L1433" s="1">
        <f>DefaultValues!$C$4</f>
        <v>0.5</v>
      </c>
      <c r="M1433" s="1" t="str">
        <f>DefaultValues!$D$4</f>
        <v xml:space="preserve">- Within interchange - </v>
      </c>
      <c r="N1433" s="1">
        <v>678.12402299999997</v>
      </c>
      <c r="O1433" s="1">
        <f>ABS(Table4[[#This Row],[EndMP]]-Table4[[#This Row],[StartMP]])</f>
        <v>0.37802099999998973</v>
      </c>
      <c r="P1433" s="1" t="str">
        <f>IF( AND( Table4[[#This Row],[Route]]=ClosureLocation!$B$3, ClosureLocation!$B$6 &gt;= Table4[[#This Row],[StartMP]], ClosureLocation!$B$6 &lt;= Table4[[#This Row],[EndMP]]), "Yes", "")</f>
        <v/>
      </c>
      <c r="Q1433" s="1" t="str">
        <f>IF( AND( Table4[[#This Row],[Route]]=ClosureLocation!$B$3, ClosureLocation!$B$6 &lt;= Table4[[#This Row],[StartMP]], ClosureLocation!$B$6 &gt;= Table4[[#This Row],[EndMP]]), "Yes", "")</f>
        <v/>
      </c>
      <c r="R1433" s="1" t="str">
        <f>IF( OR( Table4[[#This Row],[PrimaryMatch]]="Yes", Table4[[#This Row],[SecondaryMatch]]="Yes"), "Yes", "")</f>
        <v/>
      </c>
    </row>
    <row r="1434" spans="1:18" hidden="1" x14ac:dyDescent="0.25">
      <c r="A1434" t="s">
        <v>640</v>
      </c>
      <c r="B1434" t="s">
        <v>3209</v>
      </c>
      <c r="C1434" t="s">
        <v>3226</v>
      </c>
      <c r="D1434" t="s">
        <v>3640</v>
      </c>
      <c r="E1434" s="1">
        <v>319</v>
      </c>
      <c r="F1434" s="1">
        <v>318.52499399999999</v>
      </c>
      <c r="K1434" s="39">
        <f>DefaultValues!$B$4</f>
        <v>5</v>
      </c>
      <c r="L1434" s="1">
        <f>DefaultValues!$C$4</f>
        <v>0.5</v>
      </c>
      <c r="M1434" s="1" t="str">
        <f>DefaultValues!$D$4</f>
        <v xml:space="preserve">- Within interchange - </v>
      </c>
      <c r="N1434" s="1">
        <v>681</v>
      </c>
      <c r="O1434" s="1">
        <f>ABS(Table4[[#This Row],[EndMP]]-Table4[[#This Row],[StartMP]])</f>
        <v>0.47500600000000759</v>
      </c>
      <c r="P1434" s="1" t="str">
        <f>IF( AND( Table4[[#This Row],[Route]]=ClosureLocation!$B$3, ClosureLocation!$B$6 &gt;= Table4[[#This Row],[StartMP]], ClosureLocation!$B$6 &lt;= Table4[[#This Row],[EndMP]]), "Yes", "")</f>
        <v/>
      </c>
      <c r="Q1434" s="1" t="str">
        <f>IF( AND( Table4[[#This Row],[Route]]=ClosureLocation!$B$3, ClosureLocation!$B$6 &lt;= Table4[[#This Row],[StartMP]], ClosureLocation!$B$6 &gt;= Table4[[#This Row],[EndMP]]), "Yes", "")</f>
        <v/>
      </c>
      <c r="R1434" s="1" t="str">
        <f>IF( OR( Table4[[#This Row],[PrimaryMatch]]="Yes", Table4[[#This Row],[SecondaryMatch]]="Yes"), "Yes", "")</f>
        <v/>
      </c>
    </row>
    <row r="1435" spans="1:18" hidden="1" x14ac:dyDescent="0.25">
      <c r="A1435" t="s">
        <v>640</v>
      </c>
      <c r="B1435" t="s">
        <v>3209</v>
      </c>
      <c r="C1435" t="s">
        <v>3226</v>
      </c>
      <c r="D1435" t="s">
        <v>3640</v>
      </c>
      <c r="E1435" s="1">
        <v>316.01800500000002</v>
      </c>
      <c r="F1435" s="1">
        <v>315.959991</v>
      </c>
      <c r="K1435" s="39">
        <f>DefaultValues!$B$4</f>
        <v>5</v>
      </c>
      <c r="L1435" s="1">
        <f>DefaultValues!$C$4</f>
        <v>0.5</v>
      </c>
      <c r="M1435" s="1" t="str">
        <f>DefaultValues!$D$4</f>
        <v xml:space="preserve">- Within interchange - </v>
      </c>
      <c r="N1435" s="1">
        <v>683.98199499999998</v>
      </c>
      <c r="O1435" s="1">
        <f>ABS(Table4[[#This Row],[EndMP]]-Table4[[#This Row],[StartMP]])</f>
        <v>5.8014000000014221E-2</v>
      </c>
      <c r="P1435" s="1" t="str">
        <f>IF( AND( Table4[[#This Row],[Route]]=ClosureLocation!$B$3, ClosureLocation!$B$6 &gt;= Table4[[#This Row],[StartMP]], ClosureLocation!$B$6 &lt;= Table4[[#This Row],[EndMP]]), "Yes", "")</f>
        <v/>
      </c>
      <c r="Q1435" s="1" t="str">
        <f>IF( AND( Table4[[#This Row],[Route]]=ClosureLocation!$B$3, ClosureLocation!$B$6 &lt;= Table4[[#This Row],[StartMP]], ClosureLocation!$B$6 &gt;= Table4[[#This Row],[EndMP]]), "Yes", "")</f>
        <v/>
      </c>
      <c r="R1435" s="1" t="str">
        <f>IF( OR( Table4[[#This Row],[PrimaryMatch]]="Yes", Table4[[#This Row],[SecondaryMatch]]="Yes"), "Yes", "")</f>
        <v/>
      </c>
    </row>
    <row r="1436" spans="1:18" hidden="1" x14ac:dyDescent="0.25">
      <c r="A1436" t="s">
        <v>665</v>
      </c>
      <c r="B1436" t="s">
        <v>3205</v>
      </c>
      <c r="C1436" t="s">
        <v>3222</v>
      </c>
      <c r="D1436" t="s">
        <v>3641</v>
      </c>
      <c r="E1436" s="1">
        <v>0.82399999999999995</v>
      </c>
      <c r="F1436" s="1">
        <v>0.871</v>
      </c>
      <c r="K1436" s="39">
        <f>DefaultValues!$B$4</f>
        <v>5</v>
      </c>
      <c r="L1436" s="1">
        <f>DefaultValues!$C$4</f>
        <v>0.5</v>
      </c>
      <c r="M1436" s="1" t="str">
        <f>DefaultValues!$D$4</f>
        <v xml:space="preserve">- Within interchange - </v>
      </c>
      <c r="N1436" s="1">
        <v>0.82399999999999995</v>
      </c>
      <c r="O1436" s="1">
        <f>ABS(Table4[[#This Row],[EndMP]]-Table4[[#This Row],[StartMP]])</f>
        <v>4.7000000000000042E-2</v>
      </c>
      <c r="P1436" s="1" t="str">
        <f>IF( AND( Table4[[#This Row],[Route]]=ClosureLocation!$B$3, ClosureLocation!$B$6 &gt;= Table4[[#This Row],[StartMP]], ClosureLocation!$B$6 &lt;= Table4[[#This Row],[EndMP]]), "Yes", "")</f>
        <v/>
      </c>
      <c r="Q1436" s="1" t="str">
        <f>IF( AND( Table4[[#This Row],[Route]]=ClosureLocation!$B$3, ClosureLocation!$B$6 &lt;= Table4[[#This Row],[StartMP]], ClosureLocation!$B$6 &gt;= Table4[[#This Row],[EndMP]]), "Yes", "")</f>
        <v/>
      </c>
      <c r="R1436" s="1" t="str">
        <f>IF( OR( Table4[[#This Row],[PrimaryMatch]]="Yes", Table4[[#This Row],[SecondaryMatch]]="Yes"), "Yes", "")</f>
        <v/>
      </c>
    </row>
    <row r="1437" spans="1:18" hidden="1" x14ac:dyDescent="0.25">
      <c r="A1437" t="s">
        <v>665</v>
      </c>
      <c r="B1437" t="s">
        <v>3205</v>
      </c>
      <c r="C1437" t="s">
        <v>3222</v>
      </c>
      <c r="D1437" t="s">
        <v>3641</v>
      </c>
      <c r="E1437" s="1">
        <v>2.3210000000000002</v>
      </c>
      <c r="F1437" s="1">
        <v>2.419</v>
      </c>
      <c r="K1437" s="39">
        <f>DefaultValues!$B$4</f>
        <v>5</v>
      </c>
      <c r="L1437" s="1">
        <f>DefaultValues!$C$4</f>
        <v>0.5</v>
      </c>
      <c r="M1437" s="1" t="str">
        <f>DefaultValues!$D$4</f>
        <v xml:space="preserve">- Within interchange - </v>
      </c>
      <c r="N1437" s="1">
        <v>2.3210000000000002</v>
      </c>
      <c r="O1437" s="1">
        <f>ABS(Table4[[#This Row],[EndMP]]-Table4[[#This Row],[StartMP]])</f>
        <v>9.7999999999999865E-2</v>
      </c>
      <c r="P1437" s="1" t="str">
        <f>IF( AND( Table4[[#This Row],[Route]]=ClosureLocation!$B$3, ClosureLocation!$B$6 &gt;= Table4[[#This Row],[StartMP]], ClosureLocation!$B$6 &lt;= Table4[[#This Row],[EndMP]]), "Yes", "")</f>
        <v/>
      </c>
      <c r="Q1437" s="1" t="str">
        <f>IF( AND( Table4[[#This Row],[Route]]=ClosureLocation!$B$3, ClosureLocation!$B$6 &lt;= Table4[[#This Row],[StartMP]], ClosureLocation!$B$6 &gt;= Table4[[#This Row],[EndMP]]), "Yes", "")</f>
        <v/>
      </c>
      <c r="R1437" s="1" t="str">
        <f>IF( OR( Table4[[#This Row],[PrimaryMatch]]="Yes", Table4[[#This Row],[SecondaryMatch]]="Yes"), "Yes", "")</f>
        <v/>
      </c>
    </row>
    <row r="1438" spans="1:18" hidden="1" x14ac:dyDescent="0.25">
      <c r="A1438" t="s">
        <v>665</v>
      </c>
      <c r="B1438" t="s">
        <v>3209</v>
      </c>
      <c r="C1438" t="s">
        <v>3226</v>
      </c>
      <c r="D1438" t="s">
        <v>3645</v>
      </c>
      <c r="E1438" s="1">
        <v>2.419</v>
      </c>
      <c r="F1438" s="1">
        <v>2.3210000000000002</v>
      </c>
      <c r="K1438" s="39">
        <f>DefaultValues!$B$4</f>
        <v>5</v>
      </c>
      <c r="L1438" s="1">
        <f>DefaultValues!$C$4</f>
        <v>0.5</v>
      </c>
      <c r="M1438" s="1" t="str">
        <f>DefaultValues!$D$4</f>
        <v xml:space="preserve">- Within interchange - </v>
      </c>
      <c r="N1438" s="1">
        <v>997.58099400000003</v>
      </c>
      <c r="O1438" s="1">
        <f>ABS(Table4[[#This Row],[EndMP]]-Table4[[#This Row],[StartMP]])</f>
        <v>9.7999999999999865E-2</v>
      </c>
      <c r="P1438" s="1" t="str">
        <f>IF( AND( Table4[[#This Row],[Route]]=ClosureLocation!$B$3, ClosureLocation!$B$6 &gt;= Table4[[#This Row],[StartMP]], ClosureLocation!$B$6 &lt;= Table4[[#This Row],[EndMP]]), "Yes", "")</f>
        <v/>
      </c>
      <c r="Q1438" s="1" t="str">
        <f>IF( AND( Table4[[#This Row],[Route]]=ClosureLocation!$B$3, ClosureLocation!$B$6 &lt;= Table4[[#This Row],[StartMP]], ClosureLocation!$B$6 &gt;= Table4[[#This Row],[EndMP]]), "Yes", "")</f>
        <v/>
      </c>
      <c r="R1438" s="1" t="str">
        <f>IF( OR( Table4[[#This Row],[PrimaryMatch]]="Yes", Table4[[#This Row],[SecondaryMatch]]="Yes"), "Yes", "")</f>
        <v/>
      </c>
    </row>
    <row r="1439" spans="1:18" hidden="1" x14ac:dyDescent="0.25">
      <c r="A1439" t="s">
        <v>665</v>
      </c>
      <c r="B1439" t="s">
        <v>3209</v>
      </c>
      <c r="C1439" t="s">
        <v>3226</v>
      </c>
      <c r="D1439" t="s">
        <v>3645</v>
      </c>
      <c r="E1439" s="1">
        <v>0.871</v>
      </c>
      <c r="F1439" s="1">
        <v>0.82399999999999995</v>
      </c>
      <c r="K1439" s="39">
        <f>DefaultValues!$B$4</f>
        <v>5</v>
      </c>
      <c r="L1439" s="1">
        <f>DefaultValues!$C$4</f>
        <v>0.5</v>
      </c>
      <c r="M1439" s="1" t="str">
        <f>DefaultValues!$D$4</f>
        <v xml:space="preserve">- Within interchange - </v>
      </c>
      <c r="N1439" s="1">
        <v>999.12902799999995</v>
      </c>
      <c r="O1439" s="1">
        <f>ABS(Table4[[#This Row],[EndMP]]-Table4[[#This Row],[StartMP]])</f>
        <v>4.7000000000000042E-2</v>
      </c>
      <c r="P1439" s="1" t="str">
        <f>IF( AND( Table4[[#This Row],[Route]]=ClosureLocation!$B$3, ClosureLocation!$B$6 &gt;= Table4[[#This Row],[StartMP]], ClosureLocation!$B$6 &lt;= Table4[[#This Row],[EndMP]]), "Yes", "")</f>
        <v/>
      </c>
      <c r="Q1439" s="1" t="str">
        <f>IF( AND( Table4[[#This Row],[Route]]=ClosureLocation!$B$3, ClosureLocation!$B$6 &lt;= Table4[[#This Row],[StartMP]], ClosureLocation!$B$6 &gt;= Table4[[#This Row],[EndMP]]), "Yes", "")</f>
        <v/>
      </c>
      <c r="R1439" s="1" t="str">
        <f>IF( OR( Table4[[#This Row],[PrimaryMatch]]="Yes", Table4[[#This Row],[SecondaryMatch]]="Yes"), "Yes", "")</f>
        <v/>
      </c>
    </row>
    <row r="1440" spans="1:18" hidden="1" x14ac:dyDescent="0.25">
      <c r="A1440" t="s">
        <v>684</v>
      </c>
      <c r="B1440" t="s">
        <v>3205</v>
      </c>
      <c r="C1440" t="s">
        <v>3222</v>
      </c>
      <c r="D1440" t="s">
        <v>3649</v>
      </c>
      <c r="E1440" s="1">
        <v>10.95</v>
      </c>
      <c r="F1440" s="1">
        <v>11.446</v>
      </c>
      <c r="K1440" s="39">
        <f>DefaultValues!$B$4</f>
        <v>5</v>
      </c>
      <c r="L1440" s="1">
        <f>DefaultValues!$C$4</f>
        <v>0.5</v>
      </c>
      <c r="M1440" s="1" t="str">
        <f>DefaultValues!$D$4</f>
        <v xml:space="preserve">- Within interchange - </v>
      </c>
      <c r="N1440" s="1">
        <v>10.95</v>
      </c>
      <c r="O1440" s="1">
        <f>ABS(Table4[[#This Row],[EndMP]]-Table4[[#This Row],[StartMP]])</f>
        <v>0.49600000000000044</v>
      </c>
      <c r="P1440" s="1" t="str">
        <f>IF( AND( Table4[[#This Row],[Route]]=ClosureLocation!$B$3, ClosureLocation!$B$6 &gt;= Table4[[#This Row],[StartMP]], ClosureLocation!$B$6 &lt;= Table4[[#This Row],[EndMP]]), "Yes", "")</f>
        <v/>
      </c>
      <c r="Q1440" s="1" t="str">
        <f>IF( AND( Table4[[#This Row],[Route]]=ClosureLocation!$B$3, ClosureLocation!$B$6 &lt;= Table4[[#This Row],[StartMP]], ClosureLocation!$B$6 &gt;= Table4[[#This Row],[EndMP]]), "Yes", "")</f>
        <v/>
      </c>
      <c r="R1440" s="1" t="str">
        <f>IF( OR( Table4[[#This Row],[PrimaryMatch]]="Yes", Table4[[#This Row],[SecondaryMatch]]="Yes"), "Yes", "")</f>
        <v/>
      </c>
    </row>
    <row r="1441" spans="1:18" hidden="1" x14ac:dyDescent="0.25">
      <c r="A1441" t="s">
        <v>684</v>
      </c>
      <c r="B1441" t="s">
        <v>3205</v>
      </c>
      <c r="C1441" t="s">
        <v>3222</v>
      </c>
      <c r="D1441" t="s">
        <v>3649</v>
      </c>
      <c r="E1441" s="1">
        <v>19.923999999999999</v>
      </c>
      <c r="F1441" s="1">
        <v>19.986999999999998</v>
      </c>
      <c r="K1441" s="39">
        <f>DefaultValues!$B$4</f>
        <v>5</v>
      </c>
      <c r="L1441" s="1">
        <f>DefaultValues!$C$4</f>
        <v>0.5</v>
      </c>
      <c r="M1441" s="1" t="str">
        <f>DefaultValues!$D$4</f>
        <v xml:space="preserve">- Within interchange - </v>
      </c>
      <c r="N1441" s="1">
        <v>19.923999999999999</v>
      </c>
      <c r="O1441" s="1">
        <f>ABS(Table4[[#This Row],[EndMP]]-Table4[[#This Row],[StartMP]])</f>
        <v>6.2999999999998835E-2</v>
      </c>
      <c r="P1441" s="1" t="str">
        <f>IF( AND( Table4[[#This Row],[Route]]=ClosureLocation!$B$3, ClosureLocation!$B$6 &gt;= Table4[[#This Row],[StartMP]], ClosureLocation!$B$6 &lt;= Table4[[#This Row],[EndMP]]), "Yes", "")</f>
        <v/>
      </c>
      <c r="Q1441" s="1" t="str">
        <f>IF( AND( Table4[[#This Row],[Route]]=ClosureLocation!$B$3, ClosureLocation!$B$6 &lt;= Table4[[#This Row],[StartMP]], ClosureLocation!$B$6 &gt;= Table4[[#This Row],[EndMP]]), "Yes", "")</f>
        <v/>
      </c>
      <c r="R1441" s="1" t="str">
        <f>IF( OR( Table4[[#This Row],[PrimaryMatch]]="Yes", Table4[[#This Row],[SecondaryMatch]]="Yes"), "Yes", "")</f>
        <v/>
      </c>
    </row>
    <row r="1442" spans="1:18" hidden="1" x14ac:dyDescent="0.25">
      <c r="A1442" t="s">
        <v>684</v>
      </c>
      <c r="B1442" t="s">
        <v>3205</v>
      </c>
      <c r="C1442" t="s">
        <v>3222</v>
      </c>
      <c r="D1442" t="s">
        <v>3649</v>
      </c>
      <c r="E1442" s="1">
        <v>29.23</v>
      </c>
      <c r="F1442" s="1">
        <v>29.322001</v>
      </c>
      <c r="K1442" s="39">
        <f>DefaultValues!$B$4</f>
        <v>5</v>
      </c>
      <c r="L1442" s="1">
        <f>DefaultValues!$C$4</f>
        <v>0.5</v>
      </c>
      <c r="M1442" s="1" t="str">
        <f>DefaultValues!$D$4</f>
        <v xml:space="preserve">- Within interchange - </v>
      </c>
      <c r="N1442" s="1">
        <v>29.23</v>
      </c>
      <c r="O1442" s="1">
        <f>ABS(Table4[[#This Row],[EndMP]]-Table4[[#This Row],[StartMP]])</f>
        <v>9.2000999999999777E-2</v>
      </c>
      <c r="P1442" s="1" t="str">
        <f>IF( AND( Table4[[#This Row],[Route]]=ClosureLocation!$B$3, ClosureLocation!$B$6 &gt;= Table4[[#This Row],[StartMP]], ClosureLocation!$B$6 &lt;= Table4[[#This Row],[EndMP]]), "Yes", "")</f>
        <v/>
      </c>
      <c r="Q1442" s="1" t="str">
        <f>IF( AND( Table4[[#This Row],[Route]]=ClosureLocation!$B$3, ClosureLocation!$B$6 &lt;= Table4[[#This Row],[StartMP]], ClosureLocation!$B$6 &gt;= Table4[[#This Row],[EndMP]]), "Yes", "")</f>
        <v/>
      </c>
      <c r="R1442" s="1" t="str">
        <f>IF( OR( Table4[[#This Row],[PrimaryMatch]]="Yes", Table4[[#This Row],[SecondaryMatch]]="Yes"), "Yes", "")</f>
        <v/>
      </c>
    </row>
    <row r="1443" spans="1:18" hidden="1" x14ac:dyDescent="0.25">
      <c r="A1443" t="s">
        <v>684</v>
      </c>
      <c r="B1443" t="s">
        <v>3209</v>
      </c>
      <c r="C1443" t="s">
        <v>3226</v>
      </c>
      <c r="D1443" t="s">
        <v>3655</v>
      </c>
      <c r="E1443" s="1">
        <v>29.322001</v>
      </c>
      <c r="F1443" s="1">
        <v>29.23</v>
      </c>
      <c r="K1443" s="39">
        <f>DefaultValues!$B$4</f>
        <v>5</v>
      </c>
      <c r="L1443" s="1">
        <f>DefaultValues!$C$4</f>
        <v>0.5</v>
      </c>
      <c r="M1443" s="1" t="str">
        <f>DefaultValues!$D$4</f>
        <v xml:space="preserve">- Within interchange - </v>
      </c>
      <c r="N1443" s="1">
        <v>970.67797900000005</v>
      </c>
      <c r="O1443" s="1">
        <f>ABS(Table4[[#This Row],[EndMP]]-Table4[[#This Row],[StartMP]])</f>
        <v>9.2000999999999777E-2</v>
      </c>
      <c r="P1443" s="1" t="str">
        <f>IF( AND( Table4[[#This Row],[Route]]=ClosureLocation!$B$3, ClosureLocation!$B$6 &gt;= Table4[[#This Row],[StartMP]], ClosureLocation!$B$6 &lt;= Table4[[#This Row],[EndMP]]), "Yes", "")</f>
        <v/>
      </c>
      <c r="Q1443" s="1" t="str">
        <f>IF( AND( Table4[[#This Row],[Route]]=ClosureLocation!$B$3, ClosureLocation!$B$6 &lt;= Table4[[#This Row],[StartMP]], ClosureLocation!$B$6 &gt;= Table4[[#This Row],[EndMP]]), "Yes", "")</f>
        <v/>
      </c>
      <c r="R1443" s="1" t="str">
        <f>IF( OR( Table4[[#This Row],[PrimaryMatch]]="Yes", Table4[[#This Row],[SecondaryMatch]]="Yes"), "Yes", "")</f>
        <v/>
      </c>
    </row>
    <row r="1444" spans="1:18" hidden="1" x14ac:dyDescent="0.25">
      <c r="A1444" t="s">
        <v>684</v>
      </c>
      <c r="B1444" t="s">
        <v>3209</v>
      </c>
      <c r="C1444" t="s">
        <v>3226</v>
      </c>
      <c r="D1444" t="s">
        <v>3655</v>
      </c>
      <c r="E1444" s="1">
        <v>19.986999999999998</v>
      </c>
      <c r="F1444" s="1">
        <v>19.923999999999999</v>
      </c>
      <c r="K1444" s="39">
        <f>DefaultValues!$B$4</f>
        <v>5</v>
      </c>
      <c r="L1444" s="1">
        <f>DefaultValues!$C$4</f>
        <v>0.5</v>
      </c>
      <c r="M1444" s="1" t="str">
        <f>DefaultValues!$D$4</f>
        <v xml:space="preserve">- Within interchange - </v>
      </c>
      <c r="N1444" s="1">
        <v>980.01300000000003</v>
      </c>
      <c r="O1444" s="1">
        <f>ABS(Table4[[#This Row],[EndMP]]-Table4[[#This Row],[StartMP]])</f>
        <v>6.2999999999998835E-2</v>
      </c>
      <c r="P1444" s="1" t="str">
        <f>IF( AND( Table4[[#This Row],[Route]]=ClosureLocation!$B$3, ClosureLocation!$B$6 &gt;= Table4[[#This Row],[StartMP]], ClosureLocation!$B$6 &lt;= Table4[[#This Row],[EndMP]]), "Yes", "")</f>
        <v/>
      </c>
      <c r="Q1444" s="1" t="str">
        <f>IF( AND( Table4[[#This Row],[Route]]=ClosureLocation!$B$3, ClosureLocation!$B$6 &lt;= Table4[[#This Row],[StartMP]], ClosureLocation!$B$6 &gt;= Table4[[#This Row],[EndMP]]), "Yes", "")</f>
        <v/>
      </c>
      <c r="R1444" s="1" t="str">
        <f>IF( OR( Table4[[#This Row],[PrimaryMatch]]="Yes", Table4[[#This Row],[SecondaryMatch]]="Yes"), "Yes", "")</f>
        <v/>
      </c>
    </row>
    <row r="1445" spans="1:18" hidden="1" x14ac:dyDescent="0.25">
      <c r="A1445" t="s">
        <v>684</v>
      </c>
      <c r="B1445" t="s">
        <v>3209</v>
      </c>
      <c r="C1445" t="s">
        <v>3226</v>
      </c>
      <c r="D1445" t="s">
        <v>3655</v>
      </c>
      <c r="E1445" s="1">
        <v>11.446</v>
      </c>
      <c r="F1445" s="1">
        <v>10.95</v>
      </c>
      <c r="K1445" s="39">
        <f>DefaultValues!$B$4</f>
        <v>5</v>
      </c>
      <c r="L1445" s="1">
        <f>DefaultValues!$C$4</f>
        <v>0.5</v>
      </c>
      <c r="M1445" s="1" t="str">
        <f>DefaultValues!$D$4</f>
        <v xml:space="preserve">- Within interchange - </v>
      </c>
      <c r="N1445" s="1">
        <v>988.55401600000005</v>
      </c>
      <c r="O1445" s="1">
        <f>ABS(Table4[[#This Row],[EndMP]]-Table4[[#This Row],[StartMP]])</f>
        <v>0.49600000000000044</v>
      </c>
      <c r="P1445" s="1" t="str">
        <f>IF( AND( Table4[[#This Row],[Route]]=ClosureLocation!$B$3, ClosureLocation!$B$6 &gt;= Table4[[#This Row],[StartMP]], ClosureLocation!$B$6 &lt;= Table4[[#This Row],[EndMP]]), "Yes", "")</f>
        <v/>
      </c>
      <c r="Q1445" s="1" t="str">
        <f>IF( AND( Table4[[#This Row],[Route]]=ClosureLocation!$B$3, ClosureLocation!$B$6 &lt;= Table4[[#This Row],[StartMP]], ClosureLocation!$B$6 &gt;= Table4[[#This Row],[EndMP]]), "Yes", "")</f>
        <v/>
      </c>
      <c r="R1445" s="1" t="str">
        <f>IF( OR( Table4[[#This Row],[PrimaryMatch]]="Yes", Table4[[#This Row],[SecondaryMatch]]="Yes"), "Yes", "")</f>
        <v/>
      </c>
    </row>
    <row r="1446" spans="1:18" hidden="1" x14ac:dyDescent="0.25">
      <c r="A1446" t="s">
        <v>693</v>
      </c>
      <c r="B1446" t="s">
        <v>3205</v>
      </c>
      <c r="C1446" t="s">
        <v>3206</v>
      </c>
      <c r="D1446" t="s">
        <v>3661</v>
      </c>
      <c r="E1446" s="1">
        <v>87.115996999999993</v>
      </c>
      <c r="F1446" s="1">
        <v>87.221001000000001</v>
      </c>
      <c r="K1446" s="39">
        <f>DefaultValues!$B$4</f>
        <v>5</v>
      </c>
      <c r="L1446" s="1">
        <f>DefaultValues!$C$4</f>
        <v>0.5</v>
      </c>
      <c r="M1446" s="1" t="str">
        <f>DefaultValues!$D$4</f>
        <v xml:space="preserve">- Within interchange - </v>
      </c>
      <c r="N1446" s="1">
        <v>87.115996999999993</v>
      </c>
      <c r="O1446" s="1">
        <f>ABS(Table4[[#This Row],[EndMP]]-Table4[[#This Row],[StartMP]])</f>
        <v>0.10500400000000809</v>
      </c>
      <c r="P1446" s="1" t="str">
        <f>IF( AND( Table4[[#This Row],[Route]]=ClosureLocation!$B$3, ClosureLocation!$B$6 &gt;= Table4[[#This Row],[StartMP]], ClosureLocation!$B$6 &lt;= Table4[[#This Row],[EndMP]]), "Yes", "")</f>
        <v/>
      </c>
      <c r="Q1446" s="1" t="str">
        <f>IF( AND( Table4[[#This Row],[Route]]=ClosureLocation!$B$3, ClosureLocation!$B$6 &lt;= Table4[[#This Row],[StartMP]], ClosureLocation!$B$6 &gt;= Table4[[#This Row],[EndMP]]), "Yes", "")</f>
        <v/>
      </c>
      <c r="R1446" s="1" t="str">
        <f>IF( OR( Table4[[#This Row],[PrimaryMatch]]="Yes", Table4[[#This Row],[SecondaryMatch]]="Yes"), "Yes", "")</f>
        <v/>
      </c>
    </row>
    <row r="1447" spans="1:18" hidden="1" x14ac:dyDescent="0.25">
      <c r="A1447" t="s">
        <v>693</v>
      </c>
      <c r="B1447" t="s">
        <v>3209</v>
      </c>
      <c r="C1447" t="s">
        <v>3210</v>
      </c>
      <c r="D1447" t="s">
        <v>3665</v>
      </c>
      <c r="E1447" s="1">
        <v>87.221001000000001</v>
      </c>
      <c r="F1447" s="1">
        <v>87.115996999999993</v>
      </c>
      <c r="K1447" s="39">
        <f>DefaultValues!$B$4</f>
        <v>5</v>
      </c>
      <c r="L1447" s="1">
        <f>DefaultValues!$C$4</f>
        <v>0.5</v>
      </c>
      <c r="M1447" s="1" t="str">
        <f>DefaultValues!$D$4</f>
        <v xml:space="preserve">- Within interchange - </v>
      </c>
      <c r="N1447" s="1">
        <v>912.77899200000002</v>
      </c>
      <c r="O1447" s="1">
        <f>ABS(Table4[[#This Row],[EndMP]]-Table4[[#This Row],[StartMP]])</f>
        <v>0.10500400000000809</v>
      </c>
      <c r="P1447" s="1" t="str">
        <f>IF( AND( Table4[[#This Row],[Route]]=ClosureLocation!$B$3, ClosureLocation!$B$6 &gt;= Table4[[#This Row],[StartMP]], ClosureLocation!$B$6 &lt;= Table4[[#This Row],[EndMP]]), "Yes", "")</f>
        <v/>
      </c>
      <c r="Q1447" s="1" t="str">
        <f>IF( AND( Table4[[#This Row],[Route]]=ClosureLocation!$B$3, ClosureLocation!$B$6 &lt;= Table4[[#This Row],[StartMP]], ClosureLocation!$B$6 &gt;= Table4[[#This Row],[EndMP]]), "Yes", "")</f>
        <v/>
      </c>
      <c r="R1447" s="1" t="str">
        <f>IF( OR( Table4[[#This Row],[PrimaryMatch]]="Yes", Table4[[#This Row],[SecondaryMatch]]="Yes"), "Yes", "")</f>
        <v/>
      </c>
    </row>
    <row r="1448" spans="1:18" hidden="1" x14ac:dyDescent="0.25">
      <c r="A1448" t="s">
        <v>697</v>
      </c>
      <c r="B1448" t="s">
        <v>3205</v>
      </c>
      <c r="C1448" t="s">
        <v>3206</v>
      </c>
      <c r="D1448" t="s">
        <v>4658</v>
      </c>
      <c r="E1448" s="1">
        <v>0</v>
      </c>
      <c r="F1448" s="1">
        <v>0.23799999999999999</v>
      </c>
      <c r="K1448" s="39">
        <f>DefaultValues!$B$4</f>
        <v>5</v>
      </c>
      <c r="L1448" s="1">
        <f>DefaultValues!$C$4</f>
        <v>0.5</v>
      </c>
      <c r="M1448" s="1" t="str">
        <f>DefaultValues!$D$4</f>
        <v xml:space="preserve">- Within interchange - </v>
      </c>
      <c r="N1448" s="1">
        <v>0</v>
      </c>
      <c r="O1448" s="1">
        <f>ABS(Table4[[#This Row],[EndMP]]-Table4[[#This Row],[StartMP]])</f>
        <v>0.23799999999999999</v>
      </c>
      <c r="P1448" s="1" t="str">
        <f>IF( AND( Table4[[#This Row],[Route]]=ClosureLocation!$B$3, ClosureLocation!$B$6 &gt;= Table4[[#This Row],[StartMP]], ClosureLocation!$B$6 &lt;= Table4[[#This Row],[EndMP]]), "Yes", "")</f>
        <v/>
      </c>
      <c r="Q1448" s="1" t="str">
        <f>IF( AND( Table4[[#This Row],[Route]]=ClosureLocation!$B$3, ClosureLocation!$B$6 &lt;= Table4[[#This Row],[StartMP]], ClosureLocation!$B$6 &gt;= Table4[[#This Row],[EndMP]]), "Yes", "")</f>
        <v/>
      </c>
      <c r="R1448" s="1" t="str">
        <f>IF( OR( Table4[[#This Row],[PrimaryMatch]]="Yes", Table4[[#This Row],[SecondaryMatch]]="Yes"), "Yes", "")</f>
        <v/>
      </c>
    </row>
    <row r="1449" spans="1:18" hidden="1" x14ac:dyDescent="0.25">
      <c r="A1449" t="s">
        <v>697</v>
      </c>
      <c r="B1449" t="s">
        <v>3209</v>
      </c>
      <c r="C1449" t="s">
        <v>3210</v>
      </c>
      <c r="D1449" t="s">
        <v>4659</v>
      </c>
      <c r="E1449" s="1">
        <v>0.23799999999999999</v>
      </c>
      <c r="F1449" s="1">
        <v>0</v>
      </c>
      <c r="K1449" s="39">
        <f>DefaultValues!$B$4</f>
        <v>5</v>
      </c>
      <c r="L1449" s="1">
        <f>DefaultValues!$C$4</f>
        <v>0.5</v>
      </c>
      <c r="M1449" s="1" t="str">
        <f>DefaultValues!$D$4</f>
        <v xml:space="preserve">- Within interchange - </v>
      </c>
      <c r="N1449" s="1">
        <v>999.762024</v>
      </c>
      <c r="O1449" s="1">
        <f>ABS(Table4[[#This Row],[EndMP]]-Table4[[#This Row],[StartMP]])</f>
        <v>0.23799999999999999</v>
      </c>
      <c r="P1449" s="1" t="str">
        <f>IF( AND( Table4[[#This Row],[Route]]=ClosureLocation!$B$3, ClosureLocation!$B$6 &gt;= Table4[[#This Row],[StartMP]], ClosureLocation!$B$6 &lt;= Table4[[#This Row],[EndMP]]), "Yes", "")</f>
        <v/>
      </c>
      <c r="Q1449" s="1" t="str">
        <f>IF( AND( Table4[[#This Row],[Route]]=ClosureLocation!$B$3, ClosureLocation!$B$6 &lt;= Table4[[#This Row],[StartMP]], ClosureLocation!$B$6 &gt;= Table4[[#This Row],[EndMP]]), "Yes", "")</f>
        <v/>
      </c>
      <c r="R1449" s="1" t="str">
        <f>IF( OR( Table4[[#This Row],[PrimaryMatch]]="Yes", Table4[[#This Row],[SecondaryMatch]]="Yes"), "Yes", "")</f>
        <v/>
      </c>
    </row>
    <row r="1450" spans="1:18" hidden="1" x14ac:dyDescent="0.25">
      <c r="A1450" t="s">
        <v>700</v>
      </c>
      <c r="B1450" t="s">
        <v>3205</v>
      </c>
      <c r="C1450" t="s">
        <v>3210</v>
      </c>
      <c r="D1450" t="s">
        <v>3671</v>
      </c>
      <c r="E1450" s="1">
        <v>2.3370000000000002</v>
      </c>
      <c r="F1450" s="1">
        <v>2.4729999999999999</v>
      </c>
      <c r="K1450" s="39">
        <f>DefaultValues!$B$4</f>
        <v>5</v>
      </c>
      <c r="L1450" s="1">
        <f>DefaultValues!$C$4</f>
        <v>0.5</v>
      </c>
      <c r="M1450" s="1" t="str">
        <f>DefaultValues!$D$4</f>
        <v xml:space="preserve">- Within interchange - </v>
      </c>
      <c r="N1450" s="1">
        <v>2.3370000000000002</v>
      </c>
      <c r="O1450" s="1">
        <f>ABS(Table4[[#This Row],[EndMP]]-Table4[[#This Row],[StartMP]])</f>
        <v>0.13599999999999968</v>
      </c>
      <c r="P1450" s="1" t="str">
        <f>IF( AND( Table4[[#This Row],[Route]]=ClosureLocation!$B$3, ClosureLocation!$B$6 &gt;= Table4[[#This Row],[StartMP]], ClosureLocation!$B$6 &lt;= Table4[[#This Row],[EndMP]]), "Yes", "")</f>
        <v/>
      </c>
      <c r="Q1450" s="1" t="str">
        <f>IF( AND( Table4[[#This Row],[Route]]=ClosureLocation!$B$3, ClosureLocation!$B$6 &lt;= Table4[[#This Row],[StartMP]], ClosureLocation!$B$6 &gt;= Table4[[#This Row],[EndMP]]), "Yes", "")</f>
        <v/>
      </c>
      <c r="R1450" s="1" t="str">
        <f>IF( OR( Table4[[#This Row],[PrimaryMatch]]="Yes", Table4[[#This Row],[SecondaryMatch]]="Yes"), "Yes", "")</f>
        <v/>
      </c>
    </row>
    <row r="1451" spans="1:18" hidden="1" x14ac:dyDescent="0.25">
      <c r="A1451" t="s">
        <v>700</v>
      </c>
      <c r="B1451" t="s">
        <v>3209</v>
      </c>
      <c r="C1451" t="s">
        <v>3206</v>
      </c>
      <c r="D1451" t="s">
        <v>3669</v>
      </c>
      <c r="E1451" s="1">
        <v>2.4729999999999999</v>
      </c>
      <c r="F1451" s="1">
        <v>2.3370000000000002</v>
      </c>
      <c r="K1451" s="39">
        <f>DefaultValues!$B$4</f>
        <v>5</v>
      </c>
      <c r="L1451" s="1">
        <f>DefaultValues!$C$4</f>
        <v>0.5</v>
      </c>
      <c r="M1451" s="1" t="str">
        <f>DefaultValues!$D$4</f>
        <v xml:space="preserve">- Within interchange - </v>
      </c>
      <c r="N1451" s="1">
        <v>997.52697799999999</v>
      </c>
      <c r="O1451" s="1">
        <f>ABS(Table4[[#This Row],[EndMP]]-Table4[[#This Row],[StartMP]])</f>
        <v>0.13599999999999968</v>
      </c>
      <c r="P1451" s="1" t="str">
        <f>IF( AND( Table4[[#This Row],[Route]]=ClosureLocation!$B$3, ClosureLocation!$B$6 &gt;= Table4[[#This Row],[StartMP]], ClosureLocation!$B$6 &lt;= Table4[[#This Row],[EndMP]]), "Yes", "")</f>
        <v/>
      </c>
      <c r="Q1451" s="1" t="str">
        <f>IF( AND( Table4[[#This Row],[Route]]=ClosureLocation!$B$3, ClosureLocation!$B$6 &lt;= Table4[[#This Row],[StartMP]], ClosureLocation!$B$6 &gt;= Table4[[#This Row],[EndMP]]), "Yes", "")</f>
        <v/>
      </c>
      <c r="R1451" s="1" t="str">
        <f>IF( OR( Table4[[#This Row],[PrimaryMatch]]="Yes", Table4[[#This Row],[SecondaryMatch]]="Yes"), "Yes", "")</f>
        <v/>
      </c>
    </row>
    <row r="1452" spans="1:18" hidden="1" x14ac:dyDescent="0.25">
      <c r="A1452" t="s">
        <v>703</v>
      </c>
      <c r="B1452" t="s">
        <v>3205</v>
      </c>
      <c r="C1452" t="s">
        <v>3222</v>
      </c>
      <c r="D1452" t="s">
        <v>3673</v>
      </c>
      <c r="E1452" s="1">
        <v>9.4019999999999992</v>
      </c>
      <c r="F1452" s="1">
        <v>9.5289999999999999</v>
      </c>
      <c r="K1452" s="39">
        <f>DefaultValues!$B$4</f>
        <v>5</v>
      </c>
      <c r="L1452" s="1">
        <f>DefaultValues!$C$4</f>
        <v>0.5</v>
      </c>
      <c r="M1452" s="1" t="str">
        <f>DefaultValues!$D$4</f>
        <v xml:space="preserve">- Within interchange - </v>
      </c>
      <c r="N1452" s="1">
        <v>9.4019999999999992</v>
      </c>
      <c r="O1452" s="1">
        <f>ABS(Table4[[#This Row],[EndMP]]-Table4[[#This Row],[StartMP]])</f>
        <v>0.12700000000000067</v>
      </c>
      <c r="P1452" s="1" t="str">
        <f>IF( AND( Table4[[#This Row],[Route]]=ClosureLocation!$B$3, ClosureLocation!$B$6 &gt;= Table4[[#This Row],[StartMP]], ClosureLocation!$B$6 &lt;= Table4[[#This Row],[EndMP]]), "Yes", "")</f>
        <v/>
      </c>
      <c r="Q1452" s="1" t="str">
        <f>IF( AND( Table4[[#This Row],[Route]]=ClosureLocation!$B$3, ClosureLocation!$B$6 &lt;= Table4[[#This Row],[StartMP]], ClosureLocation!$B$6 &gt;= Table4[[#This Row],[EndMP]]), "Yes", "")</f>
        <v/>
      </c>
      <c r="R1452" s="1" t="str">
        <f>IF( OR( Table4[[#This Row],[PrimaryMatch]]="Yes", Table4[[#This Row],[SecondaryMatch]]="Yes"), "Yes", "")</f>
        <v/>
      </c>
    </row>
    <row r="1453" spans="1:18" hidden="1" x14ac:dyDescent="0.25">
      <c r="A1453" t="s">
        <v>703</v>
      </c>
      <c r="B1453" t="s">
        <v>3209</v>
      </c>
      <c r="C1453" t="s">
        <v>3226</v>
      </c>
      <c r="D1453" t="s">
        <v>3675</v>
      </c>
      <c r="E1453" s="1">
        <v>9.5289999999999999</v>
      </c>
      <c r="F1453" s="1">
        <v>9.4019999999999992</v>
      </c>
      <c r="K1453" s="39">
        <f>DefaultValues!$B$4</f>
        <v>5</v>
      </c>
      <c r="L1453" s="1">
        <f>DefaultValues!$C$4</f>
        <v>0.5</v>
      </c>
      <c r="M1453" s="1" t="str">
        <f>DefaultValues!$D$4</f>
        <v xml:space="preserve">- Within interchange - </v>
      </c>
      <c r="N1453" s="1">
        <v>990.47100799999998</v>
      </c>
      <c r="O1453" s="1">
        <f>ABS(Table4[[#This Row],[EndMP]]-Table4[[#This Row],[StartMP]])</f>
        <v>0.12700000000000067</v>
      </c>
      <c r="P1453" s="1" t="str">
        <f>IF( AND( Table4[[#This Row],[Route]]=ClosureLocation!$B$3, ClosureLocation!$B$6 &gt;= Table4[[#This Row],[StartMP]], ClosureLocation!$B$6 &lt;= Table4[[#This Row],[EndMP]]), "Yes", "")</f>
        <v/>
      </c>
      <c r="Q1453" s="1" t="str">
        <f>IF( AND( Table4[[#This Row],[Route]]=ClosureLocation!$B$3, ClosureLocation!$B$6 &lt;= Table4[[#This Row],[StartMP]], ClosureLocation!$B$6 &gt;= Table4[[#This Row],[EndMP]]), "Yes", "")</f>
        <v/>
      </c>
      <c r="R1453" s="1" t="str">
        <f>IF( OR( Table4[[#This Row],[PrimaryMatch]]="Yes", Table4[[#This Row],[SecondaryMatch]]="Yes"), "Yes", "")</f>
        <v/>
      </c>
    </row>
    <row r="1454" spans="1:18" hidden="1" x14ac:dyDescent="0.25">
      <c r="A1454" t="s">
        <v>705</v>
      </c>
      <c r="B1454" t="s">
        <v>3205</v>
      </c>
      <c r="C1454" t="s">
        <v>3206</v>
      </c>
      <c r="D1454" t="s">
        <v>3677</v>
      </c>
      <c r="E1454" s="1">
        <v>0</v>
      </c>
      <c r="F1454" s="1">
        <v>0.08</v>
      </c>
      <c r="K1454" s="39">
        <f>DefaultValues!$B$4</f>
        <v>5</v>
      </c>
      <c r="L1454" s="1">
        <f>DefaultValues!$C$4</f>
        <v>0.5</v>
      </c>
      <c r="M1454" s="1" t="str">
        <f>DefaultValues!$D$4</f>
        <v xml:space="preserve">- Within interchange - </v>
      </c>
      <c r="N1454" s="1">
        <v>0</v>
      </c>
      <c r="O1454" s="1">
        <f>ABS(Table4[[#This Row],[EndMP]]-Table4[[#This Row],[StartMP]])</f>
        <v>0.08</v>
      </c>
      <c r="P1454" s="1" t="str">
        <f>IF( AND( Table4[[#This Row],[Route]]=ClosureLocation!$B$3, ClosureLocation!$B$6 &gt;= Table4[[#This Row],[StartMP]], ClosureLocation!$B$6 &lt;= Table4[[#This Row],[EndMP]]), "Yes", "")</f>
        <v/>
      </c>
      <c r="Q1454" s="1" t="str">
        <f>IF( AND( Table4[[#This Row],[Route]]=ClosureLocation!$B$3, ClosureLocation!$B$6 &lt;= Table4[[#This Row],[StartMP]], ClosureLocation!$B$6 &gt;= Table4[[#This Row],[EndMP]]), "Yes", "")</f>
        <v/>
      </c>
      <c r="R1454" s="1" t="str">
        <f>IF( OR( Table4[[#This Row],[PrimaryMatch]]="Yes", Table4[[#This Row],[SecondaryMatch]]="Yes"), "Yes", "")</f>
        <v/>
      </c>
    </row>
    <row r="1455" spans="1:18" hidden="1" x14ac:dyDescent="0.25">
      <c r="A1455" t="s">
        <v>705</v>
      </c>
      <c r="B1455" t="s">
        <v>3209</v>
      </c>
      <c r="C1455" t="s">
        <v>3210</v>
      </c>
      <c r="D1455" t="s">
        <v>3679</v>
      </c>
      <c r="E1455" s="1">
        <v>0.08</v>
      </c>
      <c r="F1455" s="1">
        <v>0</v>
      </c>
      <c r="K1455" s="39">
        <f>DefaultValues!$B$4</f>
        <v>5</v>
      </c>
      <c r="L1455" s="1">
        <f>DefaultValues!$C$4</f>
        <v>0.5</v>
      </c>
      <c r="M1455" s="1" t="str">
        <f>DefaultValues!$D$4</f>
        <v xml:space="preserve">- Within interchange - </v>
      </c>
      <c r="N1455" s="1">
        <v>999.919983</v>
      </c>
      <c r="O1455" s="1">
        <f>ABS(Table4[[#This Row],[EndMP]]-Table4[[#This Row],[StartMP]])</f>
        <v>0.08</v>
      </c>
      <c r="P1455" s="1" t="str">
        <f>IF( AND( Table4[[#This Row],[Route]]=ClosureLocation!$B$3, ClosureLocation!$B$6 &gt;= Table4[[#This Row],[StartMP]], ClosureLocation!$B$6 &lt;= Table4[[#This Row],[EndMP]]), "Yes", "")</f>
        <v/>
      </c>
      <c r="Q1455" s="1" t="str">
        <f>IF( AND( Table4[[#This Row],[Route]]=ClosureLocation!$B$3, ClosureLocation!$B$6 &lt;= Table4[[#This Row],[StartMP]], ClosureLocation!$B$6 &gt;= Table4[[#This Row],[EndMP]]), "Yes", "")</f>
        <v/>
      </c>
      <c r="R1455" s="1" t="str">
        <f>IF( OR( Table4[[#This Row],[PrimaryMatch]]="Yes", Table4[[#This Row],[SecondaryMatch]]="Yes"), "Yes", "")</f>
        <v/>
      </c>
    </row>
    <row r="1456" spans="1:18" hidden="1" x14ac:dyDescent="0.25">
      <c r="A1456" t="s">
        <v>707</v>
      </c>
      <c r="B1456" t="s">
        <v>3205</v>
      </c>
      <c r="C1456" t="s">
        <v>3222</v>
      </c>
      <c r="D1456" t="s">
        <v>3681</v>
      </c>
      <c r="E1456" s="1">
        <v>0.64700000000000002</v>
      </c>
      <c r="F1456" s="1">
        <v>1.024</v>
      </c>
      <c r="K1456" s="39">
        <f>DefaultValues!$B$4</f>
        <v>5</v>
      </c>
      <c r="L1456" s="1">
        <f>DefaultValues!$C$4</f>
        <v>0.5</v>
      </c>
      <c r="M1456" s="1" t="str">
        <f>DefaultValues!$D$4</f>
        <v xml:space="preserve">- Within interchange - </v>
      </c>
      <c r="N1456" s="1">
        <v>0.64700000000000002</v>
      </c>
      <c r="O1456" s="1">
        <f>ABS(Table4[[#This Row],[EndMP]]-Table4[[#This Row],[StartMP]])</f>
        <v>0.377</v>
      </c>
      <c r="P1456" s="1" t="str">
        <f>IF( AND( Table4[[#This Row],[Route]]=ClosureLocation!$B$3, ClosureLocation!$B$6 &gt;= Table4[[#This Row],[StartMP]], ClosureLocation!$B$6 &lt;= Table4[[#This Row],[EndMP]]), "Yes", "")</f>
        <v/>
      </c>
      <c r="Q1456" s="1" t="str">
        <f>IF( AND( Table4[[#This Row],[Route]]=ClosureLocation!$B$3, ClosureLocation!$B$6 &lt;= Table4[[#This Row],[StartMP]], ClosureLocation!$B$6 &gt;= Table4[[#This Row],[EndMP]]), "Yes", "")</f>
        <v/>
      </c>
      <c r="R1456" s="1" t="str">
        <f>IF( OR( Table4[[#This Row],[PrimaryMatch]]="Yes", Table4[[#This Row],[SecondaryMatch]]="Yes"), "Yes", "")</f>
        <v/>
      </c>
    </row>
    <row r="1457" spans="1:18" hidden="1" x14ac:dyDescent="0.25">
      <c r="A1457" t="s">
        <v>707</v>
      </c>
      <c r="B1457" t="s">
        <v>3205</v>
      </c>
      <c r="C1457" t="s">
        <v>3222</v>
      </c>
      <c r="D1457" t="s">
        <v>3681</v>
      </c>
      <c r="E1457" s="1">
        <v>3.6619999999999999</v>
      </c>
      <c r="F1457" s="1">
        <v>4</v>
      </c>
      <c r="K1457" s="39">
        <f>DefaultValues!$B$4</f>
        <v>5</v>
      </c>
      <c r="L1457" s="1">
        <f>DefaultValues!$C$4</f>
        <v>0.5</v>
      </c>
      <c r="M1457" s="1" t="str">
        <f>DefaultValues!$D$4</f>
        <v xml:space="preserve">- Within interchange - </v>
      </c>
      <c r="N1457" s="1">
        <v>3.6619999999999999</v>
      </c>
      <c r="O1457" s="1">
        <f>ABS(Table4[[#This Row],[EndMP]]-Table4[[#This Row],[StartMP]])</f>
        <v>0.33800000000000008</v>
      </c>
      <c r="P1457" s="1" t="str">
        <f>IF( AND( Table4[[#This Row],[Route]]=ClosureLocation!$B$3, ClosureLocation!$B$6 &gt;= Table4[[#This Row],[StartMP]], ClosureLocation!$B$6 &lt;= Table4[[#This Row],[EndMP]]), "Yes", "")</f>
        <v/>
      </c>
      <c r="Q1457" s="1" t="str">
        <f>IF( AND( Table4[[#This Row],[Route]]=ClosureLocation!$B$3, ClosureLocation!$B$6 &lt;= Table4[[#This Row],[StartMP]], ClosureLocation!$B$6 &gt;= Table4[[#This Row],[EndMP]]), "Yes", "")</f>
        <v/>
      </c>
      <c r="R1457" s="1" t="str">
        <f>IF( OR( Table4[[#This Row],[PrimaryMatch]]="Yes", Table4[[#This Row],[SecondaryMatch]]="Yes"), "Yes", "")</f>
        <v/>
      </c>
    </row>
    <row r="1458" spans="1:18" hidden="1" x14ac:dyDescent="0.25">
      <c r="A1458" t="s">
        <v>707</v>
      </c>
      <c r="B1458" t="s">
        <v>3205</v>
      </c>
      <c r="C1458" t="s">
        <v>3222</v>
      </c>
      <c r="D1458" t="s">
        <v>3681</v>
      </c>
      <c r="E1458" s="1">
        <v>5.0730000000000004</v>
      </c>
      <c r="F1458" s="1">
        <v>5.6269999999999998</v>
      </c>
      <c r="K1458" s="39">
        <f>DefaultValues!$B$4</f>
        <v>5</v>
      </c>
      <c r="L1458" s="1">
        <f>DefaultValues!$C$4</f>
        <v>0.5</v>
      </c>
      <c r="M1458" s="1" t="str">
        <f>DefaultValues!$D$4</f>
        <v xml:space="preserve">- Within interchange - </v>
      </c>
      <c r="N1458" s="1">
        <v>5.0730000000000004</v>
      </c>
      <c r="O1458" s="1">
        <f>ABS(Table4[[#This Row],[EndMP]]-Table4[[#This Row],[StartMP]])</f>
        <v>0.55399999999999938</v>
      </c>
      <c r="P1458" s="1" t="str">
        <f>IF( AND( Table4[[#This Row],[Route]]=ClosureLocation!$B$3, ClosureLocation!$B$6 &gt;= Table4[[#This Row],[StartMP]], ClosureLocation!$B$6 &lt;= Table4[[#This Row],[EndMP]]), "Yes", "")</f>
        <v/>
      </c>
      <c r="Q1458" s="1" t="str">
        <f>IF( AND( Table4[[#This Row],[Route]]=ClosureLocation!$B$3, ClosureLocation!$B$6 &lt;= Table4[[#This Row],[StartMP]], ClosureLocation!$B$6 &gt;= Table4[[#This Row],[EndMP]]), "Yes", "")</f>
        <v/>
      </c>
      <c r="R1458" s="1" t="str">
        <f>IF( OR( Table4[[#This Row],[PrimaryMatch]]="Yes", Table4[[#This Row],[SecondaryMatch]]="Yes"), "Yes", "")</f>
        <v/>
      </c>
    </row>
    <row r="1459" spans="1:18" hidden="1" x14ac:dyDescent="0.25">
      <c r="A1459" t="s">
        <v>707</v>
      </c>
      <c r="B1459" t="s">
        <v>3209</v>
      </c>
      <c r="C1459" t="s">
        <v>3226</v>
      </c>
      <c r="D1459" t="s">
        <v>3683</v>
      </c>
      <c r="E1459" s="1">
        <v>4</v>
      </c>
      <c r="F1459" s="1">
        <v>3.573</v>
      </c>
      <c r="K1459" s="39">
        <f>DefaultValues!$B$4</f>
        <v>5</v>
      </c>
      <c r="L1459" s="1">
        <f>DefaultValues!$C$4</f>
        <v>0.5</v>
      </c>
      <c r="M1459" s="1" t="str">
        <f>DefaultValues!$D$4</f>
        <v xml:space="preserve">- Within interchange - </v>
      </c>
      <c r="N1459" s="1">
        <v>996</v>
      </c>
      <c r="O1459" s="1">
        <f>ABS(Table4[[#This Row],[EndMP]]-Table4[[#This Row],[StartMP]])</f>
        <v>0.42700000000000005</v>
      </c>
      <c r="P1459" s="1" t="str">
        <f>IF( AND( Table4[[#This Row],[Route]]=ClosureLocation!$B$3, ClosureLocation!$B$6 &gt;= Table4[[#This Row],[StartMP]], ClosureLocation!$B$6 &lt;= Table4[[#This Row],[EndMP]]), "Yes", "")</f>
        <v/>
      </c>
      <c r="Q1459" s="1" t="str">
        <f>IF( AND( Table4[[#This Row],[Route]]=ClosureLocation!$B$3, ClosureLocation!$B$6 &lt;= Table4[[#This Row],[StartMP]], ClosureLocation!$B$6 &gt;= Table4[[#This Row],[EndMP]]), "Yes", "")</f>
        <v/>
      </c>
      <c r="R1459" s="1" t="str">
        <f>IF( OR( Table4[[#This Row],[PrimaryMatch]]="Yes", Table4[[#This Row],[SecondaryMatch]]="Yes"), "Yes", "")</f>
        <v/>
      </c>
    </row>
    <row r="1460" spans="1:18" hidden="1" x14ac:dyDescent="0.25">
      <c r="A1460" t="s">
        <v>707</v>
      </c>
      <c r="B1460" t="s">
        <v>3209</v>
      </c>
      <c r="C1460" t="s">
        <v>3226</v>
      </c>
      <c r="D1460" t="s">
        <v>3683</v>
      </c>
      <c r="E1460" s="1">
        <v>1.024</v>
      </c>
      <c r="F1460" s="1">
        <v>0.64700000000000002</v>
      </c>
      <c r="K1460" s="39">
        <f>DefaultValues!$B$4</f>
        <v>5</v>
      </c>
      <c r="L1460" s="1">
        <f>DefaultValues!$C$4</f>
        <v>0.5</v>
      </c>
      <c r="M1460" s="1" t="str">
        <f>DefaultValues!$D$4</f>
        <v xml:space="preserve">- Within interchange - </v>
      </c>
      <c r="N1460" s="1">
        <v>998.97601299999997</v>
      </c>
      <c r="O1460" s="1">
        <f>ABS(Table4[[#This Row],[EndMP]]-Table4[[#This Row],[StartMP]])</f>
        <v>0.377</v>
      </c>
      <c r="P1460" s="1" t="str">
        <f>IF( AND( Table4[[#This Row],[Route]]=ClosureLocation!$B$3, ClosureLocation!$B$6 &gt;= Table4[[#This Row],[StartMP]], ClosureLocation!$B$6 &lt;= Table4[[#This Row],[EndMP]]), "Yes", "")</f>
        <v/>
      </c>
      <c r="Q1460" s="1" t="str">
        <f>IF( AND( Table4[[#This Row],[Route]]=ClosureLocation!$B$3, ClosureLocation!$B$6 &lt;= Table4[[#This Row],[StartMP]], ClosureLocation!$B$6 &gt;= Table4[[#This Row],[EndMP]]), "Yes", "")</f>
        <v/>
      </c>
      <c r="R1460" s="1" t="str">
        <f>IF( OR( Table4[[#This Row],[PrimaryMatch]]="Yes", Table4[[#This Row],[SecondaryMatch]]="Yes"), "Yes", "")</f>
        <v/>
      </c>
    </row>
    <row r="1461" spans="1:18" hidden="1" x14ac:dyDescent="0.25">
      <c r="A1461" t="s">
        <v>709</v>
      </c>
      <c r="B1461" t="s">
        <v>3205</v>
      </c>
      <c r="C1461" t="s">
        <v>3206</v>
      </c>
      <c r="D1461" t="s">
        <v>3685</v>
      </c>
      <c r="E1461" s="1">
        <v>40.963000999999998</v>
      </c>
      <c r="F1461" s="1">
        <v>41.070999</v>
      </c>
      <c r="K1461" s="39">
        <f>DefaultValues!$B$4</f>
        <v>5</v>
      </c>
      <c r="L1461" s="1">
        <f>DefaultValues!$C$4</f>
        <v>0.5</v>
      </c>
      <c r="M1461" s="1" t="str">
        <f>DefaultValues!$D$4</f>
        <v xml:space="preserve">- Within interchange - </v>
      </c>
      <c r="N1461" s="1">
        <v>40.963000999999998</v>
      </c>
      <c r="O1461" s="1">
        <f>ABS(Table4[[#This Row],[EndMP]]-Table4[[#This Row],[StartMP]])</f>
        <v>0.10799800000000204</v>
      </c>
      <c r="P1461" s="1" t="str">
        <f>IF( AND( Table4[[#This Row],[Route]]=ClosureLocation!$B$3, ClosureLocation!$B$6 &gt;= Table4[[#This Row],[StartMP]], ClosureLocation!$B$6 &lt;= Table4[[#This Row],[EndMP]]), "Yes", "")</f>
        <v/>
      </c>
      <c r="Q1461" s="1" t="str">
        <f>IF( AND( Table4[[#This Row],[Route]]=ClosureLocation!$B$3, ClosureLocation!$B$6 &lt;= Table4[[#This Row],[StartMP]], ClosureLocation!$B$6 &gt;= Table4[[#This Row],[EndMP]]), "Yes", "")</f>
        <v/>
      </c>
      <c r="R1461" s="1" t="str">
        <f>IF( OR( Table4[[#This Row],[PrimaryMatch]]="Yes", Table4[[#This Row],[SecondaryMatch]]="Yes"), "Yes", "")</f>
        <v/>
      </c>
    </row>
    <row r="1462" spans="1:18" hidden="1" x14ac:dyDescent="0.25">
      <c r="A1462" t="s">
        <v>709</v>
      </c>
      <c r="B1462" t="s">
        <v>3209</v>
      </c>
      <c r="C1462" t="s">
        <v>3210</v>
      </c>
      <c r="D1462" t="s">
        <v>3688</v>
      </c>
      <c r="E1462" s="1">
        <v>41.070999</v>
      </c>
      <c r="F1462" s="1">
        <v>40.963000999999998</v>
      </c>
      <c r="K1462" s="39">
        <f>DefaultValues!$B$4</f>
        <v>5</v>
      </c>
      <c r="L1462" s="1">
        <f>DefaultValues!$C$4</f>
        <v>0.5</v>
      </c>
      <c r="M1462" s="1" t="str">
        <f>DefaultValues!$D$4</f>
        <v xml:space="preserve">- Within interchange - </v>
      </c>
      <c r="N1462" s="1">
        <v>958.92901600000005</v>
      </c>
      <c r="O1462" s="1">
        <f>ABS(Table4[[#This Row],[EndMP]]-Table4[[#This Row],[StartMP]])</f>
        <v>0.10799800000000204</v>
      </c>
      <c r="P1462" s="1" t="str">
        <f>IF( AND( Table4[[#This Row],[Route]]=ClosureLocation!$B$3, ClosureLocation!$B$6 &gt;= Table4[[#This Row],[StartMP]], ClosureLocation!$B$6 &lt;= Table4[[#This Row],[EndMP]]), "Yes", "")</f>
        <v/>
      </c>
      <c r="Q1462" s="1" t="str">
        <f>IF( AND( Table4[[#This Row],[Route]]=ClosureLocation!$B$3, ClosureLocation!$B$6 &lt;= Table4[[#This Row],[StartMP]], ClosureLocation!$B$6 &gt;= Table4[[#This Row],[EndMP]]), "Yes", "")</f>
        <v/>
      </c>
      <c r="R1462" s="1" t="str">
        <f>IF( OR( Table4[[#This Row],[PrimaryMatch]]="Yes", Table4[[#This Row],[SecondaryMatch]]="Yes"), "Yes", "")</f>
        <v/>
      </c>
    </row>
    <row r="1463" spans="1:18" hidden="1" x14ac:dyDescent="0.25">
      <c r="A1463" t="s">
        <v>714</v>
      </c>
      <c r="B1463" t="s">
        <v>3205</v>
      </c>
      <c r="C1463" t="s">
        <v>3206</v>
      </c>
      <c r="D1463" t="s">
        <v>3691</v>
      </c>
      <c r="E1463" s="1">
        <v>171.026993</v>
      </c>
      <c r="F1463" s="1">
        <v>171.151993</v>
      </c>
      <c r="K1463" s="39">
        <f>DefaultValues!$B$4</f>
        <v>5</v>
      </c>
      <c r="L1463" s="1">
        <f>DefaultValues!$C$4</f>
        <v>0.5</v>
      </c>
      <c r="M1463" s="1" t="str">
        <f>DefaultValues!$D$4</f>
        <v xml:space="preserve">- Within interchange - </v>
      </c>
      <c r="N1463" s="1">
        <v>171.026993</v>
      </c>
      <c r="O1463" s="1">
        <f>ABS(Table4[[#This Row],[EndMP]]-Table4[[#This Row],[StartMP]])</f>
        <v>0.125</v>
      </c>
      <c r="P1463" s="1" t="str">
        <f>IF( AND( Table4[[#This Row],[Route]]=ClosureLocation!$B$3, ClosureLocation!$B$6 &gt;= Table4[[#This Row],[StartMP]], ClosureLocation!$B$6 &lt;= Table4[[#This Row],[EndMP]]), "Yes", "")</f>
        <v/>
      </c>
      <c r="Q1463" s="1" t="str">
        <f>IF( AND( Table4[[#This Row],[Route]]=ClosureLocation!$B$3, ClosureLocation!$B$6 &lt;= Table4[[#This Row],[StartMP]], ClosureLocation!$B$6 &gt;= Table4[[#This Row],[EndMP]]), "Yes", "")</f>
        <v/>
      </c>
      <c r="R1463" s="1" t="str">
        <f>IF( OR( Table4[[#This Row],[PrimaryMatch]]="Yes", Table4[[#This Row],[SecondaryMatch]]="Yes"), "Yes", "")</f>
        <v/>
      </c>
    </row>
    <row r="1464" spans="1:18" hidden="1" x14ac:dyDescent="0.25">
      <c r="A1464" t="s">
        <v>714</v>
      </c>
      <c r="B1464" t="s">
        <v>3209</v>
      </c>
      <c r="C1464" t="s">
        <v>3210</v>
      </c>
      <c r="D1464" t="s">
        <v>3694</v>
      </c>
      <c r="E1464" s="1">
        <v>171.151993</v>
      </c>
      <c r="F1464" s="1">
        <v>171.026993</v>
      </c>
      <c r="K1464" s="39">
        <f>DefaultValues!$B$4</f>
        <v>5</v>
      </c>
      <c r="L1464" s="1">
        <f>DefaultValues!$C$4</f>
        <v>0.5</v>
      </c>
      <c r="M1464" s="1" t="str">
        <f>DefaultValues!$D$4</f>
        <v xml:space="preserve">- Within interchange - </v>
      </c>
      <c r="N1464" s="1">
        <v>828.84802200000001</v>
      </c>
      <c r="O1464" s="1">
        <f>ABS(Table4[[#This Row],[EndMP]]-Table4[[#This Row],[StartMP]])</f>
        <v>0.125</v>
      </c>
      <c r="P1464" s="1" t="str">
        <f>IF( AND( Table4[[#This Row],[Route]]=ClosureLocation!$B$3, ClosureLocation!$B$6 &gt;= Table4[[#This Row],[StartMP]], ClosureLocation!$B$6 &lt;= Table4[[#This Row],[EndMP]]), "Yes", "")</f>
        <v/>
      </c>
      <c r="Q1464" s="1" t="str">
        <f>IF( AND( Table4[[#This Row],[Route]]=ClosureLocation!$B$3, ClosureLocation!$B$6 &lt;= Table4[[#This Row],[StartMP]], ClosureLocation!$B$6 &gt;= Table4[[#This Row],[EndMP]]), "Yes", "")</f>
        <v/>
      </c>
      <c r="R1464" s="1" t="str">
        <f>IF( OR( Table4[[#This Row],[PrimaryMatch]]="Yes", Table4[[#This Row],[SecondaryMatch]]="Yes"), "Yes", "")</f>
        <v/>
      </c>
    </row>
    <row r="1465" spans="1:18" hidden="1" x14ac:dyDescent="0.25">
      <c r="A1465" t="s">
        <v>722</v>
      </c>
      <c r="B1465" t="s">
        <v>3205</v>
      </c>
      <c r="C1465" t="s">
        <v>3222</v>
      </c>
      <c r="D1465" t="s">
        <v>3701</v>
      </c>
      <c r="E1465" s="1">
        <v>5.8230000000000004</v>
      </c>
      <c r="F1465" s="1">
        <v>5.9320000000000004</v>
      </c>
      <c r="K1465" s="39">
        <f>DefaultValues!$B$4</f>
        <v>5</v>
      </c>
      <c r="L1465" s="1">
        <f>DefaultValues!$C$4</f>
        <v>0.5</v>
      </c>
      <c r="M1465" s="1" t="str">
        <f>DefaultValues!$D$4</f>
        <v xml:space="preserve">- Within interchange - </v>
      </c>
      <c r="N1465" s="1">
        <v>5.8230000000000004</v>
      </c>
      <c r="O1465" s="1">
        <f>ABS(Table4[[#This Row],[EndMP]]-Table4[[#This Row],[StartMP]])</f>
        <v>0.10899999999999999</v>
      </c>
      <c r="P1465" s="1" t="str">
        <f>IF( AND( Table4[[#This Row],[Route]]=ClosureLocation!$B$3, ClosureLocation!$B$6 &gt;= Table4[[#This Row],[StartMP]], ClosureLocation!$B$6 &lt;= Table4[[#This Row],[EndMP]]), "Yes", "")</f>
        <v/>
      </c>
      <c r="Q1465" s="1" t="str">
        <f>IF( AND( Table4[[#This Row],[Route]]=ClosureLocation!$B$3, ClosureLocation!$B$6 &lt;= Table4[[#This Row],[StartMP]], ClosureLocation!$B$6 &gt;= Table4[[#This Row],[EndMP]]), "Yes", "")</f>
        <v/>
      </c>
      <c r="R1465" s="1" t="str">
        <f>IF( OR( Table4[[#This Row],[PrimaryMatch]]="Yes", Table4[[#This Row],[SecondaryMatch]]="Yes"), "Yes", "")</f>
        <v/>
      </c>
    </row>
    <row r="1466" spans="1:18" hidden="1" x14ac:dyDescent="0.25">
      <c r="A1466" t="s">
        <v>722</v>
      </c>
      <c r="B1466" t="s">
        <v>3209</v>
      </c>
      <c r="C1466" t="s">
        <v>3226</v>
      </c>
      <c r="D1466" t="s">
        <v>3704</v>
      </c>
      <c r="E1466" s="1">
        <v>5.9320000000000004</v>
      </c>
      <c r="F1466" s="1">
        <v>5.8230000000000004</v>
      </c>
      <c r="K1466" s="39">
        <f>DefaultValues!$B$4</f>
        <v>5</v>
      </c>
      <c r="L1466" s="1">
        <f>DefaultValues!$C$4</f>
        <v>0.5</v>
      </c>
      <c r="M1466" s="1" t="str">
        <f>DefaultValues!$D$4</f>
        <v xml:space="preserve">- Within interchange - </v>
      </c>
      <c r="N1466" s="1">
        <v>994.067993</v>
      </c>
      <c r="O1466" s="1">
        <f>ABS(Table4[[#This Row],[EndMP]]-Table4[[#This Row],[StartMP]])</f>
        <v>0.10899999999999999</v>
      </c>
      <c r="P1466" s="1" t="str">
        <f>IF( AND( Table4[[#This Row],[Route]]=ClosureLocation!$B$3, ClosureLocation!$B$6 &gt;= Table4[[#This Row],[StartMP]], ClosureLocation!$B$6 &lt;= Table4[[#This Row],[EndMP]]), "Yes", "")</f>
        <v/>
      </c>
      <c r="Q1466" s="1" t="str">
        <f>IF( AND( Table4[[#This Row],[Route]]=ClosureLocation!$B$3, ClosureLocation!$B$6 &lt;= Table4[[#This Row],[StartMP]], ClosureLocation!$B$6 &gt;= Table4[[#This Row],[EndMP]]), "Yes", "")</f>
        <v/>
      </c>
      <c r="R1466" s="1" t="str">
        <f>IF( OR( Table4[[#This Row],[PrimaryMatch]]="Yes", Table4[[#This Row],[SecondaryMatch]]="Yes"), "Yes", "")</f>
        <v/>
      </c>
    </row>
    <row r="1467" spans="1:18" hidden="1" x14ac:dyDescent="0.25">
      <c r="A1467" t="s">
        <v>732</v>
      </c>
      <c r="B1467" t="s">
        <v>3205</v>
      </c>
      <c r="C1467" t="s">
        <v>3206</v>
      </c>
      <c r="D1467" t="s">
        <v>3710</v>
      </c>
      <c r="E1467" s="1">
        <v>53.245998</v>
      </c>
      <c r="F1467" s="1">
        <v>53.379002</v>
      </c>
      <c r="K1467" s="39">
        <f>DefaultValues!$B$4</f>
        <v>5</v>
      </c>
      <c r="L1467" s="1">
        <f>DefaultValues!$C$4</f>
        <v>0.5</v>
      </c>
      <c r="M1467" s="1" t="str">
        <f>DefaultValues!$D$4</f>
        <v xml:space="preserve">- Within interchange - </v>
      </c>
      <c r="N1467" s="1">
        <v>53.245998</v>
      </c>
      <c r="O1467" s="1">
        <f>ABS(Table4[[#This Row],[EndMP]]-Table4[[#This Row],[StartMP]])</f>
        <v>0.13300399999999968</v>
      </c>
      <c r="P1467" s="1" t="str">
        <f>IF( AND( Table4[[#This Row],[Route]]=ClosureLocation!$B$3, ClosureLocation!$B$6 &gt;= Table4[[#This Row],[StartMP]], ClosureLocation!$B$6 &lt;= Table4[[#This Row],[EndMP]]), "Yes", "")</f>
        <v/>
      </c>
      <c r="Q1467" s="1" t="str">
        <f>IF( AND( Table4[[#This Row],[Route]]=ClosureLocation!$B$3, ClosureLocation!$B$6 &lt;= Table4[[#This Row],[StartMP]], ClosureLocation!$B$6 &gt;= Table4[[#This Row],[EndMP]]), "Yes", "")</f>
        <v/>
      </c>
      <c r="R1467" s="1" t="str">
        <f>IF( OR( Table4[[#This Row],[PrimaryMatch]]="Yes", Table4[[#This Row],[SecondaryMatch]]="Yes"), "Yes", "")</f>
        <v/>
      </c>
    </row>
    <row r="1468" spans="1:18" hidden="1" x14ac:dyDescent="0.25">
      <c r="A1468" t="s">
        <v>732</v>
      </c>
      <c r="B1468" t="s">
        <v>3209</v>
      </c>
      <c r="C1468" t="s">
        <v>3210</v>
      </c>
      <c r="D1468" t="s">
        <v>3714</v>
      </c>
      <c r="E1468" s="1">
        <v>53.379002</v>
      </c>
      <c r="F1468" s="1">
        <v>53.245998</v>
      </c>
      <c r="K1468" s="39">
        <f>DefaultValues!$B$4</f>
        <v>5</v>
      </c>
      <c r="L1468" s="1">
        <f>DefaultValues!$C$4</f>
        <v>0.5</v>
      </c>
      <c r="M1468" s="1" t="str">
        <f>DefaultValues!$D$4</f>
        <v xml:space="preserve">- Within interchange - </v>
      </c>
      <c r="N1468" s="1">
        <v>946.62097200000005</v>
      </c>
      <c r="O1468" s="1">
        <f>ABS(Table4[[#This Row],[EndMP]]-Table4[[#This Row],[StartMP]])</f>
        <v>0.13300399999999968</v>
      </c>
      <c r="P1468" s="1" t="str">
        <f>IF( AND( Table4[[#This Row],[Route]]=ClosureLocation!$B$3, ClosureLocation!$B$6 &gt;= Table4[[#This Row],[StartMP]], ClosureLocation!$B$6 &lt;= Table4[[#This Row],[EndMP]]), "Yes", "")</f>
        <v/>
      </c>
      <c r="Q1468" s="1" t="str">
        <f>IF( AND( Table4[[#This Row],[Route]]=ClosureLocation!$B$3, ClosureLocation!$B$6 &lt;= Table4[[#This Row],[StartMP]], ClosureLocation!$B$6 &gt;= Table4[[#This Row],[EndMP]]), "Yes", "")</f>
        <v/>
      </c>
      <c r="R1468" s="1" t="str">
        <f>IF( OR( Table4[[#This Row],[PrimaryMatch]]="Yes", Table4[[#This Row],[SecondaryMatch]]="Yes"), "Yes", "")</f>
        <v/>
      </c>
    </row>
    <row r="1469" spans="1:18" hidden="1" x14ac:dyDescent="0.25">
      <c r="A1469" t="s">
        <v>740</v>
      </c>
      <c r="B1469" t="s">
        <v>3205</v>
      </c>
      <c r="C1469" t="s">
        <v>3206</v>
      </c>
      <c r="D1469" t="s">
        <v>3722</v>
      </c>
      <c r="E1469" s="1">
        <v>60.470001000000003</v>
      </c>
      <c r="F1469" s="1">
        <v>61.376998999999998</v>
      </c>
      <c r="K1469" s="39">
        <f>DefaultValues!$B$4</f>
        <v>5</v>
      </c>
      <c r="L1469" s="1">
        <f>DefaultValues!$C$4</f>
        <v>0.5</v>
      </c>
      <c r="M1469" s="1" t="str">
        <f>DefaultValues!$D$4</f>
        <v xml:space="preserve">- Within interchange - </v>
      </c>
      <c r="N1469" s="1">
        <v>60.470001000000003</v>
      </c>
      <c r="O1469" s="1">
        <f>ABS(Table4[[#This Row],[EndMP]]-Table4[[#This Row],[StartMP]])</f>
        <v>0.90699799999999442</v>
      </c>
      <c r="P1469" s="1" t="str">
        <f>IF( AND( Table4[[#This Row],[Route]]=ClosureLocation!$B$3, ClosureLocation!$B$6 &gt;= Table4[[#This Row],[StartMP]], ClosureLocation!$B$6 &lt;= Table4[[#This Row],[EndMP]]), "Yes", "")</f>
        <v/>
      </c>
      <c r="Q1469" s="1" t="str">
        <f>IF( AND( Table4[[#This Row],[Route]]=ClosureLocation!$B$3, ClosureLocation!$B$6 &lt;= Table4[[#This Row],[StartMP]], ClosureLocation!$B$6 &gt;= Table4[[#This Row],[EndMP]]), "Yes", "")</f>
        <v/>
      </c>
      <c r="R1469" s="1" t="str">
        <f>IF( OR( Table4[[#This Row],[PrimaryMatch]]="Yes", Table4[[#This Row],[SecondaryMatch]]="Yes"), "Yes", "")</f>
        <v/>
      </c>
    </row>
    <row r="1470" spans="1:18" hidden="1" x14ac:dyDescent="0.25">
      <c r="A1470" t="s">
        <v>740</v>
      </c>
      <c r="B1470" t="s">
        <v>3209</v>
      </c>
      <c r="C1470" t="s">
        <v>3210</v>
      </c>
      <c r="D1470" t="s">
        <v>3724</v>
      </c>
      <c r="E1470" s="1">
        <v>61.262000999999998</v>
      </c>
      <c r="F1470" s="1">
        <v>60.470001000000003</v>
      </c>
      <c r="K1470" s="39">
        <f>DefaultValues!$B$4</f>
        <v>5</v>
      </c>
      <c r="L1470" s="1">
        <f>DefaultValues!$C$4</f>
        <v>0.5</v>
      </c>
      <c r="M1470" s="1" t="str">
        <f>DefaultValues!$D$4</f>
        <v xml:space="preserve">- Within interchange - </v>
      </c>
      <c r="N1470" s="1">
        <v>938.737976</v>
      </c>
      <c r="O1470" s="1">
        <f>ABS(Table4[[#This Row],[EndMP]]-Table4[[#This Row],[StartMP]])</f>
        <v>0.79199999999999449</v>
      </c>
      <c r="P1470" s="1" t="str">
        <f>IF( AND( Table4[[#This Row],[Route]]=ClosureLocation!$B$3, ClosureLocation!$B$6 &gt;= Table4[[#This Row],[StartMP]], ClosureLocation!$B$6 &lt;= Table4[[#This Row],[EndMP]]), "Yes", "")</f>
        <v/>
      </c>
      <c r="Q1470" s="1" t="str">
        <f>IF( AND( Table4[[#This Row],[Route]]=ClosureLocation!$B$3, ClosureLocation!$B$6 &lt;= Table4[[#This Row],[StartMP]], ClosureLocation!$B$6 &gt;= Table4[[#This Row],[EndMP]]), "Yes", "")</f>
        <v/>
      </c>
      <c r="R1470" s="1" t="str">
        <f>IF( OR( Table4[[#This Row],[PrimaryMatch]]="Yes", Table4[[#This Row],[SecondaryMatch]]="Yes"), "Yes", "")</f>
        <v/>
      </c>
    </row>
    <row r="1471" spans="1:18" hidden="1" x14ac:dyDescent="0.25">
      <c r="A1471" t="s">
        <v>745</v>
      </c>
      <c r="B1471" t="s">
        <v>3205</v>
      </c>
      <c r="C1471" t="s">
        <v>3222</v>
      </c>
      <c r="D1471" t="s">
        <v>3726</v>
      </c>
      <c r="E1471" s="1">
        <v>42.710999000000001</v>
      </c>
      <c r="F1471" s="1">
        <v>42.808998000000003</v>
      </c>
      <c r="K1471" s="39">
        <f>DefaultValues!$B$4</f>
        <v>5</v>
      </c>
      <c r="L1471" s="1">
        <f>DefaultValues!$C$4</f>
        <v>0.5</v>
      </c>
      <c r="M1471" s="1" t="str">
        <f>DefaultValues!$D$4</f>
        <v xml:space="preserve">- Within interchange - </v>
      </c>
      <c r="N1471" s="1">
        <v>42.710999000000001</v>
      </c>
      <c r="O1471" s="1">
        <f>ABS(Table4[[#This Row],[EndMP]]-Table4[[#This Row],[StartMP]])</f>
        <v>9.7999000000001502E-2</v>
      </c>
      <c r="P1471" s="1" t="str">
        <f>IF( AND( Table4[[#This Row],[Route]]=ClosureLocation!$B$3, ClosureLocation!$B$6 &gt;= Table4[[#This Row],[StartMP]], ClosureLocation!$B$6 &lt;= Table4[[#This Row],[EndMP]]), "Yes", "")</f>
        <v/>
      </c>
      <c r="Q1471" s="1" t="str">
        <f>IF( AND( Table4[[#This Row],[Route]]=ClosureLocation!$B$3, ClosureLocation!$B$6 &lt;= Table4[[#This Row],[StartMP]], ClosureLocation!$B$6 &gt;= Table4[[#This Row],[EndMP]]), "Yes", "")</f>
        <v/>
      </c>
      <c r="R1471" s="1" t="str">
        <f>IF( OR( Table4[[#This Row],[PrimaryMatch]]="Yes", Table4[[#This Row],[SecondaryMatch]]="Yes"), "Yes", "")</f>
        <v/>
      </c>
    </row>
    <row r="1472" spans="1:18" hidden="1" x14ac:dyDescent="0.25">
      <c r="A1472" t="s">
        <v>745</v>
      </c>
      <c r="B1472" t="s">
        <v>3209</v>
      </c>
      <c r="C1472" t="s">
        <v>3226</v>
      </c>
      <c r="D1472" t="s">
        <v>3731</v>
      </c>
      <c r="E1472" s="1">
        <v>42.808998000000003</v>
      </c>
      <c r="F1472" s="1">
        <v>42.710999000000001</v>
      </c>
      <c r="K1472" s="39">
        <f>DefaultValues!$B$4</f>
        <v>5</v>
      </c>
      <c r="L1472" s="1">
        <f>DefaultValues!$C$4</f>
        <v>0.5</v>
      </c>
      <c r="M1472" s="1" t="str">
        <f>DefaultValues!$D$4</f>
        <v xml:space="preserve">- Within interchange - </v>
      </c>
      <c r="N1472" s="1">
        <v>957.19097899999997</v>
      </c>
      <c r="O1472" s="1">
        <f>ABS(Table4[[#This Row],[EndMP]]-Table4[[#This Row],[StartMP]])</f>
        <v>9.7999000000001502E-2</v>
      </c>
      <c r="P1472" s="1" t="str">
        <f>IF( AND( Table4[[#This Row],[Route]]=ClosureLocation!$B$3, ClosureLocation!$B$6 &gt;= Table4[[#This Row],[StartMP]], ClosureLocation!$B$6 &lt;= Table4[[#This Row],[EndMP]]), "Yes", "")</f>
        <v/>
      </c>
      <c r="Q1472" s="1" t="str">
        <f>IF( AND( Table4[[#This Row],[Route]]=ClosureLocation!$B$3, ClosureLocation!$B$6 &lt;= Table4[[#This Row],[StartMP]], ClosureLocation!$B$6 &gt;= Table4[[#This Row],[EndMP]]), "Yes", "")</f>
        <v/>
      </c>
      <c r="R1472" s="1" t="str">
        <f>IF( OR( Table4[[#This Row],[PrimaryMatch]]="Yes", Table4[[#This Row],[SecondaryMatch]]="Yes"), "Yes", "")</f>
        <v/>
      </c>
    </row>
    <row r="1473" spans="1:18" hidden="1" x14ac:dyDescent="0.25">
      <c r="A1473" t="s">
        <v>760</v>
      </c>
      <c r="B1473" t="s">
        <v>3205</v>
      </c>
      <c r="C1473" t="s">
        <v>3206</v>
      </c>
      <c r="D1473" t="s">
        <v>4660</v>
      </c>
      <c r="E1473" s="1">
        <v>76.919998000000007</v>
      </c>
      <c r="F1473" s="1">
        <v>77</v>
      </c>
      <c r="K1473" s="39">
        <f>DefaultValues!$B$4</f>
        <v>5</v>
      </c>
      <c r="L1473" s="1">
        <f>DefaultValues!$C$4</f>
        <v>0.5</v>
      </c>
      <c r="M1473" s="1" t="str">
        <f>DefaultValues!$D$4</f>
        <v xml:space="preserve">- Within interchange - </v>
      </c>
      <c r="N1473" s="1">
        <v>76.919998000000007</v>
      </c>
      <c r="O1473" s="1">
        <f>ABS(Table4[[#This Row],[EndMP]]-Table4[[#This Row],[StartMP]])</f>
        <v>8.0001999999993245E-2</v>
      </c>
      <c r="P1473" s="1" t="str">
        <f>IF( AND( Table4[[#This Row],[Route]]=ClosureLocation!$B$3, ClosureLocation!$B$6 &gt;= Table4[[#This Row],[StartMP]], ClosureLocation!$B$6 &lt;= Table4[[#This Row],[EndMP]]), "Yes", "")</f>
        <v/>
      </c>
      <c r="Q1473" s="1" t="str">
        <f>IF( AND( Table4[[#This Row],[Route]]=ClosureLocation!$B$3, ClosureLocation!$B$6 &lt;= Table4[[#This Row],[StartMP]], ClosureLocation!$B$6 &gt;= Table4[[#This Row],[EndMP]]), "Yes", "")</f>
        <v/>
      </c>
      <c r="R1473" s="1" t="str">
        <f>IF( OR( Table4[[#This Row],[PrimaryMatch]]="Yes", Table4[[#This Row],[SecondaryMatch]]="Yes"), "Yes", "")</f>
        <v/>
      </c>
    </row>
    <row r="1474" spans="1:18" hidden="1" x14ac:dyDescent="0.25">
      <c r="A1474" t="s">
        <v>760</v>
      </c>
      <c r="B1474" t="s">
        <v>3209</v>
      </c>
      <c r="C1474" t="s">
        <v>3210</v>
      </c>
      <c r="D1474" t="s">
        <v>4661</v>
      </c>
      <c r="E1474" s="1">
        <v>77</v>
      </c>
      <c r="F1474" s="1">
        <v>76.919998000000007</v>
      </c>
      <c r="K1474" s="39">
        <f>DefaultValues!$B$4</f>
        <v>5</v>
      </c>
      <c r="L1474" s="1">
        <f>DefaultValues!$C$4</f>
        <v>0.5</v>
      </c>
      <c r="M1474" s="1" t="str">
        <f>DefaultValues!$D$4</f>
        <v xml:space="preserve">- Within interchange - </v>
      </c>
      <c r="N1474" s="1">
        <v>923</v>
      </c>
      <c r="O1474" s="1">
        <f>ABS(Table4[[#This Row],[EndMP]]-Table4[[#This Row],[StartMP]])</f>
        <v>8.0001999999993245E-2</v>
      </c>
      <c r="P1474" s="1" t="str">
        <f>IF( AND( Table4[[#This Row],[Route]]=ClosureLocation!$B$3, ClosureLocation!$B$6 &gt;= Table4[[#This Row],[StartMP]], ClosureLocation!$B$6 &lt;= Table4[[#This Row],[EndMP]]), "Yes", "")</f>
        <v/>
      </c>
      <c r="Q1474" s="1" t="str">
        <f>IF( AND( Table4[[#This Row],[Route]]=ClosureLocation!$B$3, ClosureLocation!$B$6 &lt;= Table4[[#This Row],[StartMP]], ClosureLocation!$B$6 &gt;= Table4[[#This Row],[EndMP]]), "Yes", "")</f>
        <v/>
      </c>
      <c r="R1474" s="1" t="str">
        <f>IF( OR( Table4[[#This Row],[PrimaryMatch]]="Yes", Table4[[#This Row],[SecondaryMatch]]="Yes"), "Yes", "")</f>
        <v/>
      </c>
    </row>
    <row r="1475" spans="1:18" hidden="1" x14ac:dyDescent="0.25">
      <c r="A1475" t="s">
        <v>764</v>
      </c>
      <c r="B1475" t="s">
        <v>3205</v>
      </c>
      <c r="C1475" t="s">
        <v>3206</v>
      </c>
      <c r="D1475" t="s">
        <v>4662</v>
      </c>
      <c r="E1475" s="1">
        <v>127.410004</v>
      </c>
      <c r="F1475" s="1">
        <v>127.44899700000001</v>
      </c>
      <c r="K1475" s="39">
        <f>DefaultValues!$B$4</f>
        <v>5</v>
      </c>
      <c r="L1475" s="1">
        <f>DefaultValues!$C$4</f>
        <v>0.5</v>
      </c>
      <c r="M1475" s="1" t="str">
        <f>DefaultValues!$D$4</f>
        <v xml:space="preserve">- Within interchange - </v>
      </c>
      <c r="N1475" s="1">
        <v>127.410004</v>
      </c>
      <c r="O1475" s="1">
        <f>ABS(Table4[[#This Row],[EndMP]]-Table4[[#This Row],[StartMP]])</f>
        <v>3.899300000000494E-2</v>
      </c>
      <c r="P1475" s="1" t="str">
        <f>IF( AND( Table4[[#This Row],[Route]]=ClosureLocation!$B$3, ClosureLocation!$B$6 &gt;= Table4[[#This Row],[StartMP]], ClosureLocation!$B$6 &lt;= Table4[[#This Row],[EndMP]]), "Yes", "")</f>
        <v/>
      </c>
      <c r="Q1475" s="1" t="str">
        <f>IF( AND( Table4[[#This Row],[Route]]=ClosureLocation!$B$3, ClosureLocation!$B$6 &lt;= Table4[[#This Row],[StartMP]], ClosureLocation!$B$6 &gt;= Table4[[#This Row],[EndMP]]), "Yes", "")</f>
        <v/>
      </c>
      <c r="R1475" s="1" t="str">
        <f>IF( OR( Table4[[#This Row],[PrimaryMatch]]="Yes", Table4[[#This Row],[SecondaryMatch]]="Yes"), "Yes", "")</f>
        <v/>
      </c>
    </row>
    <row r="1476" spans="1:18" hidden="1" x14ac:dyDescent="0.25">
      <c r="A1476" t="s">
        <v>764</v>
      </c>
      <c r="B1476" t="s">
        <v>3209</v>
      </c>
      <c r="C1476" t="s">
        <v>3210</v>
      </c>
      <c r="D1476" t="s">
        <v>4663</v>
      </c>
      <c r="E1476" s="1">
        <v>127.44899700000001</v>
      </c>
      <c r="F1476" s="1">
        <v>127.410004</v>
      </c>
      <c r="K1476" s="39">
        <f>DefaultValues!$B$4</f>
        <v>5</v>
      </c>
      <c r="L1476" s="1">
        <f>DefaultValues!$C$4</f>
        <v>0.5</v>
      </c>
      <c r="M1476" s="1" t="str">
        <f>DefaultValues!$D$4</f>
        <v xml:space="preserve">- Within interchange - </v>
      </c>
      <c r="N1476" s="1">
        <v>872.55102499999998</v>
      </c>
      <c r="O1476" s="1">
        <f>ABS(Table4[[#This Row],[EndMP]]-Table4[[#This Row],[StartMP]])</f>
        <v>3.899300000000494E-2</v>
      </c>
      <c r="P1476" s="1" t="str">
        <f>IF( AND( Table4[[#This Row],[Route]]=ClosureLocation!$B$3, ClosureLocation!$B$6 &gt;= Table4[[#This Row],[StartMP]], ClosureLocation!$B$6 &lt;= Table4[[#This Row],[EndMP]]), "Yes", "")</f>
        <v/>
      </c>
      <c r="Q1476" s="1" t="str">
        <f>IF( AND( Table4[[#This Row],[Route]]=ClosureLocation!$B$3, ClosureLocation!$B$6 &lt;= Table4[[#This Row],[StartMP]], ClosureLocation!$B$6 &gt;= Table4[[#This Row],[EndMP]]), "Yes", "")</f>
        <v/>
      </c>
      <c r="R1476" s="1" t="str">
        <f>IF( OR( Table4[[#This Row],[PrimaryMatch]]="Yes", Table4[[#This Row],[SecondaryMatch]]="Yes"), "Yes", "")</f>
        <v/>
      </c>
    </row>
    <row r="1477" spans="1:18" hidden="1" x14ac:dyDescent="0.25">
      <c r="A1477" t="s">
        <v>776</v>
      </c>
      <c r="B1477" t="s">
        <v>3205</v>
      </c>
      <c r="C1477" t="s">
        <v>3222</v>
      </c>
      <c r="D1477" t="s">
        <v>3748</v>
      </c>
      <c r="E1477" s="1">
        <v>1.5409999999999999</v>
      </c>
      <c r="F1477" s="1">
        <v>2.194</v>
      </c>
      <c r="K1477" s="39">
        <f>DefaultValues!$B$4</f>
        <v>5</v>
      </c>
      <c r="L1477" s="1">
        <f>DefaultValues!$C$4</f>
        <v>0.5</v>
      </c>
      <c r="M1477" s="1" t="str">
        <f>DefaultValues!$D$4</f>
        <v xml:space="preserve">- Within interchange - </v>
      </c>
      <c r="N1477" s="1">
        <v>1.5409999999999999</v>
      </c>
      <c r="O1477" s="1">
        <f>ABS(Table4[[#This Row],[EndMP]]-Table4[[#This Row],[StartMP]])</f>
        <v>0.65300000000000002</v>
      </c>
      <c r="P1477" s="1" t="str">
        <f>IF( AND( Table4[[#This Row],[Route]]=ClosureLocation!$B$3, ClosureLocation!$B$6 &gt;= Table4[[#This Row],[StartMP]], ClosureLocation!$B$6 &lt;= Table4[[#This Row],[EndMP]]), "Yes", "")</f>
        <v/>
      </c>
      <c r="Q1477" s="1" t="str">
        <f>IF( AND( Table4[[#This Row],[Route]]=ClosureLocation!$B$3, ClosureLocation!$B$6 &lt;= Table4[[#This Row],[StartMP]], ClosureLocation!$B$6 &gt;= Table4[[#This Row],[EndMP]]), "Yes", "")</f>
        <v/>
      </c>
      <c r="R1477" s="1" t="str">
        <f>IF( OR( Table4[[#This Row],[PrimaryMatch]]="Yes", Table4[[#This Row],[SecondaryMatch]]="Yes"), "Yes", "")</f>
        <v/>
      </c>
    </row>
    <row r="1478" spans="1:18" hidden="1" x14ac:dyDescent="0.25">
      <c r="A1478" t="s">
        <v>776</v>
      </c>
      <c r="B1478" t="s">
        <v>3205</v>
      </c>
      <c r="C1478" t="s">
        <v>3222</v>
      </c>
      <c r="D1478" t="s">
        <v>3748</v>
      </c>
      <c r="E1478" s="1">
        <v>10.819000000000001</v>
      </c>
      <c r="F1478" s="1">
        <v>11.355</v>
      </c>
      <c r="K1478" s="39">
        <f>DefaultValues!$B$4</f>
        <v>5</v>
      </c>
      <c r="L1478" s="1">
        <f>DefaultValues!$C$4</f>
        <v>0.5</v>
      </c>
      <c r="M1478" s="1" t="str">
        <f>DefaultValues!$D$4</f>
        <v xml:space="preserve">- Within interchange - </v>
      </c>
      <c r="N1478" s="1">
        <v>10.819000000000001</v>
      </c>
      <c r="O1478" s="1">
        <f>ABS(Table4[[#This Row],[EndMP]]-Table4[[#This Row],[StartMP]])</f>
        <v>0.53599999999999959</v>
      </c>
      <c r="P1478" s="1" t="str">
        <f>IF( AND( Table4[[#This Row],[Route]]=ClosureLocation!$B$3, ClosureLocation!$B$6 &gt;= Table4[[#This Row],[StartMP]], ClosureLocation!$B$6 &lt;= Table4[[#This Row],[EndMP]]), "Yes", "")</f>
        <v/>
      </c>
      <c r="Q1478" s="1" t="str">
        <f>IF( AND( Table4[[#This Row],[Route]]=ClosureLocation!$B$3, ClosureLocation!$B$6 &lt;= Table4[[#This Row],[StartMP]], ClosureLocation!$B$6 &gt;= Table4[[#This Row],[EndMP]]), "Yes", "")</f>
        <v/>
      </c>
      <c r="R1478" s="1" t="str">
        <f>IF( OR( Table4[[#This Row],[PrimaryMatch]]="Yes", Table4[[#This Row],[SecondaryMatch]]="Yes"), "Yes", "")</f>
        <v/>
      </c>
    </row>
    <row r="1479" spans="1:18" hidden="1" x14ac:dyDescent="0.25">
      <c r="A1479" t="s">
        <v>776</v>
      </c>
      <c r="B1479" t="s">
        <v>3205</v>
      </c>
      <c r="C1479" t="s">
        <v>3222</v>
      </c>
      <c r="D1479" t="s">
        <v>3748</v>
      </c>
      <c r="E1479" s="1">
        <v>14.936999999999999</v>
      </c>
      <c r="F1479" s="1">
        <v>15.180999999999999</v>
      </c>
      <c r="K1479" s="39">
        <f>DefaultValues!$B$4</f>
        <v>5</v>
      </c>
      <c r="L1479" s="1">
        <f>DefaultValues!$C$4</f>
        <v>0.5</v>
      </c>
      <c r="M1479" s="1" t="str">
        <f>DefaultValues!$D$4</f>
        <v xml:space="preserve">- Within interchange - </v>
      </c>
      <c r="N1479" s="1">
        <v>14.936999999999999</v>
      </c>
      <c r="O1479" s="1">
        <f>ABS(Table4[[#This Row],[EndMP]]-Table4[[#This Row],[StartMP]])</f>
        <v>0.24399999999999977</v>
      </c>
      <c r="P1479" s="1" t="str">
        <f>IF( AND( Table4[[#This Row],[Route]]=ClosureLocation!$B$3, ClosureLocation!$B$6 &gt;= Table4[[#This Row],[StartMP]], ClosureLocation!$B$6 &lt;= Table4[[#This Row],[EndMP]]), "Yes", "")</f>
        <v/>
      </c>
      <c r="Q1479" s="1" t="str">
        <f>IF( AND( Table4[[#This Row],[Route]]=ClosureLocation!$B$3, ClosureLocation!$B$6 &lt;= Table4[[#This Row],[StartMP]], ClosureLocation!$B$6 &gt;= Table4[[#This Row],[EndMP]]), "Yes", "")</f>
        <v/>
      </c>
      <c r="R1479" s="1" t="str">
        <f>IF( OR( Table4[[#This Row],[PrimaryMatch]]="Yes", Table4[[#This Row],[SecondaryMatch]]="Yes"), "Yes", "")</f>
        <v/>
      </c>
    </row>
    <row r="1480" spans="1:18" hidden="1" x14ac:dyDescent="0.25">
      <c r="A1480" t="s">
        <v>776</v>
      </c>
      <c r="B1480" t="s">
        <v>3205</v>
      </c>
      <c r="C1480" t="s">
        <v>3222</v>
      </c>
      <c r="D1480" t="s">
        <v>3748</v>
      </c>
      <c r="E1480" s="1">
        <v>19.149000000000001</v>
      </c>
      <c r="F1480" s="1">
        <v>19.775998999999999</v>
      </c>
      <c r="K1480" s="39">
        <f>DefaultValues!$B$4</f>
        <v>5</v>
      </c>
      <c r="L1480" s="1">
        <f>DefaultValues!$C$4</f>
        <v>0.5</v>
      </c>
      <c r="M1480" s="1" t="str">
        <f>DefaultValues!$D$4</f>
        <v xml:space="preserve">- Within interchange - </v>
      </c>
      <c r="N1480" s="1">
        <v>19.149000000000001</v>
      </c>
      <c r="O1480" s="1">
        <f>ABS(Table4[[#This Row],[EndMP]]-Table4[[#This Row],[StartMP]])</f>
        <v>0.62699899999999786</v>
      </c>
      <c r="P1480" s="1" t="str">
        <f>IF( AND( Table4[[#This Row],[Route]]=ClosureLocation!$B$3, ClosureLocation!$B$6 &gt;= Table4[[#This Row],[StartMP]], ClosureLocation!$B$6 &lt;= Table4[[#This Row],[EndMP]]), "Yes", "")</f>
        <v/>
      </c>
      <c r="Q1480" s="1" t="str">
        <f>IF( AND( Table4[[#This Row],[Route]]=ClosureLocation!$B$3, ClosureLocation!$B$6 &lt;= Table4[[#This Row],[StartMP]], ClosureLocation!$B$6 &gt;= Table4[[#This Row],[EndMP]]), "Yes", "")</f>
        <v/>
      </c>
      <c r="R1480" s="1" t="str">
        <f>IF( OR( Table4[[#This Row],[PrimaryMatch]]="Yes", Table4[[#This Row],[SecondaryMatch]]="Yes"), "Yes", "")</f>
        <v/>
      </c>
    </row>
    <row r="1481" spans="1:18" hidden="1" x14ac:dyDescent="0.25">
      <c r="A1481" t="s">
        <v>776</v>
      </c>
      <c r="B1481" t="s">
        <v>3205</v>
      </c>
      <c r="C1481" t="s">
        <v>3222</v>
      </c>
      <c r="D1481" t="s">
        <v>3748</v>
      </c>
      <c r="E1481" s="1">
        <v>25.358000000000001</v>
      </c>
      <c r="F1481" s="1">
        <v>25.872</v>
      </c>
      <c r="K1481" s="39">
        <f>DefaultValues!$B$4</f>
        <v>5</v>
      </c>
      <c r="L1481" s="1">
        <f>DefaultValues!$C$4</f>
        <v>0.5</v>
      </c>
      <c r="M1481" s="1" t="str">
        <f>DefaultValues!$D$4</f>
        <v xml:space="preserve">- Within interchange - </v>
      </c>
      <c r="N1481" s="1">
        <v>25.358000000000001</v>
      </c>
      <c r="O1481" s="1">
        <f>ABS(Table4[[#This Row],[EndMP]]-Table4[[#This Row],[StartMP]])</f>
        <v>0.51399999999999935</v>
      </c>
      <c r="P1481" s="1" t="str">
        <f>IF( AND( Table4[[#This Row],[Route]]=ClosureLocation!$B$3, ClosureLocation!$B$6 &gt;= Table4[[#This Row],[StartMP]], ClosureLocation!$B$6 &lt;= Table4[[#This Row],[EndMP]]), "Yes", "")</f>
        <v/>
      </c>
      <c r="Q1481" s="1" t="str">
        <f>IF( AND( Table4[[#This Row],[Route]]=ClosureLocation!$B$3, ClosureLocation!$B$6 &lt;= Table4[[#This Row],[StartMP]], ClosureLocation!$B$6 &gt;= Table4[[#This Row],[EndMP]]), "Yes", "")</f>
        <v/>
      </c>
      <c r="R1481" s="1" t="str">
        <f>IF( OR( Table4[[#This Row],[PrimaryMatch]]="Yes", Table4[[#This Row],[SecondaryMatch]]="Yes"), "Yes", "")</f>
        <v/>
      </c>
    </row>
    <row r="1482" spans="1:18" hidden="1" x14ac:dyDescent="0.25">
      <c r="A1482" t="s">
        <v>776</v>
      </c>
      <c r="B1482" t="s">
        <v>3205</v>
      </c>
      <c r="C1482" t="s">
        <v>3222</v>
      </c>
      <c r="D1482" t="s">
        <v>3748</v>
      </c>
      <c r="E1482" s="1">
        <v>27.353000999999999</v>
      </c>
      <c r="F1482" s="1">
        <v>27.709999</v>
      </c>
      <c r="K1482" s="39">
        <f>DefaultValues!$B$4</f>
        <v>5</v>
      </c>
      <c r="L1482" s="1">
        <f>DefaultValues!$C$4</f>
        <v>0.5</v>
      </c>
      <c r="M1482" s="1" t="str">
        <f>DefaultValues!$D$4</f>
        <v xml:space="preserve">- Within interchange - </v>
      </c>
      <c r="N1482" s="1">
        <v>27.353000999999999</v>
      </c>
      <c r="O1482" s="1">
        <f>ABS(Table4[[#This Row],[EndMP]]-Table4[[#This Row],[StartMP]])</f>
        <v>0.35699800000000081</v>
      </c>
      <c r="P1482" s="1" t="str">
        <f>IF( AND( Table4[[#This Row],[Route]]=ClosureLocation!$B$3, ClosureLocation!$B$6 &gt;= Table4[[#This Row],[StartMP]], ClosureLocation!$B$6 &lt;= Table4[[#This Row],[EndMP]]), "Yes", "")</f>
        <v/>
      </c>
      <c r="Q1482" s="1" t="str">
        <f>IF( AND( Table4[[#This Row],[Route]]=ClosureLocation!$B$3, ClosureLocation!$B$6 &lt;= Table4[[#This Row],[StartMP]], ClosureLocation!$B$6 &gt;= Table4[[#This Row],[EndMP]]), "Yes", "")</f>
        <v/>
      </c>
      <c r="R1482" s="1" t="str">
        <f>IF( OR( Table4[[#This Row],[PrimaryMatch]]="Yes", Table4[[#This Row],[SecondaryMatch]]="Yes"), "Yes", "")</f>
        <v/>
      </c>
    </row>
    <row r="1483" spans="1:18" hidden="1" x14ac:dyDescent="0.25">
      <c r="A1483" t="s">
        <v>776</v>
      </c>
      <c r="B1483" t="s">
        <v>3205</v>
      </c>
      <c r="C1483" t="s">
        <v>3222</v>
      </c>
      <c r="D1483" t="s">
        <v>3748</v>
      </c>
      <c r="E1483" s="1">
        <v>31.214001</v>
      </c>
      <c r="F1483" s="1">
        <v>31.582001000000002</v>
      </c>
      <c r="K1483" s="39">
        <f>DefaultValues!$B$4</f>
        <v>5</v>
      </c>
      <c r="L1483" s="1">
        <f>DefaultValues!$C$4</f>
        <v>0.5</v>
      </c>
      <c r="M1483" s="1" t="str">
        <f>DefaultValues!$D$4</f>
        <v xml:space="preserve">- Within interchange - </v>
      </c>
      <c r="N1483" s="1">
        <v>31.214001</v>
      </c>
      <c r="O1483" s="1">
        <f>ABS(Table4[[#This Row],[EndMP]]-Table4[[#This Row],[StartMP]])</f>
        <v>0.3680000000000021</v>
      </c>
      <c r="P1483" s="1" t="str">
        <f>IF( AND( Table4[[#This Row],[Route]]=ClosureLocation!$B$3, ClosureLocation!$B$6 &gt;= Table4[[#This Row],[StartMP]], ClosureLocation!$B$6 &lt;= Table4[[#This Row],[EndMP]]), "Yes", "")</f>
        <v/>
      </c>
      <c r="Q1483" s="1" t="str">
        <f>IF( AND( Table4[[#This Row],[Route]]=ClosureLocation!$B$3, ClosureLocation!$B$6 &lt;= Table4[[#This Row],[StartMP]], ClosureLocation!$B$6 &gt;= Table4[[#This Row],[EndMP]]), "Yes", "")</f>
        <v/>
      </c>
      <c r="R1483" s="1" t="str">
        <f>IF( OR( Table4[[#This Row],[PrimaryMatch]]="Yes", Table4[[#This Row],[SecondaryMatch]]="Yes"), "Yes", "")</f>
        <v/>
      </c>
    </row>
    <row r="1484" spans="1:18" hidden="1" x14ac:dyDescent="0.25">
      <c r="A1484" t="s">
        <v>776</v>
      </c>
      <c r="B1484" t="s">
        <v>3205</v>
      </c>
      <c r="C1484" t="s">
        <v>3222</v>
      </c>
      <c r="D1484" t="s">
        <v>3748</v>
      </c>
      <c r="E1484" s="1">
        <v>32.709000000000003</v>
      </c>
      <c r="F1484" s="1">
        <v>33</v>
      </c>
      <c r="K1484" s="39">
        <f>DefaultValues!$B$4</f>
        <v>5</v>
      </c>
      <c r="L1484" s="1">
        <f>DefaultValues!$C$4</f>
        <v>0.5</v>
      </c>
      <c r="M1484" s="1" t="str">
        <f>DefaultValues!$D$4</f>
        <v xml:space="preserve">- Within interchange - </v>
      </c>
      <c r="N1484" s="1">
        <v>32.709000000000003</v>
      </c>
      <c r="O1484" s="1">
        <f>ABS(Table4[[#This Row],[EndMP]]-Table4[[#This Row],[StartMP]])</f>
        <v>0.29099999999999682</v>
      </c>
      <c r="P1484" s="1" t="str">
        <f>IF( AND( Table4[[#This Row],[Route]]=ClosureLocation!$B$3, ClosureLocation!$B$6 &gt;= Table4[[#This Row],[StartMP]], ClosureLocation!$B$6 &lt;= Table4[[#This Row],[EndMP]]), "Yes", "")</f>
        <v/>
      </c>
      <c r="Q1484" s="1" t="str">
        <f>IF( AND( Table4[[#This Row],[Route]]=ClosureLocation!$B$3, ClosureLocation!$B$6 &lt;= Table4[[#This Row],[StartMP]], ClosureLocation!$B$6 &gt;= Table4[[#This Row],[EndMP]]), "Yes", "")</f>
        <v/>
      </c>
      <c r="R1484" s="1" t="str">
        <f>IF( OR( Table4[[#This Row],[PrimaryMatch]]="Yes", Table4[[#This Row],[SecondaryMatch]]="Yes"), "Yes", "")</f>
        <v/>
      </c>
    </row>
    <row r="1485" spans="1:18" hidden="1" x14ac:dyDescent="0.25">
      <c r="A1485" t="s">
        <v>776</v>
      </c>
      <c r="B1485" t="s">
        <v>3205</v>
      </c>
      <c r="C1485" t="s">
        <v>3222</v>
      </c>
      <c r="D1485" t="s">
        <v>3748</v>
      </c>
      <c r="E1485" s="1">
        <v>36.573002000000002</v>
      </c>
      <c r="F1485" s="1">
        <v>36.798999999999999</v>
      </c>
      <c r="K1485" s="39">
        <f>DefaultValues!$B$4</f>
        <v>5</v>
      </c>
      <c r="L1485" s="1">
        <f>DefaultValues!$C$4</f>
        <v>0.5</v>
      </c>
      <c r="M1485" s="1" t="str">
        <f>DefaultValues!$D$4</f>
        <v xml:space="preserve">- Within interchange - </v>
      </c>
      <c r="N1485" s="1">
        <v>36.573002000000002</v>
      </c>
      <c r="O1485" s="1">
        <f>ABS(Table4[[#This Row],[EndMP]]-Table4[[#This Row],[StartMP]])</f>
        <v>0.22599799999999703</v>
      </c>
      <c r="P1485" s="1" t="str">
        <f>IF( AND( Table4[[#This Row],[Route]]=ClosureLocation!$B$3, ClosureLocation!$B$6 &gt;= Table4[[#This Row],[StartMP]], ClosureLocation!$B$6 &lt;= Table4[[#This Row],[EndMP]]), "Yes", "")</f>
        <v/>
      </c>
      <c r="Q1485" s="1" t="str">
        <f>IF( AND( Table4[[#This Row],[Route]]=ClosureLocation!$B$3, ClosureLocation!$B$6 &lt;= Table4[[#This Row],[StartMP]], ClosureLocation!$B$6 &gt;= Table4[[#This Row],[EndMP]]), "Yes", "")</f>
        <v/>
      </c>
      <c r="R1485" s="1" t="str">
        <f>IF( OR( Table4[[#This Row],[PrimaryMatch]]="Yes", Table4[[#This Row],[SecondaryMatch]]="Yes"), "Yes", "")</f>
        <v/>
      </c>
    </row>
    <row r="1486" spans="1:18" hidden="1" x14ac:dyDescent="0.25">
      <c r="A1486" t="s">
        <v>776</v>
      </c>
      <c r="B1486" t="s">
        <v>3205</v>
      </c>
      <c r="C1486" t="s">
        <v>3222</v>
      </c>
      <c r="D1486" t="s">
        <v>3748</v>
      </c>
      <c r="E1486" s="1">
        <v>41.353000999999999</v>
      </c>
      <c r="F1486" s="1">
        <v>41.771999000000001</v>
      </c>
      <c r="K1486" s="39">
        <f>DefaultValues!$B$4</f>
        <v>5</v>
      </c>
      <c r="L1486" s="1">
        <f>DefaultValues!$C$4</f>
        <v>0.5</v>
      </c>
      <c r="M1486" s="1" t="str">
        <f>DefaultValues!$D$4</f>
        <v xml:space="preserve">- Within interchange - </v>
      </c>
      <c r="N1486" s="1">
        <v>41.353000999999999</v>
      </c>
      <c r="O1486" s="1">
        <f>ABS(Table4[[#This Row],[EndMP]]-Table4[[#This Row],[StartMP]])</f>
        <v>0.41899800000000198</v>
      </c>
      <c r="P1486" s="1" t="str">
        <f>IF( AND( Table4[[#This Row],[Route]]=ClosureLocation!$B$3, ClosureLocation!$B$6 &gt;= Table4[[#This Row],[StartMP]], ClosureLocation!$B$6 &lt;= Table4[[#This Row],[EndMP]]), "Yes", "")</f>
        <v/>
      </c>
      <c r="Q1486" s="1" t="str">
        <f>IF( AND( Table4[[#This Row],[Route]]=ClosureLocation!$B$3, ClosureLocation!$B$6 &lt;= Table4[[#This Row],[StartMP]], ClosureLocation!$B$6 &gt;= Table4[[#This Row],[EndMP]]), "Yes", "")</f>
        <v/>
      </c>
      <c r="R1486" s="1" t="str">
        <f>IF( OR( Table4[[#This Row],[PrimaryMatch]]="Yes", Table4[[#This Row],[SecondaryMatch]]="Yes"), "Yes", "")</f>
        <v/>
      </c>
    </row>
    <row r="1487" spans="1:18" hidden="1" x14ac:dyDescent="0.25">
      <c r="A1487" t="s">
        <v>776</v>
      </c>
      <c r="B1487" t="s">
        <v>3205</v>
      </c>
      <c r="C1487" t="s">
        <v>3222</v>
      </c>
      <c r="D1487" t="s">
        <v>3748</v>
      </c>
      <c r="E1487" s="1">
        <v>45.112000000000002</v>
      </c>
      <c r="F1487" s="1">
        <v>45.391998000000001</v>
      </c>
      <c r="K1487" s="39">
        <f>DefaultValues!$B$4</f>
        <v>5</v>
      </c>
      <c r="L1487" s="1">
        <f>DefaultValues!$C$4</f>
        <v>0.5</v>
      </c>
      <c r="M1487" s="1" t="str">
        <f>DefaultValues!$D$4</f>
        <v xml:space="preserve">- Within interchange - </v>
      </c>
      <c r="N1487" s="1">
        <v>45.112000000000002</v>
      </c>
      <c r="O1487" s="1">
        <f>ABS(Table4[[#This Row],[EndMP]]-Table4[[#This Row],[StartMP]])</f>
        <v>0.27999799999999908</v>
      </c>
      <c r="P1487" s="1" t="str">
        <f>IF( AND( Table4[[#This Row],[Route]]=ClosureLocation!$B$3, ClosureLocation!$B$6 &gt;= Table4[[#This Row],[StartMP]], ClosureLocation!$B$6 &lt;= Table4[[#This Row],[EndMP]]), "Yes", "")</f>
        <v/>
      </c>
      <c r="Q1487" s="1" t="str">
        <f>IF( AND( Table4[[#This Row],[Route]]=ClosureLocation!$B$3, ClosureLocation!$B$6 &lt;= Table4[[#This Row],[StartMP]], ClosureLocation!$B$6 &gt;= Table4[[#This Row],[EndMP]]), "Yes", "")</f>
        <v/>
      </c>
      <c r="R1487" s="1" t="str">
        <f>IF( OR( Table4[[#This Row],[PrimaryMatch]]="Yes", Table4[[#This Row],[SecondaryMatch]]="Yes"), "Yes", "")</f>
        <v/>
      </c>
    </row>
    <row r="1488" spans="1:18" hidden="1" x14ac:dyDescent="0.25">
      <c r="A1488" t="s">
        <v>776</v>
      </c>
      <c r="B1488" t="s">
        <v>3205</v>
      </c>
      <c r="C1488" t="s">
        <v>3222</v>
      </c>
      <c r="D1488" t="s">
        <v>3748</v>
      </c>
      <c r="E1488" s="1">
        <v>48.950001</v>
      </c>
      <c r="F1488" s="1">
        <v>49.120998</v>
      </c>
      <c r="K1488" s="39">
        <f>DefaultValues!$B$4</f>
        <v>5</v>
      </c>
      <c r="L1488" s="1">
        <f>DefaultValues!$C$4</f>
        <v>0.5</v>
      </c>
      <c r="M1488" s="1" t="str">
        <f>DefaultValues!$D$4</f>
        <v xml:space="preserve">- Within interchange - </v>
      </c>
      <c r="N1488" s="1">
        <v>48.950001</v>
      </c>
      <c r="O1488" s="1">
        <f>ABS(Table4[[#This Row],[EndMP]]-Table4[[#This Row],[StartMP]])</f>
        <v>0.17099699999999984</v>
      </c>
      <c r="P1488" s="1" t="str">
        <f>IF( AND( Table4[[#This Row],[Route]]=ClosureLocation!$B$3, ClosureLocation!$B$6 &gt;= Table4[[#This Row],[StartMP]], ClosureLocation!$B$6 &lt;= Table4[[#This Row],[EndMP]]), "Yes", "")</f>
        <v/>
      </c>
      <c r="Q1488" s="1" t="str">
        <f>IF( AND( Table4[[#This Row],[Route]]=ClosureLocation!$B$3, ClosureLocation!$B$6 &lt;= Table4[[#This Row],[StartMP]], ClosureLocation!$B$6 &gt;= Table4[[#This Row],[EndMP]]), "Yes", "")</f>
        <v/>
      </c>
      <c r="R1488" s="1" t="str">
        <f>IF( OR( Table4[[#This Row],[PrimaryMatch]]="Yes", Table4[[#This Row],[SecondaryMatch]]="Yes"), "Yes", "")</f>
        <v/>
      </c>
    </row>
    <row r="1489" spans="1:18" hidden="1" x14ac:dyDescent="0.25">
      <c r="A1489" t="s">
        <v>776</v>
      </c>
      <c r="B1489" t="s">
        <v>3205</v>
      </c>
      <c r="C1489" t="s">
        <v>3222</v>
      </c>
      <c r="D1489" t="s">
        <v>3748</v>
      </c>
      <c r="E1489" s="1">
        <v>61.241000999999997</v>
      </c>
      <c r="F1489" s="1">
        <v>61.966999000000001</v>
      </c>
      <c r="K1489" s="39">
        <f>DefaultValues!$B$4</f>
        <v>5</v>
      </c>
      <c r="L1489" s="1">
        <f>DefaultValues!$C$4</f>
        <v>0.5</v>
      </c>
      <c r="M1489" s="1" t="str">
        <f>DefaultValues!$D$4</f>
        <v xml:space="preserve">- Within interchange - </v>
      </c>
      <c r="N1489" s="1">
        <v>61.241000999999997</v>
      </c>
      <c r="O1489" s="1">
        <f>ABS(Table4[[#This Row],[EndMP]]-Table4[[#This Row],[StartMP]])</f>
        <v>0.72599800000000414</v>
      </c>
      <c r="P1489" s="1" t="str">
        <f>IF( AND( Table4[[#This Row],[Route]]=ClosureLocation!$B$3, ClosureLocation!$B$6 &gt;= Table4[[#This Row],[StartMP]], ClosureLocation!$B$6 &lt;= Table4[[#This Row],[EndMP]]), "Yes", "")</f>
        <v/>
      </c>
      <c r="Q1489" s="1" t="str">
        <f>IF( AND( Table4[[#This Row],[Route]]=ClosureLocation!$B$3, ClosureLocation!$B$6 &lt;= Table4[[#This Row],[StartMP]], ClosureLocation!$B$6 &gt;= Table4[[#This Row],[EndMP]]), "Yes", "")</f>
        <v/>
      </c>
      <c r="R1489" s="1" t="str">
        <f>IF( OR( Table4[[#This Row],[PrimaryMatch]]="Yes", Table4[[#This Row],[SecondaryMatch]]="Yes"), "Yes", "")</f>
        <v/>
      </c>
    </row>
    <row r="1490" spans="1:18" hidden="1" x14ac:dyDescent="0.25">
      <c r="A1490" t="s">
        <v>776</v>
      </c>
      <c r="B1490" t="s">
        <v>3205</v>
      </c>
      <c r="C1490" t="s">
        <v>3222</v>
      </c>
      <c r="D1490" t="s">
        <v>3748</v>
      </c>
      <c r="E1490" s="1">
        <v>74.429001</v>
      </c>
      <c r="F1490" s="1">
        <v>74.930000000000007</v>
      </c>
      <c r="K1490" s="39">
        <f>DefaultValues!$B$4</f>
        <v>5</v>
      </c>
      <c r="L1490" s="1">
        <f>DefaultValues!$C$4</f>
        <v>0.5</v>
      </c>
      <c r="M1490" s="1" t="str">
        <f>DefaultValues!$D$4</f>
        <v xml:space="preserve">- Within interchange - </v>
      </c>
      <c r="N1490" s="1">
        <v>74.429001</v>
      </c>
      <c r="O1490" s="1">
        <f>ABS(Table4[[#This Row],[EndMP]]-Table4[[#This Row],[StartMP]])</f>
        <v>0.5009990000000073</v>
      </c>
      <c r="P1490" s="1" t="str">
        <f>IF( AND( Table4[[#This Row],[Route]]=ClosureLocation!$B$3, ClosureLocation!$B$6 &gt;= Table4[[#This Row],[StartMP]], ClosureLocation!$B$6 &lt;= Table4[[#This Row],[EndMP]]), "Yes", "")</f>
        <v/>
      </c>
      <c r="Q1490" s="1" t="str">
        <f>IF( AND( Table4[[#This Row],[Route]]=ClosureLocation!$B$3, ClosureLocation!$B$6 &lt;= Table4[[#This Row],[StartMP]], ClosureLocation!$B$6 &gt;= Table4[[#This Row],[EndMP]]), "Yes", "")</f>
        <v/>
      </c>
      <c r="R1490" s="1" t="str">
        <f>IF( OR( Table4[[#This Row],[PrimaryMatch]]="Yes", Table4[[#This Row],[SecondaryMatch]]="Yes"), "Yes", "")</f>
        <v/>
      </c>
    </row>
    <row r="1491" spans="1:18" hidden="1" x14ac:dyDescent="0.25">
      <c r="A1491" t="s">
        <v>776</v>
      </c>
      <c r="B1491" t="s">
        <v>3205</v>
      </c>
      <c r="C1491" t="s">
        <v>3222</v>
      </c>
      <c r="D1491" t="s">
        <v>3748</v>
      </c>
      <c r="E1491" s="1">
        <v>81.088997000000006</v>
      </c>
      <c r="F1491" s="1">
        <v>81.523003000000003</v>
      </c>
      <c r="K1491" s="39">
        <f>DefaultValues!$B$4</f>
        <v>5</v>
      </c>
      <c r="L1491" s="1">
        <f>DefaultValues!$C$4</f>
        <v>0.5</v>
      </c>
      <c r="M1491" s="1" t="str">
        <f>DefaultValues!$D$4</f>
        <v xml:space="preserve">- Within interchange - </v>
      </c>
      <c r="N1491" s="1">
        <v>81.088997000000006</v>
      </c>
      <c r="O1491" s="1">
        <f>ABS(Table4[[#This Row],[EndMP]]-Table4[[#This Row],[StartMP]])</f>
        <v>0.43400599999999656</v>
      </c>
      <c r="P1491" s="1" t="str">
        <f>IF( AND( Table4[[#This Row],[Route]]=ClosureLocation!$B$3, ClosureLocation!$B$6 &gt;= Table4[[#This Row],[StartMP]], ClosureLocation!$B$6 &lt;= Table4[[#This Row],[EndMP]]), "Yes", "")</f>
        <v/>
      </c>
      <c r="Q1491" s="1" t="str">
        <f>IF( AND( Table4[[#This Row],[Route]]=ClosureLocation!$B$3, ClosureLocation!$B$6 &lt;= Table4[[#This Row],[StartMP]], ClosureLocation!$B$6 &gt;= Table4[[#This Row],[EndMP]]), "Yes", "")</f>
        <v/>
      </c>
      <c r="R1491" s="1" t="str">
        <f>IF( OR( Table4[[#This Row],[PrimaryMatch]]="Yes", Table4[[#This Row],[SecondaryMatch]]="Yes"), "Yes", "")</f>
        <v/>
      </c>
    </row>
    <row r="1492" spans="1:18" hidden="1" x14ac:dyDescent="0.25">
      <c r="A1492" t="s">
        <v>776</v>
      </c>
      <c r="B1492" t="s">
        <v>3205</v>
      </c>
      <c r="C1492" t="s">
        <v>3222</v>
      </c>
      <c r="D1492" t="s">
        <v>3748</v>
      </c>
      <c r="E1492" s="1">
        <v>86.696999000000005</v>
      </c>
      <c r="F1492" s="1">
        <v>87.013000000000005</v>
      </c>
      <c r="K1492" s="39">
        <f>DefaultValues!$B$4</f>
        <v>5</v>
      </c>
      <c r="L1492" s="1">
        <f>DefaultValues!$C$4</f>
        <v>0.5</v>
      </c>
      <c r="M1492" s="1" t="str">
        <f>DefaultValues!$D$4</f>
        <v xml:space="preserve">- Within interchange - </v>
      </c>
      <c r="N1492" s="1">
        <v>86.696999000000005</v>
      </c>
      <c r="O1492" s="1">
        <f>ABS(Table4[[#This Row],[EndMP]]-Table4[[#This Row],[StartMP]])</f>
        <v>0.31600099999999998</v>
      </c>
      <c r="P1492" s="1" t="str">
        <f>IF( AND( Table4[[#This Row],[Route]]=ClosureLocation!$B$3, ClosureLocation!$B$6 &gt;= Table4[[#This Row],[StartMP]], ClosureLocation!$B$6 &lt;= Table4[[#This Row],[EndMP]]), "Yes", "")</f>
        <v/>
      </c>
      <c r="Q1492" s="1" t="str">
        <f>IF( AND( Table4[[#This Row],[Route]]=ClosureLocation!$B$3, ClosureLocation!$B$6 &lt;= Table4[[#This Row],[StartMP]], ClosureLocation!$B$6 &gt;= Table4[[#This Row],[EndMP]]), "Yes", "")</f>
        <v/>
      </c>
      <c r="R1492" s="1" t="str">
        <f>IF( OR( Table4[[#This Row],[PrimaryMatch]]="Yes", Table4[[#This Row],[SecondaryMatch]]="Yes"), "Yes", "")</f>
        <v/>
      </c>
    </row>
    <row r="1493" spans="1:18" hidden="1" x14ac:dyDescent="0.25">
      <c r="A1493" t="s">
        <v>776</v>
      </c>
      <c r="B1493" t="s">
        <v>3205</v>
      </c>
      <c r="C1493" t="s">
        <v>3222</v>
      </c>
      <c r="D1493" t="s">
        <v>3748</v>
      </c>
      <c r="E1493" s="1">
        <v>90.262000999999998</v>
      </c>
      <c r="F1493" s="1">
        <v>90.625</v>
      </c>
      <c r="K1493" s="39">
        <f>DefaultValues!$B$4</f>
        <v>5</v>
      </c>
      <c r="L1493" s="1">
        <f>DefaultValues!$C$4</f>
        <v>0.5</v>
      </c>
      <c r="M1493" s="1" t="str">
        <f>DefaultValues!$D$4</f>
        <v xml:space="preserve">- Within interchange - </v>
      </c>
      <c r="N1493" s="1">
        <v>90.262000999999998</v>
      </c>
      <c r="O1493" s="1">
        <f>ABS(Table4[[#This Row],[EndMP]]-Table4[[#This Row],[StartMP]])</f>
        <v>0.36299900000000207</v>
      </c>
      <c r="P1493" s="1" t="str">
        <f>IF( AND( Table4[[#This Row],[Route]]=ClosureLocation!$B$3, ClosureLocation!$B$6 &gt;= Table4[[#This Row],[StartMP]], ClosureLocation!$B$6 &lt;= Table4[[#This Row],[EndMP]]), "Yes", "")</f>
        <v/>
      </c>
      <c r="Q1493" s="1" t="str">
        <f>IF( AND( Table4[[#This Row],[Route]]=ClosureLocation!$B$3, ClosureLocation!$B$6 &lt;= Table4[[#This Row],[StartMP]], ClosureLocation!$B$6 &gt;= Table4[[#This Row],[EndMP]]), "Yes", "")</f>
        <v/>
      </c>
      <c r="R1493" s="1" t="str">
        <f>IF( OR( Table4[[#This Row],[PrimaryMatch]]="Yes", Table4[[#This Row],[SecondaryMatch]]="Yes"), "Yes", "")</f>
        <v/>
      </c>
    </row>
    <row r="1494" spans="1:18" hidden="1" x14ac:dyDescent="0.25">
      <c r="A1494" t="s">
        <v>776</v>
      </c>
      <c r="B1494" t="s">
        <v>3205</v>
      </c>
      <c r="C1494" t="s">
        <v>3222</v>
      </c>
      <c r="D1494" t="s">
        <v>3748</v>
      </c>
      <c r="E1494" s="1">
        <v>93.699996999999996</v>
      </c>
      <c r="F1494" s="1">
        <v>94.322997999999998</v>
      </c>
      <c r="K1494" s="39">
        <f>DefaultValues!$B$4</f>
        <v>5</v>
      </c>
      <c r="L1494" s="1">
        <f>DefaultValues!$C$4</f>
        <v>0.5</v>
      </c>
      <c r="M1494" s="1" t="str">
        <f>DefaultValues!$D$4</f>
        <v xml:space="preserve">- Within interchange - </v>
      </c>
      <c r="N1494" s="1">
        <v>93.699996999999996</v>
      </c>
      <c r="O1494" s="1">
        <f>ABS(Table4[[#This Row],[EndMP]]-Table4[[#This Row],[StartMP]])</f>
        <v>0.62300100000000214</v>
      </c>
      <c r="P1494" s="1" t="str">
        <f>IF( AND( Table4[[#This Row],[Route]]=ClosureLocation!$B$3, ClosureLocation!$B$6 &gt;= Table4[[#This Row],[StartMP]], ClosureLocation!$B$6 &lt;= Table4[[#This Row],[EndMP]]), "Yes", "")</f>
        <v/>
      </c>
      <c r="Q1494" s="1" t="str">
        <f>IF( AND( Table4[[#This Row],[Route]]=ClosureLocation!$B$3, ClosureLocation!$B$6 &lt;= Table4[[#This Row],[StartMP]], ClosureLocation!$B$6 &gt;= Table4[[#This Row],[EndMP]]), "Yes", "")</f>
        <v/>
      </c>
      <c r="R1494" s="1" t="str">
        <f>IF( OR( Table4[[#This Row],[PrimaryMatch]]="Yes", Table4[[#This Row],[SecondaryMatch]]="Yes"), "Yes", "")</f>
        <v/>
      </c>
    </row>
    <row r="1495" spans="1:18" hidden="1" x14ac:dyDescent="0.25">
      <c r="A1495" t="s">
        <v>776</v>
      </c>
      <c r="B1495" t="s">
        <v>3205</v>
      </c>
      <c r="C1495" t="s">
        <v>3222</v>
      </c>
      <c r="D1495" t="s">
        <v>3748</v>
      </c>
      <c r="E1495" s="1">
        <v>97.302002000000002</v>
      </c>
      <c r="F1495" s="1">
        <v>97.599997999999999</v>
      </c>
      <c r="K1495" s="39">
        <f>DefaultValues!$B$4</f>
        <v>5</v>
      </c>
      <c r="L1495" s="1">
        <f>DefaultValues!$C$4</f>
        <v>0.5</v>
      </c>
      <c r="M1495" s="1" t="str">
        <f>DefaultValues!$D$4</f>
        <v xml:space="preserve">- Within interchange - </v>
      </c>
      <c r="N1495" s="1">
        <v>97.302002000000002</v>
      </c>
      <c r="O1495" s="1">
        <f>ABS(Table4[[#This Row],[EndMP]]-Table4[[#This Row],[StartMP]])</f>
        <v>0.29799599999999771</v>
      </c>
      <c r="P1495" s="1" t="str">
        <f>IF( AND( Table4[[#This Row],[Route]]=ClosureLocation!$B$3, ClosureLocation!$B$6 &gt;= Table4[[#This Row],[StartMP]], ClosureLocation!$B$6 &lt;= Table4[[#This Row],[EndMP]]), "Yes", "")</f>
        <v/>
      </c>
      <c r="Q1495" s="1" t="str">
        <f>IF( AND( Table4[[#This Row],[Route]]=ClosureLocation!$B$3, ClosureLocation!$B$6 &lt;= Table4[[#This Row],[StartMP]], ClosureLocation!$B$6 &gt;= Table4[[#This Row],[EndMP]]), "Yes", "")</f>
        <v/>
      </c>
      <c r="R1495" s="1" t="str">
        <f>IF( OR( Table4[[#This Row],[PrimaryMatch]]="Yes", Table4[[#This Row],[SecondaryMatch]]="Yes"), "Yes", "")</f>
        <v/>
      </c>
    </row>
    <row r="1496" spans="1:18" hidden="1" x14ac:dyDescent="0.25">
      <c r="A1496" t="s">
        <v>776</v>
      </c>
      <c r="B1496" t="s">
        <v>3205</v>
      </c>
      <c r="C1496" t="s">
        <v>3222</v>
      </c>
      <c r="D1496" t="s">
        <v>3748</v>
      </c>
      <c r="E1496" s="1">
        <v>105.05500000000001</v>
      </c>
      <c r="F1496" s="1">
        <v>105.491997</v>
      </c>
      <c r="K1496" s="39">
        <f>DefaultValues!$B$4</f>
        <v>5</v>
      </c>
      <c r="L1496" s="1">
        <f>DefaultValues!$C$4</f>
        <v>0.5</v>
      </c>
      <c r="M1496" s="1" t="str">
        <f>DefaultValues!$D$4</f>
        <v xml:space="preserve">- Within interchange - </v>
      </c>
      <c r="N1496" s="1">
        <v>105.05500000000001</v>
      </c>
      <c r="O1496" s="1">
        <f>ABS(Table4[[#This Row],[EndMP]]-Table4[[#This Row],[StartMP]])</f>
        <v>0.43699699999999098</v>
      </c>
      <c r="P1496" s="1" t="str">
        <f>IF( AND( Table4[[#This Row],[Route]]=ClosureLocation!$B$3, ClosureLocation!$B$6 &gt;= Table4[[#This Row],[StartMP]], ClosureLocation!$B$6 &lt;= Table4[[#This Row],[EndMP]]), "Yes", "")</f>
        <v/>
      </c>
      <c r="Q1496" s="1" t="str">
        <f>IF( AND( Table4[[#This Row],[Route]]=ClosureLocation!$B$3, ClosureLocation!$B$6 &lt;= Table4[[#This Row],[StartMP]], ClosureLocation!$B$6 &gt;= Table4[[#This Row],[EndMP]]), "Yes", "")</f>
        <v/>
      </c>
      <c r="R1496" s="1" t="str">
        <f>IF( OR( Table4[[#This Row],[PrimaryMatch]]="Yes", Table4[[#This Row],[SecondaryMatch]]="Yes"), "Yes", "")</f>
        <v/>
      </c>
    </row>
    <row r="1497" spans="1:18" hidden="1" x14ac:dyDescent="0.25">
      <c r="A1497" t="s">
        <v>776</v>
      </c>
      <c r="B1497" t="s">
        <v>3205</v>
      </c>
      <c r="C1497" t="s">
        <v>3222</v>
      </c>
      <c r="D1497" t="s">
        <v>3748</v>
      </c>
      <c r="E1497" s="1">
        <v>108.883003</v>
      </c>
      <c r="F1497" s="1">
        <v>109.141998</v>
      </c>
      <c r="K1497" s="39">
        <f>DefaultValues!$B$4</f>
        <v>5</v>
      </c>
      <c r="L1497" s="1">
        <f>DefaultValues!$C$4</f>
        <v>0.5</v>
      </c>
      <c r="M1497" s="1" t="str">
        <f>DefaultValues!$D$4</f>
        <v xml:space="preserve">- Within interchange - </v>
      </c>
      <c r="N1497" s="1">
        <v>108.883003</v>
      </c>
      <c r="O1497" s="1">
        <f>ABS(Table4[[#This Row],[EndMP]]-Table4[[#This Row],[StartMP]])</f>
        <v>0.25899499999999875</v>
      </c>
      <c r="P1497" s="1" t="str">
        <f>IF( AND( Table4[[#This Row],[Route]]=ClosureLocation!$B$3, ClosureLocation!$B$6 &gt;= Table4[[#This Row],[StartMP]], ClosureLocation!$B$6 &lt;= Table4[[#This Row],[EndMP]]), "Yes", "")</f>
        <v/>
      </c>
      <c r="Q1497" s="1" t="str">
        <f>IF( AND( Table4[[#This Row],[Route]]=ClosureLocation!$B$3, ClosureLocation!$B$6 &lt;= Table4[[#This Row],[StartMP]], ClosureLocation!$B$6 &gt;= Table4[[#This Row],[EndMP]]), "Yes", "")</f>
        <v/>
      </c>
      <c r="R1497" s="1" t="str">
        <f>IF( OR( Table4[[#This Row],[PrimaryMatch]]="Yes", Table4[[#This Row],[SecondaryMatch]]="Yes"), "Yes", "")</f>
        <v/>
      </c>
    </row>
    <row r="1498" spans="1:18" hidden="1" x14ac:dyDescent="0.25">
      <c r="A1498" t="s">
        <v>776</v>
      </c>
      <c r="B1498" t="s">
        <v>3205</v>
      </c>
      <c r="C1498" t="s">
        <v>3222</v>
      </c>
      <c r="D1498" t="s">
        <v>3748</v>
      </c>
      <c r="E1498" s="1">
        <v>111.203003</v>
      </c>
      <c r="F1498" s="1">
        <v>111.55100299999999</v>
      </c>
      <c r="K1498" s="39">
        <f>DefaultValues!$B$4</f>
        <v>5</v>
      </c>
      <c r="L1498" s="1">
        <f>DefaultValues!$C$4</f>
        <v>0.5</v>
      </c>
      <c r="M1498" s="1" t="str">
        <f>DefaultValues!$D$4</f>
        <v xml:space="preserve">- Within interchange - </v>
      </c>
      <c r="N1498" s="1">
        <v>111.203003</v>
      </c>
      <c r="O1498" s="1">
        <f>ABS(Table4[[#This Row],[EndMP]]-Table4[[#This Row],[StartMP]])</f>
        <v>0.34799999999999898</v>
      </c>
      <c r="P1498" s="1" t="str">
        <f>IF( AND( Table4[[#This Row],[Route]]=ClosureLocation!$B$3, ClosureLocation!$B$6 &gt;= Table4[[#This Row],[StartMP]], ClosureLocation!$B$6 &lt;= Table4[[#This Row],[EndMP]]), "Yes", "")</f>
        <v/>
      </c>
      <c r="Q1498" s="1" t="str">
        <f>IF( AND( Table4[[#This Row],[Route]]=ClosureLocation!$B$3, ClosureLocation!$B$6 &lt;= Table4[[#This Row],[StartMP]], ClosureLocation!$B$6 &gt;= Table4[[#This Row],[EndMP]]), "Yes", "")</f>
        <v/>
      </c>
      <c r="R1498" s="1" t="str">
        <f>IF( OR( Table4[[#This Row],[PrimaryMatch]]="Yes", Table4[[#This Row],[SecondaryMatch]]="Yes"), "Yes", "")</f>
        <v/>
      </c>
    </row>
    <row r="1499" spans="1:18" hidden="1" x14ac:dyDescent="0.25">
      <c r="A1499" t="s">
        <v>776</v>
      </c>
      <c r="B1499" t="s">
        <v>3205</v>
      </c>
      <c r="C1499" t="s">
        <v>3222</v>
      </c>
      <c r="D1499" t="s">
        <v>3748</v>
      </c>
      <c r="E1499" s="1">
        <v>114.074997</v>
      </c>
      <c r="F1499" s="1">
        <v>114.50299800000001</v>
      </c>
      <c r="K1499" s="39">
        <f>DefaultValues!$B$4</f>
        <v>5</v>
      </c>
      <c r="L1499" s="1">
        <f>DefaultValues!$C$4</f>
        <v>0.5</v>
      </c>
      <c r="M1499" s="1" t="str">
        <f>DefaultValues!$D$4</f>
        <v xml:space="preserve">- Within interchange - </v>
      </c>
      <c r="N1499" s="1">
        <v>114.074997</v>
      </c>
      <c r="O1499" s="1">
        <f>ABS(Table4[[#This Row],[EndMP]]-Table4[[#This Row],[StartMP]])</f>
        <v>0.42800100000000896</v>
      </c>
      <c r="P1499" s="1" t="str">
        <f>IF( AND( Table4[[#This Row],[Route]]=ClosureLocation!$B$3, ClosureLocation!$B$6 &gt;= Table4[[#This Row],[StartMP]], ClosureLocation!$B$6 &lt;= Table4[[#This Row],[EndMP]]), "Yes", "")</f>
        <v/>
      </c>
      <c r="Q1499" s="1" t="str">
        <f>IF( AND( Table4[[#This Row],[Route]]=ClosureLocation!$B$3, ClosureLocation!$B$6 &lt;= Table4[[#This Row],[StartMP]], ClosureLocation!$B$6 &gt;= Table4[[#This Row],[EndMP]]), "Yes", "")</f>
        <v/>
      </c>
      <c r="R1499" s="1" t="str">
        <f>IF( OR( Table4[[#This Row],[PrimaryMatch]]="Yes", Table4[[#This Row],[SecondaryMatch]]="Yes"), "Yes", "")</f>
        <v/>
      </c>
    </row>
    <row r="1500" spans="1:18" hidden="1" x14ac:dyDescent="0.25">
      <c r="A1500" t="s">
        <v>776</v>
      </c>
      <c r="B1500" t="s">
        <v>3205</v>
      </c>
      <c r="C1500" t="s">
        <v>3222</v>
      </c>
      <c r="D1500" t="s">
        <v>3748</v>
      </c>
      <c r="E1500" s="1">
        <v>116.18499799999999</v>
      </c>
      <c r="F1500" s="1">
        <v>116.540001</v>
      </c>
      <c r="K1500" s="39">
        <f>DefaultValues!$B$4</f>
        <v>5</v>
      </c>
      <c r="L1500" s="1">
        <f>DefaultValues!$C$4</f>
        <v>0.5</v>
      </c>
      <c r="M1500" s="1" t="str">
        <f>DefaultValues!$D$4</f>
        <v xml:space="preserve">- Within interchange - </v>
      </c>
      <c r="N1500" s="1">
        <v>116.18499799999999</v>
      </c>
      <c r="O1500" s="1">
        <f>ABS(Table4[[#This Row],[EndMP]]-Table4[[#This Row],[StartMP]])</f>
        <v>0.35500300000001062</v>
      </c>
      <c r="P1500" s="1" t="str">
        <f>IF( AND( Table4[[#This Row],[Route]]=ClosureLocation!$B$3, ClosureLocation!$B$6 &gt;= Table4[[#This Row],[StartMP]], ClosureLocation!$B$6 &lt;= Table4[[#This Row],[EndMP]]), "Yes", "")</f>
        <v/>
      </c>
      <c r="Q1500" s="1" t="str">
        <f>IF( AND( Table4[[#This Row],[Route]]=ClosureLocation!$B$3, ClosureLocation!$B$6 &lt;= Table4[[#This Row],[StartMP]], ClosureLocation!$B$6 &gt;= Table4[[#This Row],[EndMP]]), "Yes", "")</f>
        <v/>
      </c>
      <c r="R1500" s="1" t="str">
        <f>IF( OR( Table4[[#This Row],[PrimaryMatch]]="Yes", Table4[[#This Row],[SecondaryMatch]]="Yes"), "Yes", "")</f>
        <v/>
      </c>
    </row>
    <row r="1501" spans="1:18" hidden="1" x14ac:dyDescent="0.25">
      <c r="A1501" t="s">
        <v>776</v>
      </c>
      <c r="B1501" t="s">
        <v>3205</v>
      </c>
      <c r="C1501" t="s">
        <v>3222</v>
      </c>
      <c r="D1501" t="s">
        <v>3748</v>
      </c>
      <c r="E1501" s="1">
        <v>118.527</v>
      </c>
      <c r="F1501" s="1">
        <v>118.80500000000001</v>
      </c>
      <c r="K1501" s="39">
        <f>DefaultValues!$B$4</f>
        <v>5</v>
      </c>
      <c r="L1501" s="1">
        <f>DefaultValues!$C$4</f>
        <v>0.5</v>
      </c>
      <c r="M1501" s="1" t="str">
        <f>DefaultValues!$D$4</f>
        <v xml:space="preserve">- Within interchange - </v>
      </c>
      <c r="N1501" s="1">
        <v>118.527</v>
      </c>
      <c r="O1501" s="1">
        <f>ABS(Table4[[#This Row],[EndMP]]-Table4[[#This Row],[StartMP]])</f>
        <v>0.2780000000000058</v>
      </c>
      <c r="P1501" s="1" t="str">
        <f>IF( AND( Table4[[#This Row],[Route]]=ClosureLocation!$B$3, ClosureLocation!$B$6 &gt;= Table4[[#This Row],[StartMP]], ClosureLocation!$B$6 &lt;= Table4[[#This Row],[EndMP]]), "Yes", "")</f>
        <v/>
      </c>
      <c r="Q1501" s="1" t="str">
        <f>IF( AND( Table4[[#This Row],[Route]]=ClosureLocation!$B$3, ClosureLocation!$B$6 &lt;= Table4[[#This Row],[StartMP]], ClosureLocation!$B$6 &gt;= Table4[[#This Row],[EndMP]]), "Yes", "")</f>
        <v/>
      </c>
      <c r="R1501" s="1" t="str">
        <f>IF( OR( Table4[[#This Row],[PrimaryMatch]]="Yes", Table4[[#This Row],[SecondaryMatch]]="Yes"), "Yes", "")</f>
        <v/>
      </c>
    </row>
    <row r="1502" spans="1:18" hidden="1" x14ac:dyDescent="0.25">
      <c r="A1502" t="s">
        <v>776</v>
      </c>
      <c r="B1502" t="s">
        <v>3205</v>
      </c>
      <c r="C1502" t="s">
        <v>3222</v>
      </c>
      <c r="D1502" t="s">
        <v>3748</v>
      </c>
      <c r="E1502" s="1">
        <v>128.26499899999999</v>
      </c>
      <c r="F1502" s="1">
        <v>128.67399599999999</v>
      </c>
      <c r="K1502" s="39">
        <f>DefaultValues!$B$4</f>
        <v>5</v>
      </c>
      <c r="L1502" s="1">
        <f>DefaultValues!$C$4</f>
        <v>0.5</v>
      </c>
      <c r="M1502" s="1" t="str">
        <f>DefaultValues!$D$4</f>
        <v xml:space="preserve">- Within interchange - </v>
      </c>
      <c r="N1502" s="1">
        <v>128.26499899999999</v>
      </c>
      <c r="O1502" s="1">
        <f>ABS(Table4[[#This Row],[EndMP]]-Table4[[#This Row],[StartMP]])</f>
        <v>0.40899699999999939</v>
      </c>
      <c r="P1502" s="1" t="str">
        <f>IF( AND( Table4[[#This Row],[Route]]=ClosureLocation!$B$3, ClosureLocation!$B$6 &gt;= Table4[[#This Row],[StartMP]], ClosureLocation!$B$6 &lt;= Table4[[#This Row],[EndMP]]), "Yes", "")</f>
        <v/>
      </c>
      <c r="Q1502" s="1" t="str">
        <f>IF( AND( Table4[[#This Row],[Route]]=ClosureLocation!$B$3, ClosureLocation!$B$6 &lt;= Table4[[#This Row],[StartMP]], ClosureLocation!$B$6 &gt;= Table4[[#This Row],[EndMP]]), "Yes", "")</f>
        <v/>
      </c>
      <c r="R1502" s="1" t="str">
        <f>IF( OR( Table4[[#This Row],[PrimaryMatch]]="Yes", Table4[[#This Row],[SecondaryMatch]]="Yes"), "Yes", "")</f>
        <v/>
      </c>
    </row>
    <row r="1503" spans="1:18" hidden="1" x14ac:dyDescent="0.25">
      <c r="A1503" t="s">
        <v>776</v>
      </c>
      <c r="B1503" t="s">
        <v>3205</v>
      </c>
      <c r="C1503" t="s">
        <v>3222</v>
      </c>
      <c r="D1503" t="s">
        <v>3748</v>
      </c>
      <c r="E1503" s="1">
        <v>133</v>
      </c>
      <c r="F1503" s="1">
        <v>134.05299400000001</v>
      </c>
      <c r="K1503" s="39">
        <f>DefaultValues!$B$4</f>
        <v>5</v>
      </c>
      <c r="L1503" s="1">
        <f>DefaultValues!$C$4</f>
        <v>0.5</v>
      </c>
      <c r="M1503" s="1" t="str">
        <f>DefaultValues!$D$4</f>
        <v xml:space="preserve">- Within interchange - </v>
      </c>
      <c r="N1503" s="1">
        <v>133</v>
      </c>
      <c r="O1503" s="1">
        <f>ABS(Table4[[#This Row],[EndMP]]-Table4[[#This Row],[StartMP]])</f>
        <v>1.0529940000000124</v>
      </c>
      <c r="P1503" s="1" t="str">
        <f>IF( AND( Table4[[#This Row],[Route]]=ClosureLocation!$B$3, ClosureLocation!$B$6 &gt;= Table4[[#This Row],[StartMP]], ClosureLocation!$B$6 &lt;= Table4[[#This Row],[EndMP]]), "Yes", "")</f>
        <v/>
      </c>
      <c r="Q1503" s="1" t="str">
        <f>IF( AND( Table4[[#This Row],[Route]]=ClosureLocation!$B$3, ClosureLocation!$B$6 &lt;= Table4[[#This Row],[StartMP]], ClosureLocation!$B$6 &gt;= Table4[[#This Row],[EndMP]]), "Yes", "")</f>
        <v/>
      </c>
      <c r="R1503" s="1" t="str">
        <f>IF( OR( Table4[[#This Row],[PrimaryMatch]]="Yes", Table4[[#This Row],[SecondaryMatch]]="Yes"), "Yes", "")</f>
        <v/>
      </c>
    </row>
    <row r="1504" spans="1:18" hidden="1" x14ac:dyDescent="0.25">
      <c r="A1504" t="s">
        <v>776</v>
      </c>
      <c r="B1504" t="s">
        <v>3205</v>
      </c>
      <c r="C1504" t="s">
        <v>3222</v>
      </c>
      <c r="D1504" t="s">
        <v>3748</v>
      </c>
      <c r="E1504" s="1">
        <v>139.28900100000001</v>
      </c>
      <c r="F1504" s="1">
        <v>139.871002</v>
      </c>
      <c r="K1504" s="39">
        <f>DefaultValues!$B$4</f>
        <v>5</v>
      </c>
      <c r="L1504" s="1">
        <f>DefaultValues!$C$4</f>
        <v>0.5</v>
      </c>
      <c r="M1504" s="1" t="str">
        <f>DefaultValues!$D$4</f>
        <v xml:space="preserve">- Within interchange - </v>
      </c>
      <c r="N1504" s="1">
        <v>139.28900100000001</v>
      </c>
      <c r="O1504" s="1">
        <f>ABS(Table4[[#This Row],[EndMP]]-Table4[[#This Row],[StartMP]])</f>
        <v>0.58200099999999111</v>
      </c>
      <c r="P1504" s="1" t="str">
        <f>IF( AND( Table4[[#This Row],[Route]]=ClosureLocation!$B$3, ClosureLocation!$B$6 &gt;= Table4[[#This Row],[StartMP]], ClosureLocation!$B$6 &lt;= Table4[[#This Row],[EndMP]]), "Yes", "")</f>
        <v/>
      </c>
      <c r="Q1504" s="1" t="str">
        <f>IF( AND( Table4[[#This Row],[Route]]=ClosureLocation!$B$3, ClosureLocation!$B$6 &lt;= Table4[[#This Row],[StartMP]], ClosureLocation!$B$6 &gt;= Table4[[#This Row],[EndMP]]), "Yes", "")</f>
        <v/>
      </c>
      <c r="R1504" s="1" t="str">
        <f>IF( OR( Table4[[#This Row],[PrimaryMatch]]="Yes", Table4[[#This Row],[SecondaryMatch]]="Yes"), "Yes", "")</f>
        <v/>
      </c>
    </row>
    <row r="1505" spans="1:18" hidden="1" x14ac:dyDescent="0.25">
      <c r="A1505" t="s">
        <v>776</v>
      </c>
      <c r="B1505" t="s">
        <v>3205</v>
      </c>
      <c r="C1505" t="s">
        <v>3222</v>
      </c>
      <c r="D1505" t="s">
        <v>3748</v>
      </c>
      <c r="E1505" s="1">
        <v>146.38699299999999</v>
      </c>
      <c r="F1505" s="1">
        <v>146.95399499999999</v>
      </c>
      <c r="K1505" s="39">
        <f>DefaultValues!$B$4</f>
        <v>5</v>
      </c>
      <c r="L1505" s="1">
        <f>DefaultValues!$C$4</f>
        <v>0.5</v>
      </c>
      <c r="M1505" s="1" t="str">
        <f>DefaultValues!$D$4</f>
        <v xml:space="preserve">- Within interchange - </v>
      </c>
      <c r="N1505" s="1">
        <v>146.38699299999999</v>
      </c>
      <c r="O1505" s="1">
        <f>ABS(Table4[[#This Row],[EndMP]]-Table4[[#This Row],[StartMP]])</f>
        <v>0.56700200000000223</v>
      </c>
      <c r="P1505" s="1" t="str">
        <f>IF( AND( Table4[[#This Row],[Route]]=ClosureLocation!$B$3, ClosureLocation!$B$6 &gt;= Table4[[#This Row],[StartMP]], ClosureLocation!$B$6 &lt;= Table4[[#This Row],[EndMP]]), "Yes", "")</f>
        <v/>
      </c>
      <c r="Q1505" s="1" t="str">
        <f>IF( AND( Table4[[#This Row],[Route]]=ClosureLocation!$B$3, ClosureLocation!$B$6 &lt;= Table4[[#This Row],[StartMP]], ClosureLocation!$B$6 &gt;= Table4[[#This Row],[EndMP]]), "Yes", "")</f>
        <v/>
      </c>
      <c r="R1505" s="1" t="str">
        <f>IF( OR( Table4[[#This Row],[PrimaryMatch]]="Yes", Table4[[#This Row],[SecondaryMatch]]="Yes"), "Yes", "")</f>
        <v/>
      </c>
    </row>
    <row r="1506" spans="1:18" hidden="1" x14ac:dyDescent="0.25">
      <c r="A1506" t="s">
        <v>776</v>
      </c>
      <c r="B1506" t="s">
        <v>3205</v>
      </c>
      <c r="C1506" t="s">
        <v>3222</v>
      </c>
      <c r="D1506" t="s">
        <v>3748</v>
      </c>
      <c r="E1506" s="1">
        <v>156.42399599999999</v>
      </c>
      <c r="F1506" s="1">
        <v>156.830994</v>
      </c>
      <c r="K1506" s="39">
        <f>DefaultValues!$B$4</f>
        <v>5</v>
      </c>
      <c r="L1506" s="1">
        <f>DefaultValues!$C$4</f>
        <v>0.5</v>
      </c>
      <c r="M1506" s="1" t="str">
        <f>DefaultValues!$D$4</f>
        <v xml:space="preserve">- Within interchange - </v>
      </c>
      <c r="N1506" s="1">
        <v>156.42399599999999</v>
      </c>
      <c r="O1506" s="1">
        <f>ABS(Table4[[#This Row],[EndMP]]-Table4[[#This Row],[StartMP]])</f>
        <v>0.40699800000001574</v>
      </c>
      <c r="P1506" s="1" t="str">
        <f>IF( AND( Table4[[#This Row],[Route]]=ClosureLocation!$B$3, ClosureLocation!$B$6 &gt;= Table4[[#This Row],[StartMP]], ClosureLocation!$B$6 &lt;= Table4[[#This Row],[EndMP]]), "Yes", "")</f>
        <v/>
      </c>
      <c r="Q1506" s="1" t="str">
        <f>IF( AND( Table4[[#This Row],[Route]]=ClosureLocation!$B$3, ClosureLocation!$B$6 &lt;= Table4[[#This Row],[StartMP]], ClosureLocation!$B$6 &gt;= Table4[[#This Row],[EndMP]]), "Yes", "")</f>
        <v/>
      </c>
      <c r="R1506" s="1" t="str">
        <f>IF( OR( Table4[[#This Row],[PrimaryMatch]]="Yes", Table4[[#This Row],[SecondaryMatch]]="Yes"), "Yes", "")</f>
        <v/>
      </c>
    </row>
    <row r="1507" spans="1:18" hidden="1" x14ac:dyDescent="0.25">
      <c r="A1507" t="s">
        <v>776</v>
      </c>
      <c r="B1507" t="s">
        <v>3205</v>
      </c>
      <c r="C1507" t="s">
        <v>3222</v>
      </c>
      <c r="D1507" t="s">
        <v>3748</v>
      </c>
      <c r="E1507" s="1">
        <v>162.55900600000001</v>
      </c>
      <c r="F1507" s="1">
        <v>163.04899599999999</v>
      </c>
      <c r="K1507" s="39">
        <f>DefaultValues!$B$4</f>
        <v>5</v>
      </c>
      <c r="L1507" s="1">
        <f>DefaultValues!$C$4</f>
        <v>0.5</v>
      </c>
      <c r="M1507" s="1" t="str">
        <f>DefaultValues!$D$4</f>
        <v xml:space="preserve">- Within interchange - </v>
      </c>
      <c r="N1507" s="1">
        <v>162.55900600000001</v>
      </c>
      <c r="O1507" s="1">
        <f>ABS(Table4[[#This Row],[EndMP]]-Table4[[#This Row],[StartMP]])</f>
        <v>0.4899899999999775</v>
      </c>
      <c r="P1507" s="1" t="str">
        <f>IF( AND( Table4[[#This Row],[Route]]=ClosureLocation!$B$3, ClosureLocation!$B$6 &gt;= Table4[[#This Row],[StartMP]], ClosureLocation!$B$6 &lt;= Table4[[#This Row],[EndMP]]), "Yes", "")</f>
        <v/>
      </c>
      <c r="Q1507" s="1" t="str">
        <f>IF( AND( Table4[[#This Row],[Route]]=ClosureLocation!$B$3, ClosureLocation!$B$6 &lt;= Table4[[#This Row],[StartMP]], ClosureLocation!$B$6 &gt;= Table4[[#This Row],[EndMP]]), "Yes", "")</f>
        <v/>
      </c>
      <c r="R1507" s="1" t="str">
        <f>IF( OR( Table4[[#This Row],[PrimaryMatch]]="Yes", Table4[[#This Row],[SecondaryMatch]]="Yes"), "Yes", "")</f>
        <v/>
      </c>
    </row>
    <row r="1508" spans="1:18" hidden="1" x14ac:dyDescent="0.25">
      <c r="A1508" t="s">
        <v>776</v>
      </c>
      <c r="B1508" t="s">
        <v>3205</v>
      </c>
      <c r="C1508" t="s">
        <v>3222</v>
      </c>
      <c r="D1508" t="s">
        <v>3748</v>
      </c>
      <c r="E1508" s="1">
        <v>166.39700300000001</v>
      </c>
      <c r="F1508" s="1">
        <v>166.921997</v>
      </c>
      <c r="K1508" s="39">
        <f>DefaultValues!$B$4</f>
        <v>5</v>
      </c>
      <c r="L1508" s="1">
        <f>DefaultValues!$C$4</f>
        <v>0.5</v>
      </c>
      <c r="M1508" s="1" t="str">
        <f>DefaultValues!$D$4</f>
        <v xml:space="preserve">- Within interchange - </v>
      </c>
      <c r="N1508" s="1">
        <v>166.39700300000001</v>
      </c>
      <c r="O1508" s="1">
        <f>ABS(Table4[[#This Row],[EndMP]]-Table4[[#This Row],[StartMP]])</f>
        <v>0.52499399999999241</v>
      </c>
      <c r="P1508" s="1" t="str">
        <f>IF( AND( Table4[[#This Row],[Route]]=ClosureLocation!$B$3, ClosureLocation!$B$6 &gt;= Table4[[#This Row],[StartMP]], ClosureLocation!$B$6 &lt;= Table4[[#This Row],[EndMP]]), "Yes", "")</f>
        <v/>
      </c>
      <c r="Q1508" s="1" t="str">
        <f>IF( AND( Table4[[#This Row],[Route]]=ClosureLocation!$B$3, ClosureLocation!$B$6 &lt;= Table4[[#This Row],[StartMP]], ClosureLocation!$B$6 &gt;= Table4[[#This Row],[EndMP]]), "Yes", "")</f>
        <v/>
      </c>
      <c r="R1508" s="1" t="str">
        <f>IF( OR( Table4[[#This Row],[PrimaryMatch]]="Yes", Table4[[#This Row],[SecondaryMatch]]="Yes"), "Yes", "")</f>
        <v/>
      </c>
    </row>
    <row r="1509" spans="1:18" hidden="1" x14ac:dyDescent="0.25">
      <c r="A1509" t="s">
        <v>776</v>
      </c>
      <c r="B1509" t="s">
        <v>3205</v>
      </c>
      <c r="C1509" t="s">
        <v>3222</v>
      </c>
      <c r="D1509" t="s">
        <v>3748</v>
      </c>
      <c r="E1509" s="1">
        <v>167.962006</v>
      </c>
      <c r="F1509" s="1">
        <v>168.45199600000001</v>
      </c>
      <c r="K1509" s="39">
        <f>DefaultValues!$B$4</f>
        <v>5</v>
      </c>
      <c r="L1509" s="1">
        <f>DefaultValues!$C$4</f>
        <v>0.5</v>
      </c>
      <c r="M1509" s="1" t="str">
        <f>DefaultValues!$D$4</f>
        <v xml:space="preserve">- Within interchange - </v>
      </c>
      <c r="N1509" s="1">
        <v>167.962006</v>
      </c>
      <c r="O1509" s="1">
        <f>ABS(Table4[[#This Row],[EndMP]]-Table4[[#This Row],[StartMP]])</f>
        <v>0.48999000000000592</v>
      </c>
      <c r="P1509" s="1" t="str">
        <f>IF( AND( Table4[[#This Row],[Route]]=ClosureLocation!$B$3, ClosureLocation!$B$6 &gt;= Table4[[#This Row],[StartMP]], ClosureLocation!$B$6 &lt;= Table4[[#This Row],[EndMP]]), "Yes", "")</f>
        <v/>
      </c>
      <c r="Q1509" s="1" t="str">
        <f>IF( AND( Table4[[#This Row],[Route]]=ClosureLocation!$B$3, ClosureLocation!$B$6 &lt;= Table4[[#This Row],[StartMP]], ClosureLocation!$B$6 &gt;= Table4[[#This Row],[EndMP]]), "Yes", "")</f>
        <v/>
      </c>
      <c r="R1509" s="1" t="str">
        <f>IF( OR( Table4[[#This Row],[PrimaryMatch]]="Yes", Table4[[#This Row],[SecondaryMatch]]="Yes"), "Yes", "")</f>
        <v/>
      </c>
    </row>
    <row r="1510" spans="1:18" hidden="1" x14ac:dyDescent="0.25">
      <c r="A1510" t="s">
        <v>776</v>
      </c>
      <c r="B1510" t="s">
        <v>3205</v>
      </c>
      <c r="C1510" t="s">
        <v>3222</v>
      </c>
      <c r="D1510" t="s">
        <v>3748</v>
      </c>
      <c r="E1510" s="1">
        <v>170.96000699999999</v>
      </c>
      <c r="F1510" s="1">
        <v>171.104996</v>
      </c>
      <c r="K1510" s="39">
        <f>DefaultValues!$B$4</f>
        <v>5</v>
      </c>
      <c r="L1510" s="1">
        <f>DefaultValues!$C$4</f>
        <v>0.5</v>
      </c>
      <c r="M1510" s="1" t="str">
        <f>DefaultValues!$D$4</f>
        <v xml:space="preserve">- Within interchange - </v>
      </c>
      <c r="N1510" s="1">
        <v>170.96000699999999</v>
      </c>
      <c r="O1510" s="1">
        <f>ABS(Table4[[#This Row],[EndMP]]-Table4[[#This Row],[StartMP]])</f>
        <v>0.14498900000000958</v>
      </c>
      <c r="P1510" s="1" t="str">
        <f>IF( AND( Table4[[#This Row],[Route]]=ClosureLocation!$B$3, ClosureLocation!$B$6 &gt;= Table4[[#This Row],[StartMP]], ClosureLocation!$B$6 &lt;= Table4[[#This Row],[EndMP]]), "Yes", "")</f>
        <v/>
      </c>
      <c r="Q1510" s="1" t="str">
        <f>IF( AND( Table4[[#This Row],[Route]]=ClosureLocation!$B$3, ClosureLocation!$B$6 &lt;= Table4[[#This Row],[StartMP]], ClosureLocation!$B$6 &gt;= Table4[[#This Row],[EndMP]]), "Yes", "")</f>
        <v/>
      </c>
      <c r="R1510" s="1" t="str">
        <f>IF( OR( Table4[[#This Row],[PrimaryMatch]]="Yes", Table4[[#This Row],[SecondaryMatch]]="Yes"), "Yes", "")</f>
        <v/>
      </c>
    </row>
    <row r="1511" spans="1:18" hidden="1" x14ac:dyDescent="0.25">
      <c r="A1511" t="s">
        <v>776</v>
      </c>
      <c r="B1511" t="s">
        <v>3205</v>
      </c>
      <c r="C1511" t="s">
        <v>3222</v>
      </c>
      <c r="D1511" t="s">
        <v>3748</v>
      </c>
      <c r="E1511" s="1">
        <v>173.16799900000001</v>
      </c>
      <c r="F1511" s="1">
        <v>173.483994</v>
      </c>
      <c r="K1511" s="39">
        <f>DefaultValues!$B$4</f>
        <v>5</v>
      </c>
      <c r="L1511" s="1">
        <f>DefaultValues!$C$4</f>
        <v>0.5</v>
      </c>
      <c r="M1511" s="1" t="str">
        <f>DefaultValues!$D$4</f>
        <v xml:space="preserve">- Within interchange - </v>
      </c>
      <c r="N1511" s="1">
        <v>173.16799900000001</v>
      </c>
      <c r="O1511" s="1">
        <f>ABS(Table4[[#This Row],[EndMP]]-Table4[[#This Row],[StartMP]])</f>
        <v>0.3159949999999867</v>
      </c>
      <c r="P1511" s="1" t="str">
        <f>IF( AND( Table4[[#This Row],[Route]]=ClosureLocation!$B$3, ClosureLocation!$B$6 &gt;= Table4[[#This Row],[StartMP]], ClosureLocation!$B$6 &lt;= Table4[[#This Row],[EndMP]]), "Yes", "")</f>
        <v/>
      </c>
      <c r="Q1511" s="1" t="str">
        <f>IF( AND( Table4[[#This Row],[Route]]=ClosureLocation!$B$3, ClosureLocation!$B$6 &lt;= Table4[[#This Row],[StartMP]], ClosureLocation!$B$6 &gt;= Table4[[#This Row],[EndMP]]), "Yes", "")</f>
        <v/>
      </c>
      <c r="R1511" s="1" t="str">
        <f>IF( OR( Table4[[#This Row],[PrimaryMatch]]="Yes", Table4[[#This Row],[SecondaryMatch]]="Yes"), "Yes", "")</f>
        <v/>
      </c>
    </row>
    <row r="1512" spans="1:18" hidden="1" x14ac:dyDescent="0.25">
      <c r="A1512" t="s">
        <v>776</v>
      </c>
      <c r="B1512" t="s">
        <v>3205</v>
      </c>
      <c r="C1512" t="s">
        <v>3222</v>
      </c>
      <c r="D1512" t="s">
        <v>3748</v>
      </c>
      <c r="E1512" s="1">
        <v>175.871994</v>
      </c>
      <c r="F1512" s="1">
        <v>176.25500500000001</v>
      </c>
      <c r="K1512" s="39">
        <f>DefaultValues!$B$4</f>
        <v>5</v>
      </c>
      <c r="L1512" s="1">
        <f>DefaultValues!$C$4</f>
        <v>0.5</v>
      </c>
      <c r="M1512" s="1" t="str">
        <f>DefaultValues!$D$4</f>
        <v xml:space="preserve">- Within interchange - </v>
      </c>
      <c r="N1512" s="1">
        <v>175.871994</v>
      </c>
      <c r="O1512" s="1">
        <f>ABS(Table4[[#This Row],[EndMP]]-Table4[[#This Row],[StartMP]])</f>
        <v>0.38301100000001043</v>
      </c>
      <c r="P1512" s="1" t="str">
        <f>IF( AND( Table4[[#This Row],[Route]]=ClosureLocation!$B$3, ClosureLocation!$B$6 &gt;= Table4[[#This Row],[StartMP]], ClosureLocation!$B$6 &lt;= Table4[[#This Row],[EndMP]]), "Yes", "")</f>
        <v/>
      </c>
      <c r="Q1512" s="1" t="str">
        <f>IF( AND( Table4[[#This Row],[Route]]=ClosureLocation!$B$3, ClosureLocation!$B$6 &lt;= Table4[[#This Row],[StartMP]], ClosureLocation!$B$6 &gt;= Table4[[#This Row],[EndMP]]), "Yes", "")</f>
        <v/>
      </c>
      <c r="R1512" s="1" t="str">
        <f>IF( OR( Table4[[#This Row],[PrimaryMatch]]="Yes", Table4[[#This Row],[SecondaryMatch]]="Yes"), "Yes", "")</f>
        <v/>
      </c>
    </row>
    <row r="1513" spans="1:18" hidden="1" x14ac:dyDescent="0.25">
      <c r="A1513" t="s">
        <v>776</v>
      </c>
      <c r="B1513" t="s">
        <v>3205</v>
      </c>
      <c r="C1513" t="s">
        <v>3222</v>
      </c>
      <c r="D1513" t="s">
        <v>3748</v>
      </c>
      <c r="E1513" s="1">
        <v>179.662994</v>
      </c>
      <c r="F1513" s="1">
        <v>180.10000600000001</v>
      </c>
      <c r="K1513" s="39">
        <f>DefaultValues!$B$4</f>
        <v>5</v>
      </c>
      <c r="L1513" s="1">
        <f>DefaultValues!$C$4</f>
        <v>0.5</v>
      </c>
      <c r="M1513" s="1" t="str">
        <f>DefaultValues!$D$4</f>
        <v xml:space="preserve">- Within interchange - </v>
      </c>
      <c r="N1513" s="1">
        <v>179.662994</v>
      </c>
      <c r="O1513" s="1">
        <f>ABS(Table4[[#This Row],[EndMP]]-Table4[[#This Row],[StartMP]])</f>
        <v>0.43701200000000995</v>
      </c>
      <c r="P1513" s="1" t="str">
        <f>IF( AND( Table4[[#This Row],[Route]]=ClosureLocation!$B$3, ClosureLocation!$B$6 &gt;= Table4[[#This Row],[StartMP]], ClosureLocation!$B$6 &lt;= Table4[[#This Row],[EndMP]]), "Yes", "")</f>
        <v/>
      </c>
      <c r="Q1513" s="1" t="str">
        <f>IF( AND( Table4[[#This Row],[Route]]=ClosureLocation!$B$3, ClosureLocation!$B$6 &lt;= Table4[[#This Row],[StartMP]], ClosureLocation!$B$6 &gt;= Table4[[#This Row],[EndMP]]), "Yes", "")</f>
        <v/>
      </c>
      <c r="R1513" s="1" t="str">
        <f>IF( OR( Table4[[#This Row],[PrimaryMatch]]="Yes", Table4[[#This Row],[SecondaryMatch]]="Yes"), "Yes", "")</f>
        <v/>
      </c>
    </row>
    <row r="1514" spans="1:18" hidden="1" x14ac:dyDescent="0.25">
      <c r="A1514" t="s">
        <v>776</v>
      </c>
      <c r="B1514" t="s">
        <v>3205</v>
      </c>
      <c r="C1514" t="s">
        <v>3222</v>
      </c>
      <c r="D1514" t="s">
        <v>3748</v>
      </c>
      <c r="E1514" s="1">
        <v>189.89799500000001</v>
      </c>
      <c r="F1514" s="1">
        <v>190.37300099999999</v>
      </c>
      <c r="K1514" s="39">
        <f>DefaultValues!$B$4</f>
        <v>5</v>
      </c>
      <c r="L1514" s="1">
        <f>DefaultValues!$C$4</f>
        <v>0.5</v>
      </c>
      <c r="M1514" s="1" t="str">
        <f>DefaultValues!$D$4</f>
        <v xml:space="preserve">- Within interchange - </v>
      </c>
      <c r="N1514" s="1">
        <v>189.89799500000001</v>
      </c>
      <c r="O1514" s="1">
        <f>ABS(Table4[[#This Row],[EndMP]]-Table4[[#This Row],[StartMP]])</f>
        <v>0.47500599999997917</v>
      </c>
      <c r="P1514" s="1" t="str">
        <f>IF( AND( Table4[[#This Row],[Route]]=ClosureLocation!$B$3, ClosureLocation!$B$6 &gt;= Table4[[#This Row],[StartMP]], ClosureLocation!$B$6 &lt;= Table4[[#This Row],[EndMP]]), "Yes", "")</f>
        <v/>
      </c>
      <c r="Q1514" s="1" t="str">
        <f>IF( AND( Table4[[#This Row],[Route]]=ClosureLocation!$B$3, ClosureLocation!$B$6 &lt;= Table4[[#This Row],[StartMP]], ClosureLocation!$B$6 &gt;= Table4[[#This Row],[EndMP]]), "Yes", "")</f>
        <v/>
      </c>
      <c r="R1514" s="1" t="str">
        <f>IF( OR( Table4[[#This Row],[PrimaryMatch]]="Yes", Table4[[#This Row],[SecondaryMatch]]="Yes"), "Yes", "")</f>
        <v/>
      </c>
    </row>
    <row r="1515" spans="1:18" hidden="1" x14ac:dyDescent="0.25">
      <c r="A1515" t="s">
        <v>776</v>
      </c>
      <c r="B1515" t="s">
        <v>3205</v>
      </c>
      <c r="C1515" t="s">
        <v>3222</v>
      </c>
      <c r="D1515" t="s">
        <v>3748</v>
      </c>
      <c r="E1515" s="1">
        <v>195.084</v>
      </c>
      <c r="F1515" s="1">
        <v>195.47099299999999</v>
      </c>
      <c r="K1515" s="39">
        <f>DefaultValues!$B$4</f>
        <v>5</v>
      </c>
      <c r="L1515" s="1">
        <f>DefaultValues!$C$4</f>
        <v>0.5</v>
      </c>
      <c r="M1515" s="1" t="str">
        <f>DefaultValues!$D$4</f>
        <v xml:space="preserve">- Within interchange - </v>
      </c>
      <c r="N1515" s="1">
        <v>195.084</v>
      </c>
      <c r="O1515" s="1">
        <f>ABS(Table4[[#This Row],[EndMP]]-Table4[[#This Row],[StartMP]])</f>
        <v>0.38699299999998971</v>
      </c>
      <c r="P1515" s="1" t="str">
        <f>IF( AND( Table4[[#This Row],[Route]]=ClosureLocation!$B$3, ClosureLocation!$B$6 &gt;= Table4[[#This Row],[StartMP]], ClosureLocation!$B$6 &lt;= Table4[[#This Row],[EndMP]]), "Yes", "")</f>
        <v/>
      </c>
      <c r="Q1515" s="1" t="str">
        <f>IF( AND( Table4[[#This Row],[Route]]=ClosureLocation!$B$3, ClosureLocation!$B$6 &lt;= Table4[[#This Row],[StartMP]], ClosureLocation!$B$6 &gt;= Table4[[#This Row],[EndMP]]), "Yes", "")</f>
        <v/>
      </c>
      <c r="R1515" s="1" t="str">
        <f>IF( OR( Table4[[#This Row],[PrimaryMatch]]="Yes", Table4[[#This Row],[SecondaryMatch]]="Yes"), "Yes", "")</f>
        <v/>
      </c>
    </row>
    <row r="1516" spans="1:18" hidden="1" x14ac:dyDescent="0.25">
      <c r="A1516" t="s">
        <v>776</v>
      </c>
      <c r="B1516" t="s">
        <v>3205</v>
      </c>
      <c r="C1516" t="s">
        <v>3222</v>
      </c>
      <c r="D1516" t="s">
        <v>3748</v>
      </c>
      <c r="E1516" s="1">
        <v>197.60299699999999</v>
      </c>
      <c r="F1516" s="1">
        <v>198.158997</v>
      </c>
      <c r="K1516" s="39">
        <f>DefaultValues!$B$4</f>
        <v>5</v>
      </c>
      <c r="L1516" s="1">
        <f>DefaultValues!$C$4</f>
        <v>0.5</v>
      </c>
      <c r="M1516" s="1" t="str">
        <f>DefaultValues!$D$4</f>
        <v xml:space="preserve">- Within interchange - </v>
      </c>
      <c r="N1516" s="1">
        <v>197.60299699999999</v>
      </c>
      <c r="O1516" s="1">
        <f>ABS(Table4[[#This Row],[EndMP]]-Table4[[#This Row],[StartMP]])</f>
        <v>0.5560000000000116</v>
      </c>
      <c r="P1516" s="1" t="str">
        <f>IF( AND( Table4[[#This Row],[Route]]=ClosureLocation!$B$3, ClosureLocation!$B$6 &gt;= Table4[[#This Row],[StartMP]], ClosureLocation!$B$6 &lt;= Table4[[#This Row],[EndMP]]), "Yes", "")</f>
        <v/>
      </c>
      <c r="Q1516" s="1" t="str">
        <f>IF( AND( Table4[[#This Row],[Route]]=ClosureLocation!$B$3, ClosureLocation!$B$6 &lt;= Table4[[#This Row],[StartMP]], ClosureLocation!$B$6 &gt;= Table4[[#This Row],[EndMP]]), "Yes", "")</f>
        <v/>
      </c>
      <c r="R1516" s="1" t="str">
        <f>IF( OR( Table4[[#This Row],[PrimaryMatch]]="Yes", Table4[[#This Row],[SecondaryMatch]]="Yes"), "Yes", "")</f>
        <v/>
      </c>
    </row>
    <row r="1517" spans="1:18" hidden="1" x14ac:dyDescent="0.25">
      <c r="A1517" t="s">
        <v>776</v>
      </c>
      <c r="B1517" t="s">
        <v>3205</v>
      </c>
      <c r="C1517" t="s">
        <v>3222</v>
      </c>
      <c r="D1517" t="s">
        <v>3748</v>
      </c>
      <c r="E1517" s="1">
        <v>200.72799699999999</v>
      </c>
      <c r="F1517" s="1">
        <v>201.080994</v>
      </c>
      <c r="K1517" s="39">
        <f>DefaultValues!$B$4</f>
        <v>5</v>
      </c>
      <c r="L1517" s="1">
        <f>DefaultValues!$C$4</f>
        <v>0.5</v>
      </c>
      <c r="M1517" s="1" t="str">
        <f>DefaultValues!$D$4</f>
        <v xml:space="preserve">- Within interchange - </v>
      </c>
      <c r="N1517" s="1">
        <v>200.72799699999999</v>
      </c>
      <c r="O1517" s="1">
        <f>ABS(Table4[[#This Row],[EndMP]]-Table4[[#This Row],[StartMP]])</f>
        <v>0.35299700000001621</v>
      </c>
      <c r="P1517" s="1" t="str">
        <f>IF( AND( Table4[[#This Row],[Route]]=ClosureLocation!$B$3, ClosureLocation!$B$6 &gt;= Table4[[#This Row],[StartMP]], ClosureLocation!$B$6 &lt;= Table4[[#This Row],[EndMP]]), "Yes", "")</f>
        <v/>
      </c>
      <c r="Q1517" s="1" t="str">
        <f>IF( AND( Table4[[#This Row],[Route]]=ClosureLocation!$B$3, ClosureLocation!$B$6 &lt;= Table4[[#This Row],[StartMP]], ClosureLocation!$B$6 &gt;= Table4[[#This Row],[EndMP]]), "Yes", "")</f>
        <v/>
      </c>
      <c r="R1517" s="1" t="str">
        <f>IF( OR( Table4[[#This Row],[PrimaryMatch]]="Yes", Table4[[#This Row],[SecondaryMatch]]="Yes"), "Yes", "")</f>
        <v/>
      </c>
    </row>
    <row r="1518" spans="1:18" hidden="1" x14ac:dyDescent="0.25">
      <c r="A1518" t="s">
        <v>776</v>
      </c>
      <c r="B1518" t="s">
        <v>3205</v>
      </c>
      <c r="C1518" t="s">
        <v>3222</v>
      </c>
      <c r="D1518" t="s">
        <v>3748</v>
      </c>
      <c r="E1518" s="1">
        <v>202.166</v>
      </c>
      <c r="F1518" s="1">
        <v>202.52200300000001</v>
      </c>
      <c r="K1518" s="39">
        <f>DefaultValues!$B$4</f>
        <v>5</v>
      </c>
      <c r="L1518" s="1">
        <f>DefaultValues!$C$4</f>
        <v>0.5</v>
      </c>
      <c r="M1518" s="1" t="str">
        <f>DefaultValues!$D$4</f>
        <v xml:space="preserve">- Within interchange - </v>
      </c>
      <c r="N1518" s="1">
        <v>202.166</v>
      </c>
      <c r="O1518" s="1">
        <f>ABS(Table4[[#This Row],[EndMP]]-Table4[[#This Row],[StartMP]])</f>
        <v>0.35600300000001539</v>
      </c>
      <c r="P1518" s="1" t="str">
        <f>IF( AND( Table4[[#This Row],[Route]]=ClosureLocation!$B$3, ClosureLocation!$B$6 &gt;= Table4[[#This Row],[StartMP]], ClosureLocation!$B$6 &lt;= Table4[[#This Row],[EndMP]]), "Yes", "")</f>
        <v/>
      </c>
      <c r="Q1518" s="1" t="str">
        <f>IF( AND( Table4[[#This Row],[Route]]=ClosureLocation!$B$3, ClosureLocation!$B$6 &lt;= Table4[[#This Row],[StartMP]], ClosureLocation!$B$6 &gt;= Table4[[#This Row],[EndMP]]), "Yes", "")</f>
        <v/>
      </c>
      <c r="R1518" s="1" t="str">
        <f>IF( OR( Table4[[#This Row],[PrimaryMatch]]="Yes", Table4[[#This Row],[SecondaryMatch]]="Yes"), "Yes", "")</f>
        <v/>
      </c>
    </row>
    <row r="1519" spans="1:18" hidden="1" x14ac:dyDescent="0.25">
      <c r="A1519" t="s">
        <v>776</v>
      </c>
      <c r="B1519" t="s">
        <v>3205</v>
      </c>
      <c r="C1519" t="s">
        <v>3222</v>
      </c>
      <c r="D1519" t="s">
        <v>3748</v>
      </c>
      <c r="E1519" s="1">
        <v>205.36300700000001</v>
      </c>
      <c r="F1519" s="1">
        <v>205.73599200000001</v>
      </c>
      <c r="K1519" s="39">
        <f>DefaultValues!$B$4</f>
        <v>5</v>
      </c>
      <c r="L1519" s="1">
        <f>DefaultValues!$C$4</f>
        <v>0.5</v>
      </c>
      <c r="M1519" s="1" t="str">
        <f>DefaultValues!$D$4</f>
        <v xml:space="preserve">- Within interchange - </v>
      </c>
      <c r="N1519" s="1">
        <v>205.36300700000001</v>
      </c>
      <c r="O1519" s="1">
        <f>ABS(Table4[[#This Row],[EndMP]]-Table4[[#This Row],[StartMP]])</f>
        <v>0.3729849999999999</v>
      </c>
      <c r="P1519" s="1" t="str">
        <f>IF( AND( Table4[[#This Row],[Route]]=ClosureLocation!$B$3, ClosureLocation!$B$6 &gt;= Table4[[#This Row],[StartMP]], ClosureLocation!$B$6 &lt;= Table4[[#This Row],[EndMP]]), "Yes", "")</f>
        <v/>
      </c>
      <c r="Q1519" s="1" t="str">
        <f>IF( AND( Table4[[#This Row],[Route]]=ClosureLocation!$B$3, ClosureLocation!$B$6 &lt;= Table4[[#This Row],[StartMP]], ClosureLocation!$B$6 &gt;= Table4[[#This Row],[EndMP]]), "Yes", "")</f>
        <v/>
      </c>
      <c r="R1519" s="1" t="str">
        <f>IF( OR( Table4[[#This Row],[PrimaryMatch]]="Yes", Table4[[#This Row],[SecondaryMatch]]="Yes"), "Yes", "")</f>
        <v/>
      </c>
    </row>
    <row r="1520" spans="1:18" hidden="1" x14ac:dyDescent="0.25">
      <c r="A1520" t="s">
        <v>776</v>
      </c>
      <c r="B1520" t="s">
        <v>3205</v>
      </c>
      <c r="C1520" t="s">
        <v>3222</v>
      </c>
      <c r="D1520" t="s">
        <v>3748</v>
      </c>
      <c r="E1520" s="1">
        <v>215.72700499999999</v>
      </c>
      <c r="F1520" s="1">
        <v>216.824005</v>
      </c>
      <c r="K1520" s="39">
        <f>DefaultValues!$B$4</f>
        <v>5</v>
      </c>
      <c r="L1520" s="1">
        <f>DefaultValues!$C$4</f>
        <v>0.5</v>
      </c>
      <c r="M1520" s="1" t="str">
        <f>DefaultValues!$D$4</f>
        <v xml:space="preserve">- Within interchange - </v>
      </c>
      <c r="N1520" s="1">
        <v>215.72700499999999</v>
      </c>
      <c r="O1520" s="1">
        <f>ABS(Table4[[#This Row],[EndMP]]-Table4[[#This Row],[StartMP]])</f>
        <v>1.0970000000000084</v>
      </c>
      <c r="P1520" s="1" t="str">
        <f>IF( AND( Table4[[#This Row],[Route]]=ClosureLocation!$B$3, ClosureLocation!$B$6 &gt;= Table4[[#This Row],[StartMP]], ClosureLocation!$B$6 &lt;= Table4[[#This Row],[EndMP]]), "Yes", "")</f>
        <v/>
      </c>
      <c r="Q1520" s="1" t="str">
        <f>IF( AND( Table4[[#This Row],[Route]]=ClosureLocation!$B$3, ClosureLocation!$B$6 &lt;= Table4[[#This Row],[StartMP]], ClosureLocation!$B$6 &gt;= Table4[[#This Row],[EndMP]]), "Yes", "")</f>
        <v/>
      </c>
      <c r="R1520" s="1" t="str">
        <f>IF( OR( Table4[[#This Row],[PrimaryMatch]]="Yes", Table4[[#This Row],[SecondaryMatch]]="Yes"), "Yes", "")</f>
        <v/>
      </c>
    </row>
    <row r="1521" spans="1:18" hidden="1" x14ac:dyDescent="0.25">
      <c r="A1521" t="s">
        <v>776</v>
      </c>
      <c r="B1521" t="s">
        <v>3205</v>
      </c>
      <c r="C1521" t="s">
        <v>3222</v>
      </c>
      <c r="D1521" t="s">
        <v>3748</v>
      </c>
      <c r="E1521" s="1">
        <v>218.175003</v>
      </c>
      <c r="F1521" s="1">
        <v>218.557007</v>
      </c>
      <c r="K1521" s="39">
        <f>DefaultValues!$B$4</f>
        <v>5</v>
      </c>
      <c r="L1521" s="1">
        <f>DefaultValues!$C$4</f>
        <v>0.5</v>
      </c>
      <c r="M1521" s="1" t="str">
        <f>DefaultValues!$D$4</f>
        <v xml:space="preserve">- Within interchange - </v>
      </c>
      <c r="N1521" s="1">
        <v>218.175003</v>
      </c>
      <c r="O1521" s="1">
        <f>ABS(Table4[[#This Row],[EndMP]]-Table4[[#This Row],[StartMP]])</f>
        <v>0.3820039999999949</v>
      </c>
      <c r="P1521" s="1" t="str">
        <f>IF( AND( Table4[[#This Row],[Route]]=ClosureLocation!$B$3, ClosureLocation!$B$6 &gt;= Table4[[#This Row],[StartMP]], ClosureLocation!$B$6 &lt;= Table4[[#This Row],[EndMP]]), "Yes", "")</f>
        <v/>
      </c>
      <c r="Q1521" s="1" t="str">
        <f>IF( AND( Table4[[#This Row],[Route]]=ClosureLocation!$B$3, ClosureLocation!$B$6 &lt;= Table4[[#This Row],[StartMP]], ClosureLocation!$B$6 &gt;= Table4[[#This Row],[EndMP]]), "Yes", "")</f>
        <v/>
      </c>
      <c r="R1521" s="1" t="str">
        <f>IF( OR( Table4[[#This Row],[PrimaryMatch]]="Yes", Table4[[#This Row],[SecondaryMatch]]="Yes"), "Yes", "")</f>
        <v/>
      </c>
    </row>
    <row r="1522" spans="1:18" hidden="1" x14ac:dyDescent="0.25">
      <c r="A1522" t="s">
        <v>776</v>
      </c>
      <c r="B1522" t="s">
        <v>3205</v>
      </c>
      <c r="C1522" t="s">
        <v>3222</v>
      </c>
      <c r="D1522" t="s">
        <v>3748</v>
      </c>
      <c r="E1522" s="1">
        <v>221.11399800000001</v>
      </c>
      <c r="F1522" s="1">
        <v>221.5</v>
      </c>
      <c r="K1522" s="39">
        <f>DefaultValues!$B$4</f>
        <v>5</v>
      </c>
      <c r="L1522" s="1">
        <f>DefaultValues!$C$4</f>
        <v>0.5</v>
      </c>
      <c r="M1522" s="1" t="str">
        <f>DefaultValues!$D$4</f>
        <v xml:space="preserve">- Within interchange - </v>
      </c>
      <c r="N1522" s="1">
        <v>221.11399800000001</v>
      </c>
      <c r="O1522" s="1">
        <f>ABS(Table4[[#This Row],[EndMP]]-Table4[[#This Row],[StartMP]])</f>
        <v>0.38600199999999063</v>
      </c>
      <c r="P1522" s="1" t="str">
        <f>IF( AND( Table4[[#This Row],[Route]]=ClosureLocation!$B$3, ClosureLocation!$B$6 &gt;= Table4[[#This Row],[StartMP]], ClosureLocation!$B$6 &lt;= Table4[[#This Row],[EndMP]]), "Yes", "")</f>
        <v/>
      </c>
      <c r="Q1522" s="1" t="str">
        <f>IF( AND( Table4[[#This Row],[Route]]=ClosureLocation!$B$3, ClosureLocation!$B$6 &lt;= Table4[[#This Row],[StartMP]], ClosureLocation!$B$6 &gt;= Table4[[#This Row],[EndMP]]), "Yes", "")</f>
        <v/>
      </c>
      <c r="R1522" s="1" t="str">
        <f>IF( OR( Table4[[#This Row],[PrimaryMatch]]="Yes", Table4[[#This Row],[SecondaryMatch]]="Yes"), "Yes", "")</f>
        <v/>
      </c>
    </row>
    <row r="1523" spans="1:18" hidden="1" x14ac:dyDescent="0.25">
      <c r="A1523" t="s">
        <v>776</v>
      </c>
      <c r="B1523" t="s">
        <v>3205</v>
      </c>
      <c r="C1523" t="s">
        <v>3222</v>
      </c>
      <c r="D1523" t="s">
        <v>3748</v>
      </c>
      <c r="E1523" s="1">
        <v>225.38999899999999</v>
      </c>
      <c r="F1523" s="1">
        <v>225.88699299999999</v>
      </c>
      <c r="K1523" s="39">
        <f>DefaultValues!$B$4</f>
        <v>5</v>
      </c>
      <c r="L1523" s="1">
        <f>DefaultValues!$C$4</f>
        <v>0.5</v>
      </c>
      <c r="M1523" s="1" t="str">
        <f>DefaultValues!$D$4</f>
        <v xml:space="preserve">- Within interchange - </v>
      </c>
      <c r="N1523" s="1">
        <v>225.38999899999999</v>
      </c>
      <c r="O1523" s="1">
        <f>ABS(Table4[[#This Row],[EndMP]]-Table4[[#This Row],[StartMP]])</f>
        <v>0.49699400000000082</v>
      </c>
      <c r="P1523" s="1" t="str">
        <f>IF( AND( Table4[[#This Row],[Route]]=ClosureLocation!$B$3, ClosureLocation!$B$6 &gt;= Table4[[#This Row],[StartMP]], ClosureLocation!$B$6 &lt;= Table4[[#This Row],[EndMP]]), "Yes", "")</f>
        <v/>
      </c>
      <c r="Q1523" s="1" t="str">
        <f>IF( AND( Table4[[#This Row],[Route]]=ClosureLocation!$B$3, ClosureLocation!$B$6 &lt;= Table4[[#This Row],[StartMP]], ClosureLocation!$B$6 &gt;= Table4[[#This Row],[EndMP]]), "Yes", "")</f>
        <v/>
      </c>
      <c r="R1523" s="1" t="str">
        <f>IF( OR( Table4[[#This Row],[PrimaryMatch]]="Yes", Table4[[#This Row],[SecondaryMatch]]="Yes"), "Yes", "")</f>
        <v/>
      </c>
    </row>
    <row r="1524" spans="1:18" hidden="1" x14ac:dyDescent="0.25">
      <c r="A1524" t="s">
        <v>776</v>
      </c>
      <c r="B1524" t="s">
        <v>3205</v>
      </c>
      <c r="C1524" t="s">
        <v>3222</v>
      </c>
      <c r="D1524" t="s">
        <v>3748</v>
      </c>
      <c r="E1524" s="1">
        <v>227.68800400000001</v>
      </c>
      <c r="F1524" s="1">
        <v>228.026993</v>
      </c>
      <c r="K1524" s="39">
        <f>DefaultValues!$B$4</f>
        <v>5</v>
      </c>
      <c r="L1524" s="1">
        <f>DefaultValues!$C$4</f>
        <v>0.5</v>
      </c>
      <c r="M1524" s="1" t="str">
        <f>DefaultValues!$D$4</f>
        <v xml:space="preserve">- Within interchange - </v>
      </c>
      <c r="N1524" s="1">
        <v>227.68800400000001</v>
      </c>
      <c r="O1524" s="1">
        <f>ABS(Table4[[#This Row],[EndMP]]-Table4[[#This Row],[StartMP]])</f>
        <v>0.33898899999999799</v>
      </c>
      <c r="P1524" s="1" t="str">
        <f>IF( AND( Table4[[#This Row],[Route]]=ClosureLocation!$B$3, ClosureLocation!$B$6 &gt;= Table4[[#This Row],[StartMP]], ClosureLocation!$B$6 &lt;= Table4[[#This Row],[EndMP]]), "Yes", "")</f>
        <v/>
      </c>
      <c r="Q1524" s="1" t="str">
        <f>IF( AND( Table4[[#This Row],[Route]]=ClosureLocation!$B$3, ClosureLocation!$B$6 &lt;= Table4[[#This Row],[StartMP]], ClosureLocation!$B$6 &gt;= Table4[[#This Row],[EndMP]]), "Yes", "")</f>
        <v/>
      </c>
      <c r="R1524" s="1" t="str">
        <f>IF( OR( Table4[[#This Row],[PrimaryMatch]]="Yes", Table4[[#This Row],[SecondaryMatch]]="Yes"), "Yes", "")</f>
        <v/>
      </c>
    </row>
    <row r="1525" spans="1:18" hidden="1" x14ac:dyDescent="0.25">
      <c r="A1525" t="s">
        <v>776</v>
      </c>
      <c r="B1525" t="s">
        <v>3205</v>
      </c>
      <c r="C1525" t="s">
        <v>3222</v>
      </c>
      <c r="D1525" t="s">
        <v>3748</v>
      </c>
      <c r="E1525" s="1">
        <v>232.084</v>
      </c>
      <c r="F1525" s="1">
        <v>232.33299299999999</v>
      </c>
      <c r="K1525" s="39">
        <f>DefaultValues!$B$4</f>
        <v>5</v>
      </c>
      <c r="L1525" s="1">
        <f>DefaultValues!$C$4</f>
        <v>0.5</v>
      </c>
      <c r="M1525" s="1" t="str">
        <f>DefaultValues!$D$4</f>
        <v xml:space="preserve">- Within interchange - </v>
      </c>
      <c r="N1525" s="1">
        <v>232.084</v>
      </c>
      <c r="O1525" s="1">
        <f>ABS(Table4[[#This Row],[EndMP]]-Table4[[#This Row],[StartMP]])</f>
        <v>0.24899299999998448</v>
      </c>
      <c r="P1525" s="1" t="str">
        <f>IF( AND( Table4[[#This Row],[Route]]=ClosureLocation!$B$3, ClosureLocation!$B$6 &gt;= Table4[[#This Row],[StartMP]], ClosureLocation!$B$6 &lt;= Table4[[#This Row],[EndMP]]), "Yes", "")</f>
        <v/>
      </c>
      <c r="Q1525" s="1" t="str">
        <f>IF( AND( Table4[[#This Row],[Route]]=ClosureLocation!$B$3, ClosureLocation!$B$6 &lt;= Table4[[#This Row],[StartMP]], ClosureLocation!$B$6 &gt;= Table4[[#This Row],[EndMP]]), "Yes", "")</f>
        <v/>
      </c>
      <c r="R1525" s="1" t="str">
        <f>IF( OR( Table4[[#This Row],[PrimaryMatch]]="Yes", Table4[[#This Row],[SecondaryMatch]]="Yes"), "Yes", "")</f>
        <v/>
      </c>
    </row>
    <row r="1526" spans="1:18" hidden="1" x14ac:dyDescent="0.25">
      <c r="A1526" t="s">
        <v>776</v>
      </c>
      <c r="B1526" t="s">
        <v>3205</v>
      </c>
      <c r="C1526" t="s">
        <v>3222</v>
      </c>
      <c r="D1526" t="s">
        <v>3748</v>
      </c>
      <c r="E1526" s="1">
        <v>233.82699600000001</v>
      </c>
      <c r="F1526" s="1">
        <v>234.408997</v>
      </c>
      <c r="K1526" s="39">
        <f>DefaultValues!$B$4</f>
        <v>5</v>
      </c>
      <c r="L1526" s="1">
        <f>DefaultValues!$C$4</f>
        <v>0.5</v>
      </c>
      <c r="M1526" s="1" t="str">
        <f>DefaultValues!$D$4</f>
        <v xml:space="preserve">- Within interchange - </v>
      </c>
      <c r="N1526" s="1">
        <v>233.82699600000001</v>
      </c>
      <c r="O1526" s="1">
        <f>ABS(Table4[[#This Row],[EndMP]]-Table4[[#This Row],[StartMP]])</f>
        <v>0.58200099999999111</v>
      </c>
      <c r="P1526" s="1" t="str">
        <f>IF( AND( Table4[[#This Row],[Route]]=ClosureLocation!$B$3, ClosureLocation!$B$6 &gt;= Table4[[#This Row],[StartMP]], ClosureLocation!$B$6 &lt;= Table4[[#This Row],[EndMP]]), "Yes", "")</f>
        <v/>
      </c>
      <c r="Q1526" s="1" t="str">
        <f>IF( AND( Table4[[#This Row],[Route]]=ClosureLocation!$B$3, ClosureLocation!$B$6 &lt;= Table4[[#This Row],[StartMP]], ClosureLocation!$B$6 &gt;= Table4[[#This Row],[EndMP]]), "Yes", "")</f>
        <v/>
      </c>
      <c r="R1526" s="1" t="str">
        <f>IF( OR( Table4[[#This Row],[PrimaryMatch]]="Yes", Table4[[#This Row],[SecondaryMatch]]="Yes"), "Yes", "")</f>
        <v/>
      </c>
    </row>
    <row r="1527" spans="1:18" hidden="1" x14ac:dyDescent="0.25">
      <c r="A1527" t="s">
        <v>776</v>
      </c>
      <c r="B1527" t="s">
        <v>3205</v>
      </c>
      <c r="C1527" t="s">
        <v>3222</v>
      </c>
      <c r="D1527" t="s">
        <v>3748</v>
      </c>
      <c r="E1527" s="1">
        <v>237.604004</v>
      </c>
      <c r="F1527" s="1">
        <v>237.74099699999999</v>
      </c>
      <c r="K1527" s="39">
        <f>DefaultValues!$B$4</f>
        <v>5</v>
      </c>
      <c r="L1527" s="1">
        <f>DefaultValues!$C$4</f>
        <v>0.5</v>
      </c>
      <c r="M1527" s="1" t="str">
        <f>DefaultValues!$D$4</f>
        <v xml:space="preserve">- Within interchange - </v>
      </c>
      <c r="N1527" s="1">
        <v>237.604004</v>
      </c>
      <c r="O1527" s="1">
        <f>ABS(Table4[[#This Row],[EndMP]]-Table4[[#This Row],[StartMP]])</f>
        <v>0.13699299999998971</v>
      </c>
      <c r="P1527" s="1" t="str">
        <f>IF( AND( Table4[[#This Row],[Route]]=ClosureLocation!$B$3, ClosureLocation!$B$6 &gt;= Table4[[#This Row],[StartMP]], ClosureLocation!$B$6 &lt;= Table4[[#This Row],[EndMP]]), "Yes", "")</f>
        <v/>
      </c>
      <c r="Q1527" s="1" t="str">
        <f>IF( AND( Table4[[#This Row],[Route]]=ClosureLocation!$B$3, ClosureLocation!$B$6 &lt;= Table4[[#This Row],[StartMP]], ClosureLocation!$B$6 &gt;= Table4[[#This Row],[EndMP]]), "Yes", "")</f>
        <v/>
      </c>
      <c r="R1527" s="1" t="str">
        <f>IF( OR( Table4[[#This Row],[PrimaryMatch]]="Yes", Table4[[#This Row],[SecondaryMatch]]="Yes"), "Yes", "")</f>
        <v/>
      </c>
    </row>
    <row r="1528" spans="1:18" hidden="1" x14ac:dyDescent="0.25">
      <c r="A1528" t="s">
        <v>776</v>
      </c>
      <c r="B1528" t="s">
        <v>3205</v>
      </c>
      <c r="C1528" t="s">
        <v>3222</v>
      </c>
      <c r="D1528" t="s">
        <v>3748</v>
      </c>
      <c r="E1528" s="1">
        <v>239.50900300000001</v>
      </c>
      <c r="F1528" s="1">
        <v>239.804001</v>
      </c>
      <c r="K1528" s="39">
        <f>DefaultValues!$B$4</f>
        <v>5</v>
      </c>
      <c r="L1528" s="1">
        <f>DefaultValues!$C$4</f>
        <v>0.5</v>
      </c>
      <c r="M1528" s="1" t="str">
        <f>DefaultValues!$D$4</f>
        <v xml:space="preserve">- Within interchange - </v>
      </c>
      <c r="N1528" s="1">
        <v>239.50900300000001</v>
      </c>
      <c r="O1528" s="1">
        <f>ABS(Table4[[#This Row],[EndMP]]-Table4[[#This Row],[StartMP]])</f>
        <v>0.29499799999999254</v>
      </c>
      <c r="P1528" s="1" t="str">
        <f>IF( AND( Table4[[#This Row],[Route]]=ClosureLocation!$B$3, ClosureLocation!$B$6 &gt;= Table4[[#This Row],[StartMP]], ClosureLocation!$B$6 &lt;= Table4[[#This Row],[EndMP]]), "Yes", "")</f>
        <v/>
      </c>
      <c r="Q1528" s="1" t="str">
        <f>IF( AND( Table4[[#This Row],[Route]]=ClosureLocation!$B$3, ClosureLocation!$B$6 &lt;= Table4[[#This Row],[StartMP]], ClosureLocation!$B$6 &gt;= Table4[[#This Row],[EndMP]]), "Yes", "")</f>
        <v/>
      </c>
      <c r="R1528" s="1" t="str">
        <f>IF( OR( Table4[[#This Row],[PrimaryMatch]]="Yes", Table4[[#This Row],[SecondaryMatch]]="Yes"), "Yes", "")</f>
        <v/>
      </c>
    </row>
    <row r="1529" spans="1:18" hidden="1" x14ac:dyDescent="0.25">
      <c r="A1529" t="s">
        <v>776</v>
      </c>
      <c r="B1529" t="s">
        <v>3205</v>
      </c>
      <c r="C1529" t="s">
        <v>3222</v>
      </c>
      <c r="D1529" t="s">
        <v>3748</v>
      </c>
      <c r="E1529" s="1">
        <v>241.350998</v>
      </c>
      <c r="F1529" s="1">
        <v>241.759995</v>
      </c>
      <c r="K1529" s="39">
        <f>DefaultValues!$B$4</f>
        <v>5</v>
      </c>
      <c r="L1529" s="1">
        <f>DefaultValues!$C$4</f>
        <v>0.5</v>
      </c>
      <c r="M1529" s="1" t="str">
        <f>DefaultValues!$D$4</f>
        <v xml:space="preserve">- Within interchange - </v>
      </c>
      <c r="N1529" s="1">
        <v>241.350998</v>
      </c>
      <c r="O1529" s="1">
        <f>ABS(Table4[[#This Row],[EndMP]]-Table4[[#This Row],[StartMP]])</f>
        <v>0.40899699999999939</v>
      </c>
      <c r="P1529" s="1" t="str">
        <f>IF( AND( Table4[[#This Row],[Route]]=ClosureLocation!$B$3, ClosureLocation!$B$6 &gt;= Table4[[#This Row],[StartMP]], ClosureLocation!$B$6 &lt;= Table4[[#This Row],[EndMP]]), "Yes", "")</f>
        <v/>
      </c>
      <c r="Q1529" s="1" t="str">
        <f>IF( AND( Table4[[#This Row],[Route]]=ClosureLocation!$B$3, ClosureLocation!$B$6 &lt;= Table4[[#This Row],[StartMP]], ClosureLocation!$B$6 &gt;= Table4[[#This Row],[EndMP]]), "Yes", "")</f>
        <v/>
      </c>
      <c r="R1529" s="1" t="str">
        <f>IF( OR( Table4[[#This Row],[PrimaryMatch]]="Yes", Table4[[#This Row],[SecondaryMatch]]="Yes"), "Yes", "")</f>
        <v/>
      </c>
    </row>
    <row r="1530" spans="1:18" hidden="1" x14ac:dyDescent="0.25">
      <c r="A1530" t="s">
        <v>776</v>
      </c>
      <c r="B1530" t="s">
        <v>3205</v>
      </c>
      <c r="C1530" t="s">
        <v>3222</v>
      </c>
      <c r="D1530" t="s">
        <v>3748</v>
      </c>
      <c r="E1530" s="1">
        <v>242.78599500000001</v>
      </c>
      <c r="F1530" s="1">
        <v>243.22200000000001</v>
      </c>
      <c r="K1530" s="39">
        <f>DefaultValues!$B$4</f>
        <v>5</v>
      </c>
      <c r="L1530" s="1">
        <f>DefaultValues!$C$4</f>
        <v>0.5</v>
      </c>
      <c r="M1530" s="1" t="str">
        <f>DefaultValues!$D$4</f>
        <v xml:space="preserve">- Within interchange - </v>
      </c>
      <c r="N1530" s="1">
        <v>242.78599500000001</v>
      </c>
      <c r="O1530" s="1">
        <f>ABS(Table4[[#This Row],[EndMP]]-Table4[[#This Row],[StartMP]])</f>
        <v>0.43600499999999442</v>
      </c>
      <c r="P1530" s="1" t="str">
        <f>IF( AND( Table4[[#This Row],[Route]]=ClosureLocation!$B$3, ClosureLocation!$B$6 &gt;= Table4[[#This Row],[StartMP]], ClosureLocation!$B$6 &lt;= Table4[[#This Row],[EndMP]]), "Yes", "")</f>
        <v/>
      </c>
      <c r="Q1530" s="1" t="str">
        <f>IF( AND( Table4[[#This Row],[Route]]=ClosureLocation!$B$3, ClosureLocation!$B$6 &lt;= Table4[[#This Row],[StartMP]], ClosureLocation!$B$6 &gt;= Table4[[#This Row],[EndMP]]), "Yes", "")</f>
        <v/>
      </c>
      <c r="R1530" s="1" t="str">
        <f>IF( OR( Table4[[#This Row],[PrimaryMatch]]="Yes", Table4[[#This Row],[SecondaryMatch]]="Yes"), "Yes", "")</f>
        <v/>
      </c>
    </row>
    <row r="1531" spans="1:18" hidden="1" x14ac:dyDescent="0.25">
      <c r="A1531" t="s">
        <v>776</v>
      </c>
      <c r="B1531" t="s">
        <v>3205</v>
      </c>
      <c r="C1531" t="s">
        <v>3222</v>
      </c>
      <c r="D1531" t="s">
        <v>3748</v>
      </c>
      <c r="E1531" s="1">
        <v>246.395996</v>
      </c>
      <c r="F1531" s="1">
        <v>247.79299900000001</v>
      </c>
      <c r="K1531" s="39">
        <f>DefaultValues!$B$4</f>
        <v>5</v>
      </c>
      <c r="L1531" s="1">
        <f>DefaultValues!$C$4</f>
        <v>0.5</v>
      </c>
      <c r="M1531" s="1" t="str">
        <f>DefaultValues!$D$4</f>
        <v xml:space="preserve">- Within interchange - </v>
      </c>
      <c r="N1531" s="1">
        <v>246.395996</v>
      </c>
      <c r="O1531" s="1">
        <f>ABS(Table4[[#This Row],[EndMP]]-Table4[[#This Row],[StartMP]])</f>
        <v>1.3970030000000122</v>
      </c>
      <c r="P1531" s="1" t="str">
        <f>IF( AND( Table4[[#This Row],[Route]]=ClosureLocation!$B$3, ClosureLocation!$B$6 &gt;= Table4[[#This Row],[StartMP]], ClosureLocation!$B$6 &lt;= Table4[[#This Row],[EndMP]]), "Yes", "")</f>
        <v/>
      </c>
      <c r="Q1531" s="1" t="str">
        <f>IF( AND( Table4[[#This Row],[Route]]=ClosureLocation!$B$3, ClosureLocation!$B$6 &lt;= Table4[[#This Row],[StartMP]], ClosureLocation!$B$6 &gt;= Table4[[#This Row],[EndMP]]), "Yes", "")</f>
        <v/>
      </c>
      <c r="R1531" s="1" t="str">
        <f>IF( OR( Table4[[#This Row],[PrimaryMatch]]="Yes", Table4[[#This Row],[SecondaryMatch]]="Yes"), "Yes", "")</f>
        <v/>
      </c>
    </row>
    <row r="1532" spans="1:18" hidden="1" x14ac:dyDescent="0.25">
      <c r="A1532" t="s">
        <v>776</v>
      </c>
      <c r="B1532" t="s">
        <v>3205</v>
      </c>
      <c r="C1532" t="s">
        <v>3222</v>
      </c>
      <c r="D1532" t="s">
        <v>3748</v>
      </c>
      <c r="E1532" s="1">
        <v>250.63400300000001</v>
      </c>
      <c r="F1532" s="1">
        <v>251.317993</v>
      </c>
      <c r="K1532" s="39">
        <f>DefaultValues!$B$4</f>
        <v>5</v>
      </c>
      <c r="L1532" s="1">
        <f>DefaultValues!$C$4</f>
        <v>0.5</v>
      </c>
      <c r="M1532" s="1" t="str">
        <f>DefaultValues!$D$4</f>
        <v xml:space="preserve">- Within interchange - </v>
      </c>
      <c r="N1532" s="1">
        <v>250.63400300000001</v>
      </c>
      <c r="O1532" s="1">
        <f>ABS(Table4[[#This Row],[EndMP]]-Table4[[#This Row],[StartMP]])</f>
        <v>0.68398999999999432</v>
      </c>
      <c r="P1532" s="1" t="str">
        <f>IF( AND( Table4[[#This Row],[Route]]=ClosureLocation!$B$3, ClosureLocation!$B$6 &gt;= Table4[[#This Row],[StartMP]], ClosureLocation!$B$6 &lt;= Table4[[#This Row],[EndMP]]), "Yes", "")</f>
        <v/>
      </c>
      <c r="Q1532" s="1" t="str">
        <f>IF( AND( Table4[[#This Row],[Route]]=ClosureLocation!$B$3, ClosureLocation!$B$6 &lt;= Table4[[#This Row],[StartMP]], ClosureLocation!$B$6 &gt;= Table4[[#This Row],[EndMP]]), "Yes", "")</f>
        <v/>
      </c>
      <c r="R1532" s="1" t="str">
        <f>IF( OR( Table4[[#This Row],[PrimaryMatch]]="Yes", Table4[[#This Row],[SecondaryMatch]]="Yes"), "Yes", "")</f>
        <v/>
      </c>
    </row>
    <row r="1533" spans="1:18" hidden="1" x14ac:dyDescent="0.25">
      <c r="A1533" t="s">
        <v>776</v>
      </c>
      <c r="B1533" t="s">
        <v>3205</v>
      </c>
      <c r="C1533" t="s">
        <v>3222</v>
      </c>
      <c r="D1533" t="s">
        <v>3748</v>
      </c>
      <c r="E1533" s="1">
        <v>252.08599899999999</v>
      </c>
      <c r="F1533" s="1">
        <v>252.39999399999999</v>
      </c>
      <c r="K1533" s="39">
        <f>DefaultValues!$B$4</f>
        <v>5</v>
      </c>
      <c r="L1533" s="1">
        <f>DefaultValues!$C$4</f>
        <v>0.5</v>
      </c>
      <c r="M1533" s="1" t="str">
        <f>DefaultValues!$D$4</f>
        <v xml:space="preserve">- Within interchange - </v>
      </c>
      <c r="N1533" s="1">
        <v>252.08599899999999</v>
      </c>
      <c r="O1533" s="1">
        <f>ABS(Table4[[#This Row],[EndMP]]-Table4[[#This Row],[StartMP]])</f>
        <v>0.31399500000000558</v>
      </c>
      <c r="P1533" s="1" t="str">
        <f>IF( AND( Table4[[#This Row],[Route]]=ClosureLocation!$B$3, ClosureLocation!$B$6 &gt;= Table4[[#This Row],[StartMP]], ClosureLocation!$B$6 &lt;= Table4[[#This Row],[EndMP]]), "Yes", "")</f>
        <v/>
      </c>
      <c r="Q1533" s="1" t="str">
        <f>IF( AND( Table4[[#This Row],[Route]]=ClosureLocation!$B$3, ClosureLocation!$B$6 &lt;= Table4[[#This Row],[StartMP]], ClosureLocation!$B$6 &gt;= Table4[[#This Row],[EndMP]]), "Yes", "")</f>
        <v/>
      </c>
      <c r="R1533" s="1" t="str">
        <f>IF( OR( Table4[[#This Row],[PrimaryMatch]]="Yes", Table4[[#This Row],[SecondaryMatch]]="Yes"), "Yes", "")</f>
        <v/>
      </c>
    </row>
    <row r="1534" spans="1:18" hidden="1" x14ac:dyDescent="0.25">
      <c r="A1534" t="s">
        <v>776</v>
      </c>
      <c r="B1534" t="s">
        <v>3205</v>
      </c>
      <c r="C1534" t="s">
        <v>3222</v>
      </c>
      <c r="D1534" t="s">
        <v>3748</v>
      </c>
      <c r="E1534" s="1">
        <v>253</v>
      </c>
      <c r="F1534" s="1">
        <v>253.78199799999999</v>
      </c>
      <c r="K1534" s="39">
        <f>DefaultValues!$B$4</f>
        <v>5</v>
      </c>
      <c r="L1534" s="1">
        <f>DefaultValues!$C$4</f>
        <v>0.5</v>
      </c>
      <c r="M1534" s="1" t="str">
        <f>DefaultValues!$D$4</f>
        <v xml:space="preserve">- Within interchange - </v>
      </c>
      <c r="N1534" s="1">
        <v>253</v>
      </c>
      <c r="O1534" s="1">
        <f>ABS(Table4[[#This Row],[EndMP]]-Table4[[#This Row],[StartMP]])</f>
        <v>0.78199799999998731</v>
      </c>
      <c r="P1534" s="1" t="str">
        <f>IF( AND( Table4[[#This Row],[Route]]=ClosureLocation!$B$3, ClosureLocation!$B$6 &gt;= Table4[[#This Row],[StartMP]], ClosureLocation!$B$6 &lt;= Table4[[#This Row],[EndMP]]), "Yes", "")</f>
        <v/>
      </c>
      <c r="Q1534" s="1" t="str">
        <f>IF( AND( Table4[[#This Row],[Route]]=ClosureLocation!$B$3, ClosureLocation!$B$6 &lt;= Table4[[#This Row],[StartMP]], ClosureLocation!$B$6 &gt;= Table4[[#This Row],[EndMP]]), "Yes", "")</f>
        <v/>
      </c>
      <c r="R1534" s="1" t="str">
        <f>IF( OR( Table4[[#This Row],[PrimaryMatch]]="Yes", Table4[[#This Row],[SecondaryMatch]]="Yes"), "Yes", "")</f>
        <v/>
      </c>
    </row>
    <row r="1535" spans="1:18" hidden="1" x14ac:dyDescent="0.25">
      <c r="A1535" t="s">
        <v>776</v>
      </c>
      <c r="B1535" t="s">
        <v>3205</v>
      </c>
      <c r="C1535" t="s">
        <v>3222</v>
      </c>
      <c r="D1535" t="s">
        <v>3748</v>
      </c>
      <c r="E1535" s="1">
        <v>255.79499799999999</v>
      </c>
      <c r="F1535" s="1">
        <v>256.27700800000002</v>
      </c>
      <c r="K1535" s="39">
        <f>DefaultValues!$B$4</f>
        <v>5</v>
      </c>
      <c r="L1535" s="1">
        <f>DefaultValues!$C$4</f>
        <v>0.5</v>
      </c>
      <c r="M1535" s="1" t="str">
        <f>DefaultValues!$D$4</f>
        <v xml:space="preserve">- Within interchange - </v>
      </c>
      <c r="N1535" s="1">
        <v>255.79499799999999</v>
      </c>
      <c r="O1535" s="1">
        <f>ABS(Table4[[#This Row],[EndMP]]-Table4[[#This Row],[StartMP]])</f>
        <v>0.48201000000003091</v>
      </c>
      <c r="P1535" s="1" t="str">
        <f>IF( AND( Table4[[#This Row],[Route]]=ClosureLocation!$B$3, ClosureLocation!$B$6 &gt;= Table4[[#This Row],[StartMP]], ClosureLocation!$B$6 &lt;= Table4[[#This Row],[EndMP]]), "Yes", "")</f>
        <v/>
      </c>
      <c r="Q1535" s="1" t="str">
        <f>IF( AND( Table4[[#This Row],[Route]]=ClosureLocation!$B$3, ClosureLocation!$B$6 &lt;= Table4[[#This Row],[StartMP]], ClosureLocation!$B$6 &gt;= Table4[[#This Row],[EndMP]]), "Yes", "")</f>
        <v/>
      </c>
      <c r="R1535" s="1" t="str">
        <f>IF( OR( Table4[[#This Row],[PrimaryMatch]]="Yes", Table4[[#This Row],[SecondaryMatch]]="Yes"), "Yes", "")</f>
        <v/>
      </c>
    </row>
    <row r="1536" spans="1:18" hidden="1" x14ac:dyDescent="0.25">
      <c r="A1536" t="s">
        <v>776</v>
      </c>
      <c r="B1536" t="s">
        <v>3205</v>
      </c>
      <c r="C1536" t="s">
        <v>3222</v>
      </c>
      <c r="D1536" t="s">
        <v>3748</v>
      </c>
      <c r="E1536" s="1">
        <v>258.49099699999999</v>
      </c>
      <c r="F1536" s="1">
        <v>258.875</v>
      </c>
      <c r="K1536" s="39">
        <f>DefaultValues!$B$4</f>
        <v>5</v>
      </c>
      <c r="L1536" s="1">
        <f>DefaultValues!$C$4</f>
        <v>0.5</v>
      </c>
      <c r="M1536" s="1" t="str">
        <f>DefaultValues!$D$4</f>
        <v xml:space="preserve">- Within interchange - </v>
      </c>
      <c r="N1536" s="1">
        <v>258.49099699999999</v>
      </c>
      <c r="O1536" s="1">
        <f>ABS(Table4[[#This Row],[EndMP]]-Table4[[#This Row],[StartMP]])</f>
        <v>0.38400300000000698</v>
      </c>
      <c r="P1536" s="1" t="str">
        <f>IF( AND( Table4[[#This Row],[Route]]=ClosureLocation!$B$3, ClosureLocation!$B$6 &gt;= Table4[[#This Row],[StartMP]], ClosureLocation!$B$6 &lt;= Table4[[#This Row],[EndMP]]), "Yes", "")</f>
        <v/>
      </c>
      <c r="Q1536" s="1" t="str">
        <f>IF( AND( Table4[[#This Row],[Route]]=ClosureLocation!$B$3, ClosureLocation!$B$6 &lt;= Table4[[#This Row],[StartMP]], ClosureLocation!$B$6 &gt;= Table4[[#This Row],[EndMP]]), "Yes", "")</f>
        <v/>
      </c>
      <c r="R1536" s="1" t="str">
        <f>IF( OR( Table4[[#This Row],[PrimaryMatch]]="Yes", Table4[[#This Row],[SecondaryMatch]]="Yes"), "Yes", "")</f>
        <v/>
      </c>
    </row>
    <row r="1537" spans="1:18" hidden="1" x14ac:dyDescent="0.25">
      <c r="A1537" t="s">
        <v>776</v>
      </c>
      <c r="B1537" t="s">
        <v>3205</v>
      </c>
      <c r="C1537" t="s">
        <v>3222</v>
      </c>
      <c r="D1537" t="s">
        <v>3748</v>
      </c>
      <c r="E1537" s="1">
        <v>259.21899400000001</v>
      </c>
      <c r="F1537" s="1">
        <v>260.28900099999998</v>
      </c>
      <c r="K1537" s="39">
        <f>DefaultValues!$B$4</f>
        <v>5</v>
      </c>
      <c r="L1537" s="1">
        <f>DefaultValues!$C$4</f>
        <v>0.5</v>
      </c>
      <c r="M1537" s="1" t="str">
        <f>DefaultValues!$D$4</f>
        <v xml:space="preserve">- Within interchange - </v>
      </c>
      <c r="N1537" s="1">
        <v>259.21899400000001</v>
      </c>
      <c r="O1537" s="1">
        <f>ABS(Table4[[#This Row],[EndMP]]-Table4[[#This Row],[StartMP]])</f>
        <v>1.0700069999999755</v>
      </c>
      <c r="P1537" s="1" t="str">
        <f>IF( AND( Table4[[#This Row],[Route]]=ClosureLocation!$B$3, ClosureLocation!$B$6 &gt;= Table4[[#This Row],[StartMP]], ClosureLocation!$B$6 &lt;= Table4[[#This Row],[EndMP]]), "Yes", "")</f>
        <v/>
      </c>
      <c r="Q1537" s="1" t="str">
        <f>IF( AND( Table4[[#This Row],[Route]]=ClosureLocation!$B$3, ClosureLocation!$B$6 &lt;= Table4[[#This Row],[StartMP]], ClosureLocation!$B$6 &gt;= Table4[[#This Row],[EndMP]]), "Yes", "")</f>
        <v/>
      </c>
      <c r="R1537" s="1" t="str">
        <f>IF( OR( Table4[[#This Row],[PrimaryMatch]]="Yes", Table4[[#This Row],[SecondaryMatch]]="Yes"), "Yes", "")</f>
        <v/>
      </c>
    </row>
    <row r="1538" spans="1:18" hidden="1" x14ac:dyDescent="0.25">
      <c r="A1538" t="s">
        <v>776</v>
      </c>
      <c r="B1538" t="s">
        <v>3205</v>
      </c>
      <c r="C1538" t="s">
        <v>3222</v>
      </c>
      <c r="D1538" t="s">
        <v>3748</v>
      </c>
      <c r="E1538" s="1">
        <v>261.46099900000002</v>
      </c>
      <c r="F1538" s="1">
        <v>261.77700800000002</v>
      </c>
      <c r="K1538" s="39">
        <f>DefaultValues!$B$4</f>
        <v>5</v>
      </c>
      <c r="L1538" s="1">
        <f>DefaultValues!$C$4</f>
        <v>0.5</v>
      </c>
      <c r="M1538" s="1" t="str">
        <f>DefaultValues!$D$4</f>
        <v xml:space="preserve">- Within interchange - </v>
      </c>
      <c r="N1538" s="1">
        <v>261.46099900000002</v>
      </c>
      <c r="O1538" s="1">
        <f>ABS(Table4[[#This Row],[EndMP]]-Table4[[#This Row],[StartMP]])</f>
        <v>0.3160090000000082</v>
      </c>
      <c r="P1538" s="1" t="str">
        <f>IF( AND( Table4[[#This Row],[Route]]=ClosureLocation!$B$3, ClosureLocation!$B$6 &gt;= Table4[[#This Row],[StartMP]], ClosureLocation!$B$6 &lt;= Table4[[#This Row],[EndMP]]), "Yes", "")</f>
        <v/>
      </c>
      <c r="Q1538" s="1" t="str">
        <f>IF( AND( Table4[[#This Row],[Route]]=ClosureLocation!$B$3, ClosureLocation!$B$6 &lt;= Table4[[#This Row],[StartMP]], ClosureLocation!$B$6 &gt;= Table4[[#This Row],[EndMP]]), "Yes", "")</f>
        <v/>
      </c>
      <c r="R1538" s="1" t="str">
        <f>IF( OR( Table4[[#This Row],[PrimaryMatch]]="Yes", Table4[[#This Row],[SecondaryMatch]]="Yes"), "Yes", "")</f>
        <v/>
      </c>
    </row>
    <row r="1539" spans="1:18" hidden="1" x14ac:dyDescent="0.25">
      <c r="A1539" t="s">
        <v>776</v>
      </c>
      <c r="B1539" t="s">
        <v>3205</v>
      </c>
      <c r="C1539" t="s">
        <v>3222</v>
      </c>
      <c r="D1539" t="s">
        <v>3748</v>
      </c>
      <c r="E1539" s="1">
        <v>262.13299599999999</v>
      </c>
      <c r="F1539" s="1">
        <v>262.81201199999998</v>
      </c>
      <c r="K1539" s="39">
        <f>DefaultValues!$B$4</f>
        <v>5</v>
      </c>
      <c r="L1539" s="1">
        <f>DefaultValues!$C$4</f>
        <v>0.5</v>
      </c>
      <c r="M1539" s="1" t="str">
        <f>DefaultValues!$D$4</f>
        <v xml:space="preserve">- Within interchange - </v>
      </c>
      <c r="N1539" s="1">
        <v>262.13299599999999</v>
      </c>
      <c r="O1539" s="1">
        <f>ABS(Table4[[#This Row],[EndMP]]-Table4[[#This Row],[StartMP]])</f>
        <v>0.67901599999999007</v>
      </c>
      <c r="P1539" s="1" t="str">
        <f>IF( AND( Table4[[#This Row],[Route]]=ClosureLocation!$B$3, ClosureLocation!$B$6 &gt;= Table4[[#This Row],[StartMP]], ClosureLocation!$B$6 &lt;= Table4[[#This Row],[EndMP]]), "Yes", "")</f>
        <v/>
      </c>
      <c r="Q1539" s="1" t="str">
        <f>IF( AND( Table4[[#This Row],[Route]]=ClosureLocation!$B$3, ClosureLocation!$B$6 &lt;= Table4[[#This Row],[StartMP]], ClosureLocation!$B$6 &gt;= Table4[[#This Row],[EndMP]]), "Yes", "")</f>
        <v/>
      </c>
      <c r="R1539" s="1" t="str">
        <f>IF( OR( Table4[[#This Row],[PrimaryMatch]]="Yes", Table4[[#This Row],[SecondaryMatch]]="Yes"), "Yes", "")</f>
        <v/>
      </c>
    </row>
    <row r="1540" spans="1:18" hidden="1" x14ac:dyDescent="0.25">
      <c r="A1540" t="s">
        <v>776</v>
      </c>
      <c r="B1540" t="s">
        <v>3205</v>
      </c>
      <c r="C1540" t="s">
        <v>3222</v>
      </c>
      <c r="D1540" t="s">
        <v>3748</v>
      </c>
      <c r="E1540" s="1">
        <v>263.92999300000002</v>
      </c>
      <c r="F1540" s="1">
        <v>264.73098800000002</v>
      </c>
      <c r="K1540" s="39">
        <f>DefaultValues!$B$4</f>
        <v>5</v>
      </c>
      <c r="L1540" s="1">
        <f>DefaultValues!$C$4</f>
        <v>0.5</v>
      </c>
      <c r="M1540" s="1" t="str">
        <f>DefaultValues!$D$4</f>
        <v xml:space="preserve">- Within interchange - </v>
      </c>
      <c r="N1540" s="1">
        <v>263.92999300000002</v>
      </c>
      <c r="O1540" s="1">
        <f>ABS(Table4[[#This Row],[EndMP]]-Table4[[#This Row],[StartMP]])</f>
        <v>0.80099500000000035</v>
      </c>
      <c r="P1540" s="1" t="str">
        <f>IF( AND( Table4[[#This Row],[Route]]=ClosureLocation!$B$3, ClosureLocation!$B$6 &gt;= Table4[[#This Row],[StartMP]], ClosureLocation!$B$6 &lt;= Table4[[#This Row],[EndMP]]), "Yes", "")</f>
        <v/>
      </c>
      <c r="Q1540" s="1" t="str">
        <f>IF( AND( Table4[[#This Row],[Route]]=ClosureLocation!$B$3, ClosureLocation!$B$6 &lt;= Table4[[#This Row],[StartMP]], ClosureLocation!$B$6 &gt;= Table4[[#This Row],[EndMP]]), "Yes", "")</f>
        <v/>
      </c>
      <c r="R1540" s="1" t="str">
        <f>IF( OR( Table4[[#This Row],[PrimaryMatch]]="Yes", Table4[[#This Row],[SecondaryMatch]]="Yes"), "Yes", "")</f>
        <v/>
      </c>
    </row>
    <row r="1541" spans="1:18" hidden="1" x14ac:dyDescent="0.25">
      <c r="A1541" t="s">
        <v>776</v>
      </c>
      <c r="B1541" t="s">
        <v>3205</v>
      </c>
      <c r="C1541" t="s">
        <v>3222</v>
      </c>
      <c r="D1541" t="s">
        <v>3748</v>
      </c>
      <c r="E1541" s="1">
        <v>264.88799999999998</v>
      </c>
      <c r="F1541" s="1">
        <v>265.49301100000002</v>
      </c>
      <c r="K1541" s="39">
        <f>DefaultValues!$B$4</f>
        <v>5</v>
      </c>
      <c r="L1541" s="1">
        <f>DefaultValues!$C$4</f>
        <v>0.5</v>
      </c>
      <c r="M1541" s="1" t="str">
        <f>DefaultValues!$D$4</f>
        <v xml:space="preserve">- Within interchange - </v>
      </c>
      <c r="N1541" s="1">
        <v>264.88799999999998</v>
      </c>
      <c r="O1541" s="1">
        <f>ABS(Table4[[#This Row],[EndMP]]-Table4[[#This Row],[StartMP]])</f>
        <v>0.60501100000004726</v>
      </c>
      <c r="P1541" s="1" t="str">
        <f>IF( AND( Table4[[#This Row],[Route]]=ClosureLocation!$B$3, ClosureLocation!$B$6 &gt;= Table4[[#This Row],[StartMP]], ClosureLocation!$B$6 &lt;= Table4[[#This Row],[EndMP]]), "Yes", "")</f>
        <v/>
      </c>
      <c r="Q1541" s="1" t="str">
        <f>IF( AND( Table4[[#This Row],[Route]]=ClosureLocation!$B$3, ClosureLocation!$B$6 &lt;= Table4[[#This Row],[StartMP]], ClosureLocation!$B$6 &gt;= Table4[[#This Row],[EndMP]]), "Yes", "")</f>
        <v/>
      </c>
      <c r="R1541" s="1" t="str">
        <f>IF( OR( Table4[[#This Row],[PrimaryMatch]]="Yes", Table4[[#This Row],[SecondaryMatch]]="Yes"), "Yes", "")</f>
        <v/>
      </c>
    </row>
    <row r="1542" spans="1:18" hidden="1" x14ac:dyDescent="0.25">
      <c r="A1542" t="s">
        <v>776</v>
      </c>
      <c r="B1542" t="s">
        <v>3205</v>
      </c>
      <c r="C1542" t="s">
        <v>3222</v>
      </c>
      <c r="D1542" t="s">
        <v>3748</v>
      </c>
      <c r="E1542" s="1">
        <v>265.77499399999999</v>
      </c>
      <c r="F1542" s="1">
        <v>265.97500600000001</v>
      </c>
      <c r="K1542" s="39">
        <f>DefaultValues!$B$4</f>
        <v>5</v>
      </c>
      <c r="L1542" s="1">
        <f>DefaultValues!$C$4</f>
        <v>0.5</v>
      </c>
      <c r="M1542" s="1" t="str">
        <f>DefaultValues!$D$4</f>
        <v xml:space="preserve">- Within interchange - </v>
      </c>
      <c r="N1542" s="1">
        <v>265.77499399999999</v>
      </c>
      <c r="O1542" s="1">
        <f>ABS(Table4[[#This Row],[EndMP]]-Table4[[#This Row],[StartMP]])</f>
        <v>0.20001200000001518</v>
      </c>
      <c r="P1542" s="1" t="str">
        <f>IF( AND( Table4[[#This Row],[Route]]=ClosureLocation!$B$3, ClosureLocation!$B$6 &gt;= Table4[[#This Row],[StartMP]], ClosureLocation!$B$6 &lt;= Table4[[#This Row],[EndMP]]), "Yes", "")</f>
        <v/>
      </c>
      <c r="Q1542" s="1" t="str">
        <f>IF( AND( Table4[[#This Row],[Route]]=ClosureLocation!$B$3, ClosureLocation!$B$6 &lt;= Table4[[#This Row],[StartMP]], ClosureLocation!$B$6 &gt;= Table4[[#This Row],[EndMP]]), "Yes", "")</f>
        <v/>
      </c>
      <c r="R1542" s="1" t="str">
        <f>IF( OR( Table4[[#This Row],[PrimaryMatch]]="Yes", Table4[[#This Row],[SecondaryMatch]]="Yes"), "Yes", "")</f>
        <v/>
      </c>
    </row>
    <row r="1543" spans="1:18" hidden="1" x14ac:dyDescent="0.25">
      <c r="A1543" t="s">
        <v>776</v>
      </c>
      <c r="B1543" t="s">
        <v>3205</v>
      </c>
      <c r="C1543" t="s">
        <v>3222</v>
      </c>
      <c r="D1543" t="s">
        <v>3748</v>
      </c>
      <c r="E1543" s="1">
        <v>267.23800699999998</v>
      </c>
      <c r="F1543" s="1">
        <v>267.61999500000002</v>
      </c>
      <c r="K1543" s="39">
        <f>DefaultValues!$B$4</f>
        <v>5</v>
      </c>
      <c r="L1543" s="1">
        <f>DefaultValues!$C$4</f>
        <v>0.5</v>
      </c>
      <c r="M1543" s="1" t="str">
        <f>DefaultValues!$D$4</f>
        <v xml:space="preserve">- Within interchange - </v>
      </c>
      <c r="N1543" s="1">
        <v>267.23800699999998</v>
      </c>
      <c r="O1543" s="1">
        <f>ABS(Table4[[#This Row],[EndMP]]-Table4[[#This Row],[StartMP]])</f>
        <v>0.3819880000000353</v>
      </c>
      <c r="P1543" s="1" t="str">
        <f>IF( AND( Table4[[#This Row],[Route]]=ClosureLocation!$B$3, ClosureLocation!$B$6 &gt;= Table4[[#This Row],[StartMP]], ClosureLocation!$B$6 &lt;= Table4[[#This Row],[EndMP]]), "Yes", "")</f>
        <v/>
      </c>
      <c r="Q1543" s="1" t="str">
        <f>IF( AND( Table4[[#This Row],[Route]]=ClosureLocation!$B$3, ClosureLocation!$B$6 &lt;= Table4[[#This Row],[StartMP]], ClosureLocation!$B$6 &gt;= Table4[[#This Row],[EndMP]]), "Yes", "")</f>
        <v/>
      </c>
      <c r="R1543" s="1" t="str">
        <f>IF( OR( Table4[[#This Row],[PrimaryMatch]]="Yes", Table4[[#This Row],[SecondaryMatch]]="Yes"), "Yes", "")</f>
        <v/>
      </c>
    </row>
    <row r="1544" spans="1:18" hidden="1" x14ac:dyDescent="0.25">
      <c r="A1544" t="s">
        <v>776</v>
      </c>
      <c r="B1544" t="s">
        <v>3205</v>
      </c>
      <c r="C1544" t="s">
        <v>3222</v>
      </c>
      <c r="D1544" t="s">
        <v>3748</v>
      </c>
      <c r="E1544" s="1">
        <v>268.73400900000001</v>
      </c>
      <c r="F1544" s="1">
        <v>269.60998499999999</v>
      </c>
      <c r="K1544" s="39">
        <f>DefaultValues!$B$4</f>
        <v>5</v>
      </c>
      <c r="L1544" s="1">
        <f>DefaultValues!$C$4</f>
        <v>0.5</v>
      </c>
      <c r="M1544" s="1" t="str">
        <f>DefaultValues!$D$4</f>
        <v xml:space="preserve">- Within interchange - </v>
      </c>
      <c r="N1544" s="1">
        <v>268.73400900000001</v>
      </c>
      <c r="O1544" s="1">
        <f>ABS(Table4[[#This Row],[EndMP]]-Table4[[#This Row],[StartMP]])</f>
        <v>0.8759759999999801</v>
      </c>
      <c r="P1544" s="1" t="str">
        <f>IF( AND( Table4[[#This Row],[Route]]=ClosureLocation!$B$3, ClosureLocation!$B$6 &gt;= Table4[[#This Row],[StartMP]], ClosureLocation!$B$6 &lt;= Table4[[#This Row],[EndMP]]), "Yes", "")</f>
        <v/>
      </c>
      <c r="Q1544" s="1" t="str">
        <f>IF( AND( Table4[[#This Row],[Route]]=ClosureLocation!$B$3, ClosureLocation!$B$6 &lt;= Table4[[#This Row],[StartMP]], ClosureLocation!$B$6 &gt;= Table4[[#This Row],[EndMP]]), "Yes", "")</f>
        <v/>
      </c>
      <c r="R1544" s="1" t="str">
        <f>IF( OR( Table4[[#This Row],[PrimaryMatch]]="Yes", Table4[[#This Row],[SecondaryMatch]]="Yes"), "Yes", "")</f>
        <v/>
      </c>
    </row>
    <row r="1545" spans="1:18" hidden="1" x14ac:dyDescent="0.25">
      <c r="A1545" t="s">
        <v>776</v>
      </c>
      <c r="B1545" t="s">
        <v>3205</v>
      </c>
      <c r="C1545" t="s">
        <v>3222</v>
      </c>
      <c r="D1545" t="s">
        <v>3748</v>
      </c>
      <c r="E1545" s="1">
        <v>269.86999500000002</v>
      </c>
      <c r="F1545" s="1">
        <v>270.760986</v>
      </c>
      <c r="K1545" s="39">
        <f>DefaultValues!$B$4</f>
        <v>5</v>
      </c>
      <c r="L1545" s="1">
        <f>DefaultValues!$C$4</f>
        <v>0.5</v>
      </c>
      <c r="M1545" s="1" t="str">
        <f>DefaultValues!$D$4</f>
        <v xml:space="preserve">- Within interchange - </v>
      </c>
      <c r="N1545" s="1">
        <v>269.86999500000002</v>
      </c>
      <c r="O1545" s="1">
        <f>ABS(Table4[[#This Row],[EndMP]]-Table4[[#This Row],[StartMP]])</f>
        <v>0.89099099999998543</v>
      </c>
      <c r="P1545" s="1" t="str">
        <f>IF( AND( Table4[[#This Row],[Route]]=ClosureLocation!$B$3, ClosureLocation!$B$6 &gt;= Table4[[#This Row],[StartMP]], ClosureLocation!$B$6 &lt;= Table4[[#This Row],[EndMP]]), "Yes", "")</f>
        <v/>
      </c>
      <c r="Q1545" s="1" t="str">
        <f>IF( AND( Table4[[#This Row],[Route]]=ClosureLocation!$B$3, ClosureLocation!$B$6 &lt;= Table4[[#This Row],[StartMP]], ClosureLocation!$B$6 &gt;= Table4[[#This Row],[EndMP]]), "Yes", "")</f>
        <v/>
      </c>
      <c r="R1545" s="1" t="str">
        <f>IF( OR( Table4[[#This Row],[PrimaryMatch]]="Yes", Table4[[#This Row],[SecondaryMatch]]="Yes"), "Yes", "")</f>
        <v/>
      </c>
    </row>
    <row r="1546" spans="1:18" hidden="1" x14ac:dyDescent="0.25">
      <c r="A1546" t="s">
        <v>776</v>
      </c>
      <c r="B1546" t="s">
        <v>3205</v>
      </c>
      <c r="C1546" t="s">
        <v>3222</v>
      </c>
      <c r="D1546" t="s">
        <v>3748</v>
      </c>
      <c r="E1546" s="1">
        <v>271.92001299999998</v>
      </c>
      <c r="F1546" s="1">
        <v>272.19400000000002</v>
      </c>
      <c r="K1546" s="39">
        <f>DefaultValues!$B$4</f>
        <v>5</v>
      </c>
      <c r="L1546" s="1">
        <f>DefaultValues!$C$4</f>
        <v>0.5</v>
      </c>
      <c r="M1546" s="1" t="str">
        <f>DefaultValues!$D$4</f>
        <v xml:space="preserve">- Within interchange - </v>
      </c>
      <c r="N1546" s="1">
        <v>271.92001299999998</v>
      </c>
      <c r="O1546" s="1">
        <f>ABS(Table4[[#This Row],[EndMP]]-Table4[[#This Row],[StartMP]])</f>
        <v>0.27398700000003373</v>
      </c>
      <c r="P1546" s="1" t="str">
        <f>IF( AND( Table4[[#This Row],[Route]]=ClosureLocation!$B$3, ClosureLocation!$B$6 &gt;= Table4[[#This Row],[StartMP]], ClosureLocation!$B$6 &lt;= Table4[[#This Row],[EndMP]]), "Yes", "")</f>
        <v/>
      </c>
      <c r="Q1546" s="1" t="str">
        <f>IF( AND( Table4[[#This Row],[Route]]=ClosureLocation!$B$3, ClosureLocation!$B$6 &lt;= Table4[[#This Row],[StartMP]], ClosureLocation!$B$6 &gt;= Table4[[#This Row],[EndMP]]), "Yes", "")</f>
        <v/>
      </c>
      <c r="R1546" s="1" t="str">
        <f>IF( OR( Table4[[#This Row],[PrimaryMatch]]="Yes", Table4[[#This Row],[SecondaryMatch]]="Yes"), "Yes", "")</f>
        <v/>
      </c>
    </row>
    <row r="1547" spans="1:18" hidden="1" x14ac:dyDescent="0.25">
      <c r="A1547" t="s">
        <v>776</v>
      </c>
      <c r="B1547" t="s">
        <v>3205</v>
      </c>
      <c r="C1547" t="s">
        <v>3222</v>
      </c>
      <c r="D1547" t="s">
        <v>3748</v>
      </c>
      <c r="E1547" s="1">
        <v>272.868988</v>
      </c>
      <c r="F1547" s="1">
        <v>273.19799799999998</v>
      </c>
      <c r="K1547" s="39">
        <f>DefaultValues!$B$4</f>
        <v>5</v>
      </c>
      <c r="L1547" s="1">
        <f>DefaultValues!$C$4</f>
        <v>0.5</v>
      </c>
      <c r="M1547" s="1" t="str">
        <f>DefaultValues!$D$4</f>
        <v xml:space="preserve">- Within interchange - </v>
      </c>
      <c r="N1547" s="1">
        <v>272.868988</v>
      </c>
      <c r="O1547" s="1">
        <f>ABS(Table4[[#This Row],[EndMP]]-Table4[[#This Row],[StartMP]])</f>
        <v>0.32900999999998248</v>
      </c>
      <c r="P1547" s="1" t="str">
        <f>IF( AND( Table4[[#This Row],[Route]]=ClosureLocation!$B$3, ClosureLocation!$B$6 &gt;= Table4[[#This Row],[StartMP]], ClosureLocation!$B$6 &lt;= Table4[[#This Row],[EndMP]]), "Yes", "")</f>
        <v/>
      </c>
      <c r="Q1547" s="1" t="str">
        <f>IF( AND( Table4[[#This Row],[Route]]=ClosureLocation!$B$3, ClosureLocation!$B$6 &lt;= Table4[[#This Row],[StartMP]], ClosureLocation!$B$6 &gt;= Table4[[#This Row],[EndMP]]), "Yes", "")</f>
        <v/>
      </c>
      <c r="R1547" s="1" t="str">
        <f>IF( OR( Table4[[#This Row],[PrimaryMatch]]="Yes", Table4[[#This Row],[SecondaryMatch]]="Yes"), "Yes", "")</f>
        <v/>
      </c>
    </row>
    <row r="1548" spans="1:18" hidden="1" x14ac:dyDescent="0.25">
      <c r="A1548" t="s">
        <v>776</v>
      </c>
      <c r="B1548" t="s">
        <v>3205</v>
      </c>
      <c r="C1548" t="s">
        <v>3222</v>
      </c>
      <c r="D1548" t="s">
        <v>3748</v>
      </c>
      <c r="E1548" s="1">
        <v>273.36200000000002</v>
      </c>
      <c r="F1548" s="1">
        <v>274.88699300000002</v>
      </c>
      <c r="K1548" s="39">
        <f>DefaultValues!$B$4</f>
        <v>5</v>
      </c>
      <c r="L1548" s="1">
        <f>DefaultValues!$C$4</f>
        <v>0.5</v>
      </c>
      <c r="M1548" s="1" t="str">
        <f>DefaultValues!$D$4</f>
        <v xml:space="preserve">- Within interchange - </v>
      </c>
      <c r="N1548" s="1">
        <v>273.36200000000002</v>
      </c>
      <c r="O1548" s="1">
        <f>ABS(Table4[[#This Row],[EndMP]]-Table4[[#This Row],[StartMP]])</f>
        <v>1.5249929999999949</v>
      </c>
      <c r="P1548" s="1" t="str">
        <f>IF( AND( Table4[[#This Row],[Route]]=ClosureLocation!$B$3, ClosureLocation!$B$6 &gt;= Table4[[#This Row],[StartMP]], ClosureLocation!$B$6 &lt;= Table4[[#This Row],[EndMP]]), "Yes", "")</f>
        <v/>
      </c>
      <c r="Q1548" s="1" t="str">
        <f>IF( AND( Table4[[#This Row],[Route]]=ClosureLocation!$B$3, ClosureLocation!$B$6 &lt;= Table4[[#This Row],[StartMP]], ClosureLocation!$B$6 &gt;= Table4[[#This Row],[EndMP]]), "Yes", "")</f>
        <v/>
      </c>
      <c r="R1548" s="1" t="str">
        <f>IF( OR( Table4[[#This Row],[PrimaryMatch]]="Yes", Table4[[#This Row],[SecondaryMatch]]="Yes"), "Yes", "")</f>
        <v/>
      </c>
    </row>
    <row r="1549" spans="1:18" hidden="1" x14ac:dyDescent="0.25">
      <c r="A1549" t="s">
        <v>776</v>
      </c>
      <c r="B1549" t="s">
        <v>3205</v>
      </c>
      <c r="C1549" t="s">
        <v>3222</v>
      </c>
      <c r="D1549" t="s">
        <v>3748</v>
      </c>
      <c r="E1549" s="1">
        <v>275.01199300000002</v>
      </c>
      <c r="F1549" s="1">
        <v>275.36099200000001</v>
      </c>
      <c r="K1549" s="39">
        <f>DefaultValues!$B$4</f>
        <v>5</v>
      </c>
      <c r="L1549" s="1">
        <f>DefaultValues!$C$4</f>
        <v>0.5</v>
      </c>
      <c r="M1549" s="1" t="str">
        <f>DefaultValues!$D$4</f>
        <v xml:space="preserve">- Within interchange - </v>
      </c>
      <c r="N1549" s="1">
        <v>275.01199300000002</v>
      </c>
      <c r="O1549" s="1">
        <f>ABS(Table4[[#This Row],[EndMP]]-Table4[[#This Row],[StartMP]])</f>
        <v>0.34899899999999207</v>
      </c>
      <c r="P1549" s="1" t="str">
        <f>IF( AND( Table4[[#This Row],[Route]]=ClosureLocation!$B$3, ClosureLocation!$B$6 &gt;= Table4[[#This Row],[StartMP]], ClosureLocation!$B$6 &lt;= Table4[[#This Row],[EndMP]]), "Yes", "")</f>
        <v/>
      </c>
      <c r="Q1549" s="1" t="str">
        <f>IF( AND( Table4[[#This Row],[Route]]=ClosureLocation!$B$3, ClosureLocation!$B$6 &lt;= Table4[[#This Row],[StartMP]], ClosureLocation!$B$6 &gt;= Table4[[#This Row],[EndMP]]), "Yes", "")</f>
        <v/>
      </c>
      <c r="R1549" s="1" t="str">
        <f>IF( OR( Table4[[#This Row],[PrimaryMatch]]="Yes", Table4[[#This Row],[SecondaryMatch]]="Yes"), "Yes", "")</f>
        <v/>
      </c>
    </row>
    <row r="1550" spans="1:18" hidden="1" x14ac:dyDescent="0.25">
      <c r="A1550" t="s">
        <v>776</v>
      </c>
      <c r="B1550" t="s">
        <v>3205</v>
      </c>
      <c r="C1550" t="s">
        <v>3222</v>
      </c>
      <c r="D1550" t="s">
        <v>3748</v>
      </c>
      <c r="E1550" s="1">
        <v>275.92498799999998</v>
      </c>
      <c r="F1550" s="1">
        <v>276.25799599999999</v>
      </c>
      <c r="K1550" s="39">
        <f>DefaultValues!$B$4</f>
        <v>5</v>
      </c>
      <c r="L1550" s="1">
        <f>DefaultValues!$C$4</f>
        <v>0.5</v>
      </c>
      <c r="M1550" s="1" t="str">
        <f>DefaultValues!$D$4</f>
        <v xml:space="preserve">- Within interchange - </v>
      </c>
      <c r="N1550" s="1">
        <v>275.92498799999998</v>
      </c>
      <c r="O1550" s="1">
        <f>ABS(Table4[[#This Row],[EndMP]]-Table4[[#This Row],[StartMP]])</f>
        <v>0.33300800000000663</v>
      </c>
      <c r="P1550" s="1" t="str">
        <f>IF( AND( Table4[[#This Row],[Route]]=ClosureLocation!$B$3, ClosureLocation!$B$6 &gt;= Table4[[#This Row],[StartMP]], ClosureLocation!$B$6 &lt;= Table4[[#This Row],[EndMP]]), "Yes", "")</f>
        <v/>
      </c>
      <c r="Q1550" s="1" t="str">
        <f>IF( AND( Table4[[#This Row],[Route]]=ClosureLocation!$B$3, ClosureLocation!$B$6 &lt;= Table4[[#This Row],[StartMP]], ClosureLocation!$B$6 &gt;= Table4[[#This Row],[EndMP]]), "Yes", "")</f>
        <v/>
      </c>
      <c r="R1550" s="1" t="str">
        <f>IF( OR( Table4[[#This Row],[PrimaryMatch]]="Yes", Table4[[#This Row],[SecondaryMatch]]="Yes"), "Yes", "")</f>
        <v/>
      </c>
    </row>
    <row r="1551" spans="1:18" hidden="1" x14ac:dyDescent="0.25">
      <c r="A1551" t="s">
        <v>776</v>
      </c>
      <c r="B1551" t="s">
        <v>3205</v>
      </c>
      <c r="C1551" t="s">
        <v>3222</v>
      </c>
      <c r="D1551" t="s">
        <v>3748</v>
      </c>
      <c r="E1551" s="1">
        <v>276.42001299999998</v>
      </c>
      <c r="F1551" s="1">
        <v>276.70001200000002</v>
      </c>
      <c r="K1551" s="39">
        <f>DefaultValues!$B$4</f>
        <v>5</v>
      </c>
      <c r="L1551" s="1">
        <f>DefaultValues!$C$4</f>
        <v>0.5</v>
      </c>
      <c r="M1551" s="1" t="str">
        <f>DefaultValues!$D$4</f>
        <v xml:space="preserve">- Within interchange - </v>
      </c>
      <c r="N1551" s="1">
        <v>276.42001299999998</v>
      </c>
      <c r="O1551" s="1">
        <f>ABS(Table4[[#This Row],[EndMP]]-Table4[[#This Row],[StartMP]])</f>
        <v>0.27999900000003208</v>
      </c>
      <c r="P1551" s="1" t="str">
        <f>IF( AND( Table4[[#This Row],[Route]]=ClosureLocation!$B$3, ClosureLocation!$B$6 &gt;= Table4[[#This Row],[StartMP]], ClosureLocation!$B$6 &lt;= Table4[[#This Row],[EndMP]]), "Yes", "")</f>
        <v/>
      </c>
      <c r="Q1551" s="1" t="str">
        <f>IF( AND( Table4[[#This Row],[Route]]=ClosureLocation!$B$3, ClosureLocation!$B$6 &lt;= Table4[[#This Row],[StartMP]], ClosureLocation!$B$6 &gt;= Table4[[#This Row],[EndMP]]), "Yes", "")</f>
        <v/>
      </c>
      <c r="R1551" s="1" t="str">
        <f>IF( OR( Table4[[#This Row],[PrimaryMatch]]="Yes", Table4[[#This Row],[SecondaryMatch]]="Yes"), "Yes", "")</f>
        <v/>
      </c>
    </row>
    <row r="1552" spans="1:18" hidden="1" x14ac:dyDescent="0.25">
      <c r="A1552" t="s">
        <v>776</v>
      </c>
      <c r="B1552" t="s">
        <v>3205</v>
      </c>
      <c r="C1552" t="s">
        <v>3222</v>
      </c>
      <c r="D1552" t="s">
        <v>3748</v>
      </c>
      <c r="E1552" s="1">
        <v>278.37399299999998</v>
      </c>
      <c r="F1552" s="1">
        <v>278.70098899999999</v>
      </c>
      <c r="K1552" s="39">
        <f>DefaultValues!$B$4</f>
        <v>5</v>
      </c>
      <c r="L1552" s="1">
        <f>DefaultValues!$C$4</f>
        <v>0.5</v>
      </c>
      <c r="M1552" s="1" t="str">
        <f>DefaultValues!$D$4</f>
        <v xml:space="preserve">- Within interchange - </v>
      </c>
      <c r="N1552" s="1">
        <v>278.37399299999998</v>
      </c>
      <c r="O1552" s="1">
        <f>ABS(Table4[[#This Row],[EndMP]]-Table4[[#This Row],[StartMP]])</f>
        <v>0.32699600000000828</v>
      </c>
      <c r="P1552" s="1" t="str">
        <f>IF( AND( Table4[[#This Row],[Route]]=ClosureLocation!$B$3, ClosureLocation!$B$6 &gt;= Table4[[#This Row],[StartMP]], ClosureLocation!$B$6 &lt;= Table4[[#This Row],[EndMP]]), "Yes", "")</f>
        <v/>
      </c>
      <c r="Q1552" s="1" t="str">
        <f>IF( AND( Table4[[#This Row],[Route]]=ClosureLocation!$B$3, ClosureLocation!$B$6 &lt;= Table4[[#This Row],[StartMP]], ClosureLocation!$B$6 &gt;= Table4[[#This Row],[EndMP]]), "Yes", "")</f>
        <v/>
      </c>
      <c r="R1552" s="1" t="str">
        <f>IF( OR( Table4[[#This Row],[PrimaryMatch]]="Yes", Table4[[#This Row],[SecondaryMatch]]="Yes"), "Yes", "")</f>
        <v/>
      </c>
    </row>
    <row r="1553" spans="1:18" hidden="1" x14ac:dyDescent="0.25">
      <c r="A1553" t="s">
        <v>776</v>
      </c>
      <c r="B1553" t="s">
        <v>3205</v>
      </c>
      <c r="C1553" t="s">
        <v>3222</v>
      </c>
      <c r="D1553" t="s">
        <v>3748</v>
      </c>
      <c r="E1553" s="1">
        <v>279.04299900000001</v>
      </c>
      <c r="F1553" s="1">
        <v>280</v>
      </c>
      <c r="K1553" s="39">
        <f>DefaultValues!$B$4</f>
        <v>5</v>
      </c>
      <c r="L1553" s="1">
        <f>DefaultValues!$C$4</f>
        <v>0.5</v>
      </c>
      <c r="M1553" s="1" t="str">
        <f>DefaultValues!$D$4</f>
        <v xml:space="preserve">- Within interchange - </v>
      </c>
      <c r="N1553" s="1">
        <v>279.04299900000001</v>
      </c>
      <c r="O1553" s="1">
        <f>ABS(Table4[[#This Row],[EndMP]]-Table4[[#This Row],[StartMP]])</f>
        <v>0.95700099999999111</v>
      </c>
      <c r="P1553" s="1" t="str">
        <f>IF( AND( Table4[[#This Row],[Route]]=ClosureLocation!$B$3, ClosureLocation!$B$6 &gt;= Table4[[#This Row],[StartMP]], ClosureLocation!$B$6 &lt;= Table4[[#This Row],[EndMP]]), "Yes", "")</f>
        <v/>
      </c>
      <c r="Q1553" s="1" t="str">
        <f>IF( AND( Table4[[#This Row],[Route]]=ClosureLocation!$B$3, ClosureLocation!$B$6 &lt;= Table4[[#This Row],[StartMP]], ClosureLocation!$B$6 &gt;= Table4[[#This Row],[EndMP]]), "Yes", "")</f>
        <v/>
      </c>
      <c r="R1553" s="1" t="str">
        <f>IF( OR( Table4[[#This Row],[PrimaryMatch]]="Yes", Table4[[#This Row],[SecondaryMatch]]="Yes"), "Yes", "")</f>
        <v/>
      </c>
    </row>
    <row r="1554" spans="1:18" hidden="1" x14ac:dyDescent="0.25">
      <c r="A1554" t="s">
        <v>776</v>
      </c>
      <c r="B1554" t="s">
        <v>3205</v>
      </c>
      <c r="C1554" t="s">
        <v>3222</v>
      </c>
      <c r="D1554" t="s">
        <v>3748</v>
      </c>
      <c r="E1554" s="1">
        <v>280.591003</v>
      </c>
      <c r="F1554" s="1">
        <v>280.79800399999999</v>
      </c>
      <c r="K1554" s="39">
        <f>DefaultValues!$B$4</f>
        <v>5</v>
      </c>
      <c r="L1554" s="1">
        <f>DefaultValues!$C$4</f>
        <v>0.5</v>
      </c>
      <c r="M1554" s="1" t="str">
        <f>DefaultValues!$D$4</f>
        <v xml:space="preserve">- Within interchange - </v>
      </c>
      <c r="N1554" s="1">
        <v>280.591003</v>
      </c>
      <c r="O1554" s="1">
        <f>ABS(Table4[[#This Row],[EndMP]]-Table4[[#This Row],[StartMP]])</f>
        <v>0.20700099999999111</v>
      </c>
      <c r="P1554" s="1" t="str">
        <f>IF( AND( Table4[[#This Row],[Route]]=ClosureLocation!$B$3, ClosureLocation!$B$6 &gt;= Table4[[#This Row],[StartMP]], ClosureLocation!$B$6 &lt;= Table4[[#This Row],[EndMP]]), "Yes", "")</f>
        <v/>
      </c>
      <c r="Q1554" s="1" t="str">
        <f>IF( AND( Table4[[#This Row],[Route]]=ClosureLocation!$B$3, ClosureLocation!$B$6 &lt;= Table4[[#This Row],[StartMP]], ClosureLocation!$B$6 &gt;= Table4[[#This Row],[EndMP]]), "Yes", "")</f>
        <v/>
      </c>
      <c r="R1554" s="1" t="str">
        <f>IF( OR( Table4[[#This Row],[PrimaryMatch]]="Yes", Table4[[#This Row],[SecondaryMatch]]="Yes"), "Yes", "")</f>
        <v/>
      </c>
    </row>
    <row r="1555" spans="1:18" hidden="1" x14ac:dyDescent="0.25">
      <c r="A1555" t="s">
        <v>776</v>
      </c>
      <c r="B1555" t="s">
        <v>3205</v>
      </c>
      <c r="C1555" t="s">
        <v>3222</v>
      </c>
      <c r="D1555" t="s">
        <v>3748</v>
      </c>
      <c r="E1555" s="1">
        <v>281.26998900000001</v>
      </c>
      <c r="F1555" s="1">
        <v>281.84298699999999</v>
      </c>
      <c r="K1555" s="39">
        <f>DefaultValues!$B$4</f>
        <v>5</v>
      </c>
      <c r="L1555" s="1">
        <f>DefaultValues!$C$4</f>
        <v>0.5</v>
      </c>
      <c r="M1555" s="1" t="str">
        <f>DefaultValues!$D$4</f>
        <v xml:space="preserve">- Within interchange - </v>
      </c>
      <c r="N1555" s="1">
        <v>281.26998900000001</v>
      </c>
      <c r="O1555" s="1">
        <f>ABS(Table4[[#This Row],[EndMP]]-Table4[[#This Row],[StartMP]])</f>
        <v>0.57299799999998413</v>
      </c>
      <c r="P1555" s="1" t="str">
        <f>IF( AND( Table4[[#This Row],[Route]]=ClosureLocation!$B$3, ClosureLocation!$B$6 &gt;= Table4[[#This Row],[StartMP]], ClosureLocation!$B$6 &lt;= Table4[[#This Row],[EndMP]]), "Yes", "")</f>
        <v/>
      </c>
      <c r="Q1555" s="1" t="str">
        <f>IF( AND( Table4[[#This Row],[Route]]=ClosureLocation!$B$3, ClosureLocation!$B$6 &lt;= Table4[[#This Row],[StartMP]], ClosureLocation!$B$6 &gt;= Table4[[#This Row],[EndMP]]), "Yes", "")</f>
        <v/>
      </c>
      <c r="R1555" s="1" t="str">
        <f>IF( OR( Table4[[#This Row],[PrimaryMatch]]="Yes", Table4[[#This Row],[SecondaryMatch]]="Yes"), "Yes", "")</f>
        <v/>
      </c>
    </row>
    <row r="1556" spans="1:18" hidden="1" x14ac:dyDescent="0.25">
      <c r="A1556" t="s">
        <v>776</v>
      </c>
      <c r="B1556" t="s">
        <v>3205</v>
      </c>
      <c r="C1556" t="s">
        <v>3222</v>
      </c>
      <c r="D1556" t="s">
        <v>3748</v>
      </c>
      <c r="E1556" s="1">
        <v>282.21398900000003</v>
      </c>
      <c r="F1556" s="1">
        <v>283.09799199999998</v>
      </c>
      <c r="K1556" s="39">
        <f>DefaultValues!$B$4</f>
        <v>5</v>
      </c>
      <c r="L1556" s="1">
        <f>DefaultValues!$C$4</f>
        <v>0.5</v>
      </c>
      <c r="M1556" s="1" t="str">
        <f>DefaultValues!$D$4</f>
        <v xml:space="preserve">- Within interchange - </v>
      </c>
      <c r="N1556" s="1">
        <v>282.21398900000003</v>
      </c>
      <c r="O1556" s="1">
        <f>ABS(Table4[[#This Row],[EndMP]]-Table4[[#This Row],[StartMP]])</f>
        <v>0.88400299999995013</v>
      </c>
      <c r="P1556" s="1" t="str">
        <f>IF( AND( Table4[[#This Row],[Route]]=ClosureLocation!$B$3, ClosureLocation!$B$6 &gt;= Table4[[#This Row],[StartMP]], ClosureLocation!$B$6 &lt;= Table4[[#This Row],[EndMP]]), "Yes", "")</f>
        <v/>
      </c>
      <c r="Q1556" s="1" t="str">
        <f>IF( AND( Table4[[#This Row],[Route]]=ClosureLocation!$B$3, ClosureLocation!$B$6 &lt;= Table4[[#This Row],[StartMP]], ClosureLocation!$B$6 &gt;= Table4[[#This Row],[EndMP]]), "Yes", "")</f>
        <v/>
      </c>
      <c r="R1556" s="1" t="str">
        <f>IF( OR( Table4[[#This Row],[PrimaryMatch]]="Yes", Table4[[#This Row],[SecondaryMatch]]="Yes"), "Yes", "")</f>
        <v/>
      </c>
    </row>
    <row r="1557" spans="1:18" hidden="1" x14ac:dyDescent="0.25">
      <c r="A1557" t="s">
        <v>776</v>
      </c>
      <c r="B1557" t="s">
        <v>3205</v>
      </c>
      <c r="C1557" t="s">
        <v>3222</v>
      </c>
      <c r="D1557" t="s">
        <v>3748</v>
      </c>
      <c r="E1557" s="1">
        <v>283.29800399999999</v>
      </c>
      <c r="F1557" s="1">
        <v>283.98599200000001</v>
      </c>
      <c r="K1557" s="39">
        <f>DefaultValues!$B$4</f>
        <v>5</v>
      </c>
      <c r="L1557" s="1">
        <f>DefaultValues!$C$4</f>
        <v>0.5</v>
      </c>
      <c r="M1557" s="1" t="str">
        <f>DefaultValues!$D$4</f>
        <v xml:space="preserve">- Within interchange - </v>
      </c>
      <c r="N1557" s="1">
        <v>283.29800399999999</v>
      </c>
      <c r="O1557" s="1">
        <f>ABS(Table4[[#This Row],[EndMP]]-Table4[[#This Row],[StartMP]])</f>
        <v>0.68798800000001847</v>
      </c>
      <c r="P1557" s="1" t="str">
        <f>IF( AND( Table4[[#This Row],[Route]]=ClosureLocation!$B$3, ClosureLocation!$B$6 &gt;= Table4[[#This Row],[StartMP]], ClosureLocation!$B$6 &lt;= Table4[[#This Row],[EndMP]]), "Yes", "")</f>
        <v/>
      </c>
      <c r="Q1557" s="1" t="str">
        <f>IF( AND( Table4[[#This Row],[Route]]=ClosureLocation!$B$3, ClosureLocation!$B$6 &lt;= Table4[[#This Row],[StartMP]], ClosureLocation!$B$6 &gt;= Table4[[#This Row],[EndMP]]), "Yes", "")</f>
        <v/>
      </c>
      <c r="R1557" s="1" t="str">
        <f>IF( OR( Table4[[#This Row],[PrimaryMatch]]="Yes", Table4[[#This Row],[SecondaryMatch]]="Yes"), "Yes", "")</f>
        <v/>
      </c>
    </row>
    <row r="1558" spans="1:18" hidden="1" x14ac:dyDescent="0.25">
      <c r="A1558" t="s">
        <v>776</v>
      </c>
      <c r="B1558" t="s">
        <v>3205</v>
      </c>
      <c r="C1558" t="s">
        <v>3222</v>
      </c>
      <c r="D1558" t="s">
        <v>3748</v>
      </c>
      <c r="E1558" s="1">
        <v>284.19400000000002</v>
      </c>
      <c r="F1558" s="1">
        <v>284.94601399999999</v>
      </c>
      <c r="K1558" s="39">
        <f>DefaultValues!$B$4</f>
        <v>5</v>
      </c>
      <c r="L1558" s="1">
        <f>DefaultValues!$C$4</f>
        <v>0.5</v>
      </c>
      <c r="M1558" s="1" t="str">
        <f>DefaultValues!$D$4</f>
        <v xml:space="preserve">- Within interchange - </v>
      </c>
      <c r="N1558" s="1">
        <v>284.19400000000002</v>
      </c>
      <c r="O1558" s="1">
        <f>ABS(Table4[[#This Row],[EndMP]]-Table4[[#This Row],[StartMP]])</f>
        <v>0.7520139999999742</v>
      </c>
      <c r="P1558" s="1" t="str">
        <f>IF( AND( Table4[[#This Row],[Route]]=ClosureLocation!$B$3, ClosureLocation!$B$6 &gt;= Table4[[#This Row],[StartMP]], ClosureLocation!$B$6 &lt;= Table4[[#This Row],[EndMP]]), "Yes", "")</f>
        <v/>
      </c>
      <c r="Q1558" s="1" t="str">
        <f>IF( AND( Table4[[#This Row],[Route]]=ClosureLocation!$B$3, ClosureLocation!$B$6 &lt;= Table4[[#This Row],[StartMP]], ClosureLocation!$B$6 &gt;= Table4[[#This Row],[EndMP]]), "Yes", "")</f>
        <v/>
      </c>
      <c r="R1558" s="1" t="str">
        <f>IF( OR( Table4[[#This Row],[PrimaryMatch]]="Yes", Table4[[#This Row],[SecondaryMatch]]="Yes"), "Yes", "")</f>
        <v/>
      </c>
    </row>
    <row r="1559" spans="1:18" hidden="1" x14ac:dyDescent="0.25">
      <c r="A1559" t="s">
        <v>776</v>
      </c>
      <c r="B1559" t="s">
        <v>3205</v>
      </c>
      <c r="C1559" t="s">
        <v>3222</v>
      </c>
      <c r="D1559" t="s">
        <v>3748</v>
      </c>
      <c r="E1559" s="1">
        <v>285.47299199999998</v>
      </c>
      <c r="F1559" s="1">
        <v>285.92700200000002</v>
      </c>
      <c r="K1559" s="39">
        <f>DefaultValues!$B$4</f>
        <v>5</v>
      </c>
      <c r="L1559" s="1">
        <f>DefaultValues!$C$4</f>
        <v>0.5</v>
      </c>
      <c r="M1559" s="1" t="str">
        <f>DefaultValues!$D$4</f>
        <v xml:space="preserve">- Within interchange - </v>
      </c>
      <c r="N1559" s="1">
        <v>285.47299199999998</v>
      </c>
      <c r="O1559" s="1">
        <f>ABS(Table4[[#This Row],[EndMP]]-Table4[[#This Row],[StartMP]])</f>
        <v>0.45401000000003933</v>
      </c>
      <c r="P1559" s="1" t="str">
        <f>IF( AND( Table4[[#This Row],[Route]]=ClosureLocation!$B$3, ClosureLocation!$B$6 &gt;= Table4[[#This Row],[StartMP]], ClosureLocation!$B$6 &lt;= Table4[[#This Row],[EndMP]]), "Yes", "")</f>
        <v/>
      </c>
      <c r="Q1559" s="1" t="str">
        <f>IF( AND( Table4[[#This Row],[Route]]=ClosureLocation!$B$3, ClosureLocation!$B$6 &lt;= Table4[[#This Row],[StartMP]], ClosureLocation!$B$6 &gt;= Table4[[#This Row],[EndMP]]), "Yes", "")</f>
        <v/>
      </c>
      <c r="R1559" s="1" t="str">
        <f>IF( OR( Table4[[#This Row],[PrimaryMatch]]="Yes", Table4[[#This Row],[SecondaryMatch]]="Yes"), "Yes", "")</f>
        <v/>
      </c>
    </row>
    <row r="1560" spans="1:18" hidden="1" x14ac:dyDescent="0.25">
      <c r="A1560" t="s">
        <v>776</v>
      </c>
      <c r="B1560" t="s">
        <v>3205</v>
      </c>
      <c r="C1560" t="s">
        <v>3222</v>
      </c>
      <c r="D1560" t="s">
        <v>3748</v>
      </c>
      <c r="E1560" s="1">
        <v>288.12200899999999</v>
      </c>
      <c r="F1560" s="1">
        <v>289.37701399999997</v>
      </c>
      <c r="K1560" s="39">
        <f>DefaultValues!$B$4</f>
        <v>5</v>
      </c>
      <c r="L1560" s="1">
        <f>DefaultValues!$C$4</f>
        <v>0.5</v>
      </c>
      <c r="M1560" s="1" t="str">
        <f>DefaultValues!$D$4</f>
        <v xml:space="preserve">- Within interchange - </v>
      </c>
      <c r="N1560" s="1">
        <v>288.12200899999999</v>
      </c>
      <c r="O1560" s="1">
        <f>ABS(Table4[[#This Row],[EndMP]]-Table4[[#This Row],[StartMP]])</f>
        <v>1.2550049999999828</v>
      </c>
      <c r="P1560" s="1" t="str">
        <f>IF( AND( Table4[[#This Row],[Route]]=ClosureLocation!$B$3, ClosureLocation!$B$6 &gt;= Table4[[#This Row],[StartMP]], ClosureLocation!$B$6 &lt;= Table4[[#This Row],[EndMP]]), "Yes", "")</f>
        <v/>
      </c>
      <c r="Q1560" s="1" t="str">
        <f>IF( AND( Table4[[#This Row],[Route]]=ClosureLocation!$B$3, ClosureLocation!$B$6 &lt;= Table4[[#This Row],[StartMP]], ClosureLocation!$B$6 &gt;= Table4[[#This Row],[EndMP]]), "Yes", "")</f>
        <v/>
      </c>
      <c r="R1560" s="1" t="str">
        <f>IF( OR( Table4[[#This Row],[PrimaryMatch]]="Yes", Table4[[#This Row],[SecondaryMatch]]="Yes"), "Yes", "")</f>
        <v/>
      </c>
    </row>
    <row r="1561" spans="1:18" hidden="1" x14ac:dyDescent="0.25">
      <c r="A1561" t="s">
        <v>776</v>
      </c>
      <c r="B1561" t="s">
        <v>3205</v>
      </c>
      <c r="C1561" t="s">
        <v>3222</v>
      </c>
      <c r="D1561" t="s">
        <v>3748</v>
      </c>
      <c r="E1561" s="1">
        <v>291.90701300000001</v>
      </c>
      <c r="F1561" s="1">
        <v>292.391998</v>
      </c>
      <c r="K1561" s="39">
        <f>DefaultValues!$B$4</f>
        <v>5</v>
      </c>
      <c r="L1561" s="1">
        <f>DefaultValues!$C$4</f>
        <v>0.5</v>
      </c>
      <c r="M1561" s="1" t="str">
        <f>DefaultValues!$D$4</f>
        <v xml:space="preserve">- Within interchange - </v>
      </c>
      <c r="N1561" s="1">
        <v>291.90701300000001</v>
      </c>
      <c r="O1561" s="1">
        <f>ABS(Table4[[#This Row],[EndMP]]-Table4[[#This Row],[StartMP]])</f>
        <v>0.48498499999999467</v>
      </c>
      <c r="P1561" s="1" t="str">
        <f>IF( AND( Table4[[#This Row],[Route]]=ClosureLocation!$B$3, ClosureLocation!$B$6 &gt;= Table4[[#This Row],[StartMP]], ClosureLocation!$B$6 &lt;= Table4[[#This Row],[EndMP]]), "Yes", "")</f>
        <v/>
      </c>
      <c r="Q1561" s="1" t="str">
        <f>IF( AND( Table4[[#This Row],[Route]]=ClosureLocation!$B$3, ClosureLocation!$B$6 &lt;= Table4[[#This Row],[StartMP]], ClosureLocation!$B$6 &gt;= Table4[[#This Row],[EndMP]]), "Yes", "")</f>
        <v/>
      </c>
      <c r="R1561" s="1" t="str">
        <f>IF( OR( Table4[[#This Row],[PrimaryMatch]]="Yes", Table4[[#This Row],[SecondaryMatch]]="Yes"), "Yes", "")</f>
        <v/>
      </c>
    </row>
    <row r="1562" spans="1:18" hidden="1" x14ac:dyDescent="0.25">
      <c r="A1562" t="s">
        <v>776</v>
      </c>
      <c r="B1562" t="s">
        <v>3205</v>
      </c>
      <c r="C1562" t="s">
        <v>3222</v>
      </c>
      <c r="D1562" t="s">
        <v>3748</v>
      </c>
      <c r="E1562" s="1">
        <v>295</v>
      </c>
      <c r="F1562" s="1">
        <v>295.37799100000001</v>
      </c>
      <c r="K1562" s="39">
        <f>DefaultValues!$B$4</f>
        <v>5</v>
      </c>
      <c r="L1562" s="1">
        <f>DefaultValues!$C$4</f>
        <v>0.5</v>
      </c>
      <c r="M1562" s="1" t="str">
        <f>DefaultValues!$D$4</f>
        <v xml:space="preserve">- Within interchange - </v>
      </c>
      <c r="N1562" s="1">
        <v>295</v>
      </c>
      <c r="O1562" s="1">
        <f>ABS(Table4[[#This Row],[EndMP]]-Table4[[#This Row],[StartMP]])</f>
        <v>0.37799100000000863</v>
      </c>
      <c r="P1562" s="1" t="str">
        <f>IF( AND( Table4[[#This Row],[Route]]=ClosureLocation!$B$3, ClosureLocation!$B$6 &gt;= Table4[[#This Row],[StartMP]], ClosureLocation!$B$6 &lt;= Table4[[#This Row],[EndMP]]), "Yes", "")</f>
        <v/>
      </c>
      <c r="Q1562" s="1" t="str">
        <f>IF( AND( Table4[[#This Row],[Route]]=ClosureLocation!$B$3, ClosureLocation!$B$6 &lt;= Table4[[#This Row],[StartMP]], ClosureLocation!$B$6 &gt;= Table4[[#This Row],[EndMP]]), "Yes", "")</f>
        <v/>
      </c>
      <c r="R1562" s="1" t="str">
        <f>IF( OR( Table4[[#This Row],[PrimaryMatch]]="Yes", Table4[[#This Row],[SecondaryMatch]]="Yes"), "Yes", "")</f>
        <v/>
      </c>
    </row>
    <row r="1563" spans="1:18" hidden="1" x14ac:dyDescent="0.25">
      <c r="A1563" t="s">
        <v>776</v>
      </c>
      <c r="B1563" t="s">
        <v>3205</v>
      </c>
      <c r="C1563" t="s">
        <v>3222</v>
      </c>
      <c r="D1563" t="s">
        <v>3748</v>
      </c>
      <c r="E1563" s="1">
        <v>299.13400300000001</v>
      </c>
      <c r="F1563" s="1">
        <v>299.550995</v>
      </c>
      <c r="K1563" s="39">
        <f>DefaultValues!$B$4</f>
        <v>5</v>
      </c>
      <c r="L1563" s="1">
        <f>DefaultValues!$C$4</f>
        <v>0.5</v>
      </c>
      <c r="M1563" s="1" t="str">
        <f>DefaultValues!$D$4</f>
        <v xml:space="preserve">- Within interchange - </v>
      </c>
      <c r="N1563" s="1">
        <v>299.13400300000001</v>
      </c>
      <c r="O1563" s="1">
        <f>ABS(Table4[[#This Row],[EndMP]]-Table4[[#This Row],[StartMP]])</f>
        <v>0.41699199999999337</v>
      </c>
      <c r="P1563" s="1" t="str">
        <f>IF( AND( Table4[[#This Row],[Route]]=ClosureLocation!$B$3, ClosureLocation!$B$6 &gt;= Table4[[#This Row],[StartMP]], ClosureLocation!$B$6 &lt;= Table4[[#This Row],[EndMP]]), "Yes", "")</f>
        <v/>
      </c>
      <c r="Q1563" s="1" t="str">
        <f>IF( AND( Table4[[#This Row],[Route]]=ClosureLocation!$B$3, ClosureLocation!$B$6 &lt;= Table4[[#This Row],[StartMP]], ClosureLocation!$B$6 &gt;= Table4[[#This Row],[EndMP]]), "Yes", "")</f>
        <v/>
      </c>
      <c r="R1563" s="1" t="str">
        <f>IF( OR( Table4[[#This Row],[PrimaryMatch]]="Yes", Table4[[#This Row],[SecondaryMatch]]="Yes"), "Yes", "")</f>
        <v/>
      </c>
    </row>
    <row r="1564" spans="1:18" hidden="1" x14ac:dyDescent="0.25">
      <c r="A1564" t="s">
        <v>776</v>
      </c>
      <c r="B1564" t="s">
        <v>3205</v>
      </c>
      <c r="C1564" t="s">
        <v>3222</v>
      </c>
      <c r="D1564" t="s">
        <v>3748</v>
      </c>
      <c r="E1564" s="1">
        <v>304.24200400000001</v>
      </c>
      <c r="F1564" s="1">
        <v>304.47601300000002</v>
      </c>
      <c r="K1564" s="39">
        <f>DefaultValues!$B$4</f>
        <v>5</v>
      </c>
      <c r="L1564" s="1">
        <f>DefaultValues!$C$4</f>
        <v>0.5</v>
      </c>
      <c r="M1564" s="1" t="str">
        <f>DefaultValues!$D$4</f>
        <v xml:space="preserve">- Within interchange - </v>
      </c>
      <c r="N1564" s="1">
        <v>304.24200400000001</v>
      </c>
      <c r="O1564" s="1">
        <f>ABS(Table4[[#This Row],[EndMP]]-Table4[[#This Row],[StartMP]])</f>
        <v>0.23400900000001457</v>
      </c>
      <c r="P1564" s="1" t="str">
        <f>IF( AND( Table4[[#This Row],[Route]]=ClosureLocation!$B$3, ClosureLocation!$B$6 &gt;= Table4[[#This Row],[StartMP]], ClosureLocation!$B$6 &lt;= Table4[[#This Row],[EndMP]]), "Yes", "")</f>
        <v/>
      </c>
      <c r="Q1564" s="1" t="str">
        <f>IF( AND( Table4[[#This Row],[Route]]=ClosureLocation!$B$3, ClosureLocation!$B$6 &lt;= Table4[[#This Row],[StartMP]], ClosureLocation!$B$6 &gt;= Table4[[#This Row],[EndMP]]), "Yes", "")</f>
        <v/>
      </c>
      <c r="R1564" s="1" t="str">
        <f>IF( OR( Table4[[#This Row],[PrimaryMatch]]="Yes", Table4[[#This Row],[SecondaryMatch]]="Yes"), "Yes", "")</f>
        <v/>
      </c>
    </row>
    <row r="1565" spans="1:18" hidden="1" x14ac:dyDescent="0.25">
      <c r="A1565" t="s">
        <v>776</v>
      </c>
      <c r="B1565" t="s">
        <v>3205</v>
      </c>
      <c r="C1565" t="s">
        <v>3222</v>
      </c>
      <c r="D1565" t="s">
        <v>3748</v>
      </c>
      <c r="E1565" s="1">
        <v>309.91198700000001</v>
      </c>
      <c r="F1565" s="1">
        <v>310.27700800000002</v>
      </c>
      <c r="K1565" s="39">
        <f>DefaultValues!$B$4</f>
        <v>5</v>
      </c>
      <c r="L1565" s="1">
        <f>DefaultValues!$C$4</f>
        <v>0.5</v>
      </c>
      <c r="M1565" s="1" t="str">
        <f>DefaultValues!$D$4</f>
        <v xml:space="preserve">- Within interchange - </v>
      </c>
      <c r="N1565" s="1">
        <v>309.91198700000001</v>
      </c>
      <c r="O1565" s="1">
        <f>ABS(Table4[[#This Row],[EndMP]]-Table4[[#This Row],[StartMP]])</f>
        <v>0.36502100000001292</v>
      </c>
      <c r="P1565" s="1" t="str">
        <f>IF( AND( Table4[[#This Row],[Route]]=ClosureLocation!$B$3, ClosureLocation!$B$6 &gt;= Table4[[#This Row],[StartMP]], ClosureLocation!$B$6 &lt;= Table4[[#This Row],[EndMP]]), "Yes", "")</f>
        <v/>
      </c>
      <c r="Q1565" s="1" t="str">
        <f>IF( AND( Table4[[#This Row],[Route]]=ClosureLocation!$B$3, ClosureLocation!$B$6 &lt;= Table4[[#This Row],[StartMP]], ClosureLocation!$B$6 &gt;= Table4[[#This Row],[EndMP]]), "Yes", "")</f>
        <v/>
      </c>
      <c r="R1565" s="1" t="str">
        <f>IF( OR( Table4[[#This Row],[PrimaryMatch]]="Yes", Table4[[#This Row],[SecondaryMatch]]="Yes"), "Yes", "")</f>
        <v/>
      </c>
    </row>
    <row r="1566" spans="1:18" hidden="1" x14ac:dyDescent="0.25">
      <c r="A1566" t="s">
        <v>776</v>
      </c>
      <c r="B1566" t="s">
        <v>3205</v>
      </c>
      <c r="C1566" t="s">
        <v>3222</v>
      </c>
      <c r="D1566" t="s">
        <v>3748</v>
      </c>
      <c r="E1566" s="1">
        <v>315.61099200000001</v>
      </c>
      <c r="F1566" s="1">
        <v>316.21301299999999</v>
      </c>
      <c r="K1566" s="39">
        <f>DefaultValues!$B$4</f>
        <v>5</v>
      </c>
      <c r="L1566" s="1">
        <f>DefaultValues!$C$4</f>
        <v>0.5</v>
      </c>
      <c r="M1566" s="1" t="str">
        <f>DefaultValues!$D$4</f>
        <v xml:space="preserve">- Within interchange - </v>
      </c>
      <c r="N1566" s="1">
        <v>315.61099200000001</v>
      </c>
      <c r="O1566" s="1">
        <f>ABS(Table4[[#This Row],[EndMP]]-Table4[[#This Row],[StartMP]])</f>
        <v>0.60202099999997927</v>
      </c>
      <c r="P1566" s="1" t="str">
        <f>IF( AND( Table4[[#This Row],[Route]]=ClosureLocation!$B$3, ClosureLocation!$B$6 &gt;= Table4[[#This Row],[StartMP]], ClosureLocation!$B$6 &lt;= Table4[[#This Row],[EndMP]]), "Yes", "")</f>
        <v/>
      </c>
      <c r="Q1566" s="1" t="str">
        <f>IF( AND( Table4[[#This Row],[Route]]=ClosureLocation!$B$3, ClosureLocation!$B$6 &lt;= Table4[[#This Row],[StartMP]], ClosureLocation!$B$6 &gt;= Table4[[#This Row],[EndMP]]), "Yes", "")</f>
        <v/>
      </c>
      <c r="R1566" s="1" t="str">
        <f>IF( OR( Table4[[#This Row],[PrimaryMatch]]="Yes", Table4[[#This Row],[SecondaryMatch]]="Yes"), "Yes", "")</f>
        <v/>
      </c>
    </row>
    <row r="1567" spans="1:18" hidden="1" x14ac:dyDescent="0.25">
      <c r="A1567" t="s">
        <v>776</v>
      </c>
      <c r="B1567" t="s">
        <v>3205</v>
      </c>
      <c r="C1567" t="s">
        <v>3222</v>
      </c>
      <c r="D1567" t="s">
        <v>3748</v>
      </c>
      <c r="E1567" s="1">
        <v>321.82101399999999</v>
      </c>
      <c r="F1567" s="1">
        <v>322.32501200000002</v>
      </c>
      <c r="K1567" s="39">
        <f>DefaultValues!$B$4</f>
        <v>5</v>
      </c>
      <c r="L1567" s="1">
        <f>DefaultValues!$C$4</f>
        <v>0.5</v>
      </c>
      <c r="M1567" s="1" t="str">
        <f>DefaultValues!$D$4</f>
        <v xml:space="preserve">- Within interchange - </v>
      </c>
      <c r="N1567" s="1">
        <v>321.82101399999999</v>
      </c>
      <c r="O1567" s="1">
        <f>ABS(Table4[[#This Row],[EndMP]]-Table4[[#This Row],[StartMP]])</f>
        <v>0.50399800000002415</v>
      </c>
      <c r="P1567" s="1" t="str">
        <f>IF( AND( Table4[[#This Row],[Route]]=ClosureLocation!$B$3, ClosureLocation!$B$6 &gt;= Table4[[#This Row],[StartMP]], ClosureLocation!$B$6 &lt;= Table4[[#This Row],[EndMP]]), "Yes", "")</f>
        <v/>
      </c>
      <c r="Q1567" s="1" t="str">
        <f>IF( AND( Table4[[#This Row],[Route]]=ClosureLocation!$B$3, ClosureLocation!$B$6 &lt;= Table4[[#This Row],[StartMP]], ClosureLocation!$B$6 &gt;= Table4[[#This Row],[EndMP]]), "Yes", "")</f>
        <v/>
      </c>
      <c r="R1567" s="1" t="str">
        <f>IF( OR( Table4[[#This Row],[PrimaryMatch]]="Yes", Table4[[#This Row],[SecondaryMatch]]="Yes"), "Yes", "")</f>
        <v/>
      </c>
    </row>
    <row r="1568" spans="1:18" hidden="1" x14ac:dyDescent="0.25">
      <c r="A1568" t="s">
        <v>776</v>
      </c>
      <c r="B1568" t="s">
        <v>3205</v>
      </c>
      <c r="C1568" t="s">
        <v>3222</v>
      </c>
      <c r="D1568" t="s">
        <v>3748</v>
      </c>
      <c r="E1568" s="1">
        <v>328.04998799999998</v>
      </c>
      <c r="F1568" s="1">
        <v>328.61099200000001</v>
      </c>
      <c r="K1568" s="39">
        <f>DefaultValues!$B$4</f>
        <v>5</v>
      </c>
      <c r="L1568" s="1">
        <f>DefaultValues!$C$4</f>
        <v>0.5</v>
      </c>
      <c r="M1568" s="1" t="str">
        <f>DefaultValues!$D$4</f>
        <v xml:space="preserve">- Within interchange - </v>
      </c>
      <c r="N1568" s="1">
        <v>328.04998799999998</v>
      </c>
      <c r="O1568" s="1">
        <f>ABS(Table4[[#This Row],[EndMP]]-Table4[[#This Row],[StartMP]])</f>
        <v>0.56100400000002537</v>
      </c>
      <c r="P1568" s="1" t="str">
        <f>IF( AND( Table4[[#This Row],[Route]]=ClosureLocation!$B$3, ClosureLocation!$B$6 &gt;= Table4[[#This Row],[StartMP]], ClosureLocation!$B$6 &lt;= Table4[[#This Row],[EndMP]]), "Yes", "")</f>
        <v/>
      </c>
      <c r="Q1568" s="1" t="str">
        <f>IF( AND( Table4[[#This Row],[Route]]=ClosureLocation!$B$3, ClosureLocation!$B$6 &lt;= Table4[[#This Row],[StartMP]], ClosureLocation!$B$6 &gt;= Table4[[#This Row],[EndMP]]), "Yes", "")</f>
        <v/>
      </c>
      <c r="R1568" s="1" t="str">
        <f>IF( OR( Table4[[#This Row],[PrimaryMatch]]="Yes", Table4[[#This Row],[SecondaryMatch]]="Yes"), "Yes", "")</f>
        <v/>
      </c>
    </row>
    <row r="1569" spans="1:18" hidden="1" x14ac:dyDescent="0.25">
      <c r="A1569" t="s">
        <v>776</v>
      </c>
      <c r="B1569" t="s">
        <v>3205</v>
      </c>
      <c r="C1569" t="s">
        <v>3222</v>
      </c>
      <c r="D1569" t="s">
        <v>3748</v>
      </c>
      <c r="E1569" s="1">
        <v>336.57299799999998</v>
      </c>
      <c r="F1569" s="1">
        <v>337.07199100000003</v>
      </c>
      <c r="K1569" s="39">
        <f>DefaultValues!$B$4</f>
        <v>5</v>
      </c>
      <c r="L1569" s="1">
        <f>DefaultValues!$C$4</f>
        <v>0.5</v>
      </c>
      <c r="M1569" s="1" t="str">
        <f>DefaultValues!$D$4</f>
        <v xml:space="preserve">- Within interchange - </v>
      </c>
      <c r="N1569" s="1">
        <v>336.57299799999998</v>
      </c>
      <c r="O1569" s="1">
        <f>ABS(Table4[[#This Row],[EndMP]]-Table4[[#This Row],[StartMP]])</f>
        <v>0.49899300000004132</v>
      </c>
      <c r="P1569" s="1" t="str">
        <f>IF( AND( Table4[[#This Row],[Route]]=ClosureLocation!$B$3, ClosureLocation!$B$6 &gt;= Table4[[#This Row],[StartMP]], ClosureLocation!$B$6 &lt;= Table4[[#This Row],[EndMP]]), "Yes", "")</f>
        <v/>
      </c>
      <c r="Q1569" s="1" t="str">
        <f>IF( AND( Table4[[#This Row],[Route]]=ClosureLocation!$B$3, ClosureLocation!$B$6 &lt;= Table4[[#This Row],[StartMP]], ClosureLocation!$B$6 &gt;= Table4[[#This Row],[EndMP]]), "Yes", "")</f>
        <v/>
      </c>
      <c r="R1569" s="1" t="str">
        <f>IF( OR( Table4[[#This Row],[PrimaryMatch]]="Yes", Table4[[#This Row],[SecondaryMatch]]="Yes"), "Yes", "")</f>
        <v/>
      </c>
    </row>
    <row r="1570" spans="1:18" hidden="1" x14ac:dyDescent="0.25">
      <c r="A1570" t="s">
        <v>776</v>
      </c>
      <c r="B1570" t="s">
        <v>3205</v>
      </c>
      <c r="C1570" t="s">
        <v>3222</v>
      </c>
      <c r="D1570" t="s">
        <v>3748</v>
      </c>
      <c r="E1570" s="1">
        <v>340.18798800000002</v>
      </c>
      <c r="F1570" s="1">
        <v>340.42001299999998</v>
      </c>
      <c r="K1570" s="39">
        <f>DefaultValues!$B$4</f>
        <v>5</v>
      </c>
      <c r="L1570" s="1">
        <f>DefaultValues!$C$4</f>
        <v>0.5</v>
      </c>
      <c r="M1570" s="1" t="str">
        <f>DefaultValues!$D$4</f>
        <v xml:space="preserve">- Within interchange - </v>
      </c>
      <c r="N1570" s="1">
        <v>340.18798800000002</v>
      </c>
      <c r="O1570" s="1">
        <f>ABS(Table4[[#This Row],[EndMP]]-Table4[[#This Row],[StartMP]])</f>
        <v>0.23202499999996462</v>
      </c>
      <c r="P1570" s="1" t="str">
        <f>IF( AND( Table4[[#This Row],[Route]]=ClosureLocation!$B$3, ClosureLocation!$B$6 &gt;= Table4[[#This Row],[StartMP]], ClosureLocation!$B$6 &lt;= Table4[[#This Row],[EndMP]]), "Yes", "")</f>
        <v/>
      </c>
      <c r="Q1570" s="1" t="str">
        <f>IF( AND( Table4[[#This Row],[Route]]=ClosureLocation!$B$3, ClosureLocation!$B$6 &lt;= Table4[[#This Row],[StartMP]], ClosureLocation!$B$6 &gt;= Table4[[#This Row],[EndMP]]), "Yes", "")</f>
        <v/>
      </c>
      <c r="R1570" s="1" t="str">
        <f>IF( OR( Table4[[#This Row],[PrimaryMatch]]="Yes", Table4[[#This Row],[SecondaryMatch]]="Yes"), "Yes", "")</f>
        <v/>
      </c>
    </row>
    <row r="1571" spans="1:18" hidden="1" x14ac:dyDescent="0.25">
      <c r="A1571" t="s">
        <v>776</v>
      </c>
      <c r="B1571" t="s">
        <v>3205</v>
      </c>
      <c r="C1571" t="s">
        <v>3222</v>
      </c>
      <c r="D1571" t="s">
        <v>3748</v>
      </c>
      <c r="E1571" s="1">
        <v>348.58599900000002</v>
      </c>
      <c r="F1571" s="1">
        <v>348.88799999999998</v>
      </c>
      <c r="K1571" s="39">
        <f>DefaultValues!$B$4</f>
        <v>5</v>
      </c>
      <c r="L1571" s="1">
        <f>DefaultValues!$C$4</f>
        <v>0.5</v>
      </c>
      <c r="M1571" s="1" t="str">
        <f>DefaultValues!$D$4</f>
        <v xml:space="preserve">- Within interchange - </v>
      </c>
      <c r="N1571" s="1">
        <v>348.58599900000002</v>
      </c>
      <c r="O1571" s="1">
        <f>ABS(Table4[[#This Row],[EndMP]]-Table4[[#This Row],[StartMP]])</f>
        <v>0.30200099999996155</v>
      </c>
      <c r="P1571" s="1" t="str">
        <f>IF( AND( Table4[[#This Row],[Route]]=ClosureLocation!$B$3, ClosureLocation!$B$6 &gt;= Table4[[#This Row],[StartMP]], ClosureLocation!$B$6 &lt;= Table4[[#This Row],[EndMP]]), "Yes", "")</f>
        <v/>
      </c>
      <c r="Q1571" s="1" t="str">
        <f>IF( AND( Table4[[#This Row],[Route]]=ClosureLocation!$B$3, ClosureLocation!$B$6 &lt;= Table4[[#This Row],[StartMP]], ClosureLocation!$B$6 &gt;= Table4[[#This Row],[EndMP]]), "Yes", "")</f>
        <v/>
      </c>
      <c r="R1571" s="1" t="str">
        <f>IF( OR( Table4[[#This Row],[PrimaryMatch]]="Yes", Table4[[#This Row],[SecondaryMatch]]="Yes"), "Yes", "")</f>
        <v/>
      </c>
    </row>
    <row r="1572" spans="1:18" hidden="1" x14ac:dyDescent="0.25">
      <c r="A1572" t="s">
        <v>776</v>
      </c>
      <c r="B1572" t="s">
        <v>3205</v>
      </c>
      <c r="C1572" t="s">
        <v>3222</v>
      </c>
      <c r="D1572" t="s">
        <v>3748</v>
      </c>
      <c r="E1572" s="1">
        <v>352.12899800000002</v>
      </c>
      <c r="F1572" s="1">
        <v>352.533997</v>
      </c>
      <c r="K1572" s="39">
        <f>DefaultValues!$B$4</f>
        <v>5</v>
      </c>
      <c r="L1572" s="1">
        <f>DefaultValues!$C$4</f>
        <v>0.5</v>
      </c>
      <c r="M1572" s="1" t="str">
        <f>DefaultValues!$D$4</f>
        <v xml:space="preserve">- Within interchange - </v>
      </c>
      <c r="N1572" s="1">
        <v>352.12899800000002</v>
      </c>
      <c r="O1572" s="1">
        <f>ABS(Table4[[#This Row],[EndMP]]-Table4[[#This Row],[StartMP]])</f>
        <v>0.40499899999997524</v>
      </c>
      <c r="P1572" s="1" t="str">
        <f>IF( AND( Table4[[#This Row],[Route]]=ClosureLocation!$B$3, ClosureLocation!$B$6 &gt;= Table4[[#This Row],[StartMP]], ClosureLocation!$B$6 &lt;= Table4[[#This Row],[EndMP]]), "Yes", "")</f>
        <v/>
      </c>
      <c r="Q1572" s="1" t="str">
        <f>IF( AND( Table4[[#This Row],[Route]]=ClosureLocation!$B$3, ClosureLocation!$B$6 &lt;= Table4[[#This Row],[StartMP]], ClosureLocation!$B$6 &gt;= Table4[[#This Row],[EndMP]]), "Yes", "")</f>
        <v/>
      </c>
      <c r="R1572" s="1" t="str">
        <f>IF( OR( Table4[[#This Row],[PrimaryMatch]]="Yes", Table4[[#This Row],[SecondaryMatch]]="Yes"), "Yes", "")</f>
        <v/>
      </c>
    </row>
    <row r="1573" spans="1:18" hidden="1" x14ac:dyDescent="0.25">
      <c r="A1573" t="s">
        <v>776</v>
      </c>
      <c r="B1573" t="s">
        <v>3205</v>
      </c>
      <c r="C1573" t="s">
        <v>3222</v>
      </c>
      <c r="D1573" t="s">
        <v>3748</v>
      </c>
      <c r="E1573" s="1">
        <v>354.408997</v>
      </c>
      <c r="F1573" s="1">
        <v>354.64599600000003</v>
      </c>
      <c r="K1573" s="39">
        <f>DefaultValues!$B$4</f>
        <v>5</v>
      </c>
      <c r="L1573" s="1">
        <f>DefaultValues!$C$4</f>
        <v>0.5</v>
      </c>
      <c r="M1573" s="1" t="str">
        <f>DefaultValues!$D$4</f>
        <v xml:space="preserve">- Within interchange - </v>
      </c>
      <c r="N1573" s="1">
        <v>354.408997</v>
      </c>
      <c r="O1573" s="1">
        <f>ABS(Table4[[#This Row],[EndMP]]-Table4[[#This Row],[StartMP]])</f>
        <v>0.23699900000002572</v>
      </c>
      <c r="P1573" s="1" t="str">
        <f>IF( AND( Table4[[#This Row],[Route]]=ClosureLocation!$B$3, ClosureLocation!$B$6 &gt;= Table4[[#This Row],[StartMP]], ClosureLocation!$B$6 &lt;= Table4[[#This Row],[EndMP]]), "Yes", "")</f>
        <v/>
      </c>
      <c r="Q1573" s="1" t="str">
        <f>IF( AND( Table4[[#This Row],[Route]]=ClosureLocation!$B$3, ClosureLocation!$B$6 &lt;= Table4[[#This Row],[StartMP]], ClosureLocation!$B$6 &gt;= Table4[[#This Row],[EndMP]]), "Yes", "")</f>
        <v/>
      </c>
      <c r="R1573" s="1" t="str">
        <f>IF( OR( Table4[[#This Row],[PrimaryMatch]]="Yes", Table4[[#This Row],[SecondaryMatch]]="Yes"), "Yes", "")</f>
        <v/>
      </c>
    </row>
    <row r="1574" spans="1:18" hidden="1" x14ac:dyDescent="0.25">
      <c r="A1574" t="s">
        <v>776</v>
      </c>
      <c r="B1574" t="s">
        <v>3205</v>
      </c>
      <c r="C1574" t="s">
        <v>3222</v>
      </c>
      <c r="D1574" t="s">
        <v>3748</v>
      </c>
      <c r="E1574" s="1">
        <v>359.19601399999999</v>
      </c>
      <c r="F1574" s="1">
        <v>359.79800399999999</v>
      </c>
      <c r="K1574" s="39">
        <f>DefaultValues!$B$4</f>
        <v>5</v>
      </c>
      <c r="L1574" s="1">
        <f>DefaultValues!$C$4</f>
        <v>0.5</v>
      </c>
      <c r="M1574" s="1" t="str">
        <f>DefaultValues!$D$4</f>
        <v xml:space="preserve">- Within interchange - </v>
      </c>
      <c r="N1574" s="1">
        <v>359.19601399999999</v>
      </c>
      <c r="O1574" s="1">
        <f>ABS(Table4[[#This Row],[EndMP]]-Table4[[#This Row],[StartMP]])</f>
        <v>0.60199000000000069</v>
      </c>
      <c r="P1574" s="1" t="str">
        <f>IF( AND( Table4[[#This Row],[Route]]=ClosureLocation!$B$3, ClosureLocation!$B$6 &gt;= Table4[[#This Row],[StartMP]], ClosureLocation!$B$6 &lt;= Table4[[#This Row],[EndMP]]), "Yes", "")</f>
        <v/>
      </c>
      <c r="Q1574" s="1" t="str">
        <f>IF( AND( Table4[[#This Row],[Route]]=ClosureLocation!$B$3, ClosureLocation!$B$6 &lt;= Table4[[#This Row],[StartMP]], ClosureLocation!$B$6 &gt;= Table4[[#This Row],[EndMP]]), "Yes", "")</f>
        <v/>
      </c>
      <c r="R1574" s="1" t="str">
        <f>IF( OR( Table4[[#This Row],[PrimaryMatch]]="Yes", Table4[[#This Row],[SecondaryMatch]]="Yes"), "Yes", "")</f>
        <v/>
      </c>
    </row>
    <row r="1575" spans="1:18" hidden="1" x14ac:dyDescent="0.25">
      <c r="A1575" t="s">
        <v>776</v>
      </c>
      <c r="B1575" t="s">
        <v>3205</v>
      </c>
      <c r="C1575" t="s">
        <v>3222</v>
      </c>
      <c r="D1575" t="s">
        <v>3748</v>
      </c>
      <c r="E1575" s="1">
        <v>360.01901199999998</v>
      </c>
      <c r="F1575" s="1">
        <v>361</v>
      </c>
      <c r="K1575" s="39">
        <f>DefaultValues!$B$4</f>
        <v>5</v>
      </c>
      <c r="L1575" s="1">
        <f>DefaultValues!$C$4</f>
        <v>0.5</v>
      </c>
      <c r="M1575" s="1" t="str">
        <f>DefaultValues!$D$4</f>
        <v xml:space="preserve">- Within interchange - </v>
      </c>
      <c r="N1575" s="1">
        <v>360.01901199999998</v>
      </c>
      <c r="O1575" s="1">
        <f>ABS(Table4[[#This Row],[EndMP]]-Table4[[#This Row],[StartMP]])</f>
        <v>0.98098800000002484</v>
      </c>
      <c r="P1575" s="1" t="str">
        <f>IF( AND( Table4[[#This Row],[Route]]=ClosureLocation!$B$3, ClosureLocation!$B$6 &gt;= Table4[[#This Row],[StartMP]], ClosureLocation!$B$6 &lt;= Table4[[#This Row],[EndMP]]), "Yes", "")</f>
        <v/>
      </c>
      <c r="Q1575" s="1" t="str">
        <f>IF( AND( Table4[[#This Row],[Route]]=ClosureLocation!$B$3, ClosureLocation!$B$6 &lt;= Table4[[#This Row],[StartMP]], ClosureLocation!$B$6 &gt;= Table4[[#This Row],[EndMP]]), "Yes", "")</f>
        <v/>
      </c>
      <c r="R1575" s="1" t="str">
        <f>IF( OR( Table4[[#This Row],[PrimaryMatch]]="Yes", Table4[[#This Row],[SecondaryMatch]]="Yes"), "Yes", "")</f>
        <v/>
      </c>
    </row>
    <row r="1576" spans="1:18" hidden="1" x14ac:dyDescent="0.25">
      <c r="A1576" t="s">
        <v>776</v>
      </c>
      <c r="B1576" t="s">
        <v>3205</v>
      </c>
      <c r="C1576" t="s">
        <v>3222</v>
      </c>
      <c r="D1576" t="s">
        <v>3748</v>
      </c>
      <c r="E1576" s="1">
        <v>361.55599999999998</v>
      </c>
      <c r="F1576" s="1">
        <v>362.01001000000002</v>
      </c>
      <c r="K1576" s="39">
        <f>DefaultValues!$B$4</f>
        <v>5</v>
      </c>
      <c r="L1576" s="1">
        <f>DefaultValues!$C$4</f>
        <v>0.5</v>
      </c>
      <c r="M1576" s="1" t="str">
        <f>DefaultValues!$D$4</f>
        <v xml:space="preserve">- Within interchange - </v>
      </c>
      <c r="N1576" s="1">
        <v>361.55599999999998</v>
      </c>
      <c r="O1576" s="1">
        <f>ABS(Table4[[#This Row],[EndMP]]-Table4[[#This Row],[StartMP]])</f>
        <v>0.45401000000003933</v>
      </c>
      <c r="P1576" s="1" t="str">
        <f>IF( AND( Table4[[#This Row],[Route]]=ClosureLocation!$B$3, ClosureLocation!$B$6 &gt;= Table4[[#This Row],[StartMP]], ClosureLocation!$B$6 &lt;= Table4[[#This Row],[EndMP]]), "Yes", "")</f>
        <v/>
      </c>
      <c r="Q1576" s="1" t="str">
        <f>IF( AND( Table4[[#This Row],[Route]]=ClosureLocation!$B$3, ClosureLocation!$B$6 &lt;= Table4[[#This Row],[StartMP]], ClosureLocation!$B$6 &gt;= Table4[[#This Row],[EndMP]]), "Yes", "")</f>
        <v/>
      </c>
      <c r="R1576" s="1" t="str">
        <f>IF( OR( Table4[[#This Row],[PrimaryMatch]]="Yes", Table4[[#This Row],[SecondaryMatch]]="Yes"), "Yes", "")</f>
        <v/>
      </c>
    </row>
    <row r="1577" spans="1:18" hidden="1" x14ac:dyDescent="0.25">
      <c r="A1577" t="s">
        <v>776</v>
      </c>
      <c r="B1577" t="s">
        <v>3205</v>
      </c>
      <c r="C1577" t="s">
        <v>3222</v>
      </c>
      <c r="D1577" t="s">
        <v>3748</v>
      </c>
      <c r="E1577" s="1">
        <v>362.817993</v>
      </c>
      <c r="F1577" s="1">
        <v>363.31399499999998</v>
      </c>
      <c r="K1577" s="39">
        <f>DefaultValues!$B$4</f>
        <v>5</v>
      </c>
      <c r="L1577" s="1">
        <f>DefaultValues!$C$4</f>
        <v>0.5</v>
      </c>
      <c r="M1577" s="1" t="str">
        <f>DefaultValues!$D$4</f>
        <v xml:space="preserve">- Within interchange - </v>
      </c>
      <c r="N1577" s="1">
        <v>362.817993</v>
      </c>
      <c r="O1577" s="1">
        <f>ABS(Table4[[#This Row],[EndMP]]-Table4[[#This Row],[StartMP]])</f>
        <v>0.49600199999997585</v>
      </c>
      <c r="P1577" s="1" t="str">
        <f>IF( AND( Table4[[#This Row],[Route]]=ClosureLocation!$B$3, ClosureLocation!$B$6 &gt;= Table4[[#This Row],[StartMP]], ClosureLocation!$B$6 &lt;= Table4[[#This Row],[EndMP]]), "Yes", "")</f>
        <v/>
      </c>
      <c r="Q1577" s="1" t="str">
        <f>IF( AND( Table4[[#This Row],[Route]]=ClosureLocation!$B$3, ClosureLocation!$B$6 &lt;= Table4[[#This Row],[StartMP]], ClosureLocation!$B$6 &gt;= Table4[[#This Row],[EndMP]]), "Yes", "")</f>
        <v/>
      </c>
      <c r="R1577" s="1" t="str">
        <f>IF( OR( Table4[[#This Row],[PrimaryMatch]]="Yes", Table4[[#This Row],[SecondaryMatch]]="Yes"), "Yes", "")</f>
        <v/>
      </c>
    </row>
    <row r="1578" spans="1:18" hidden="1" x14ac:dyDescent="0.25">
      <c r="A1578" t="s">
        <v>776</v>
      </c>
      <c r="B1578" t="s">
        <v>3205</v>
      </c>
      <c r="C1578" t="s">
        <v>3222</v>
      </c>
      <c r="D1578" t="s">
        <v>3748</v>
      </c>
      <c r="E1578" s="1">
        <v>371.216003</v>
      </c>
      <c r="F1578" s="1">
        <v>371.71701000000002</v>
      </c>
      <c r="K1578" s="39">
        <f>DefaultValues!$B$4</f>
        <v>5</v>
      </c>
      <c r="L1578" s="1">
        <f>DefaultValues!$C$4</f>
        <v>0.5</v>
      </c>
      <c r="M1578" s="1" t="str">
        <f>DefaultValues!$D$4</f>
        <v xml:space="preserve">- Within interchange - </v>
      </c>
      <c r="N1578" s="1">
        <v>371.216003</v>
      </c>
      <c r="O1578" s="1">
        <f>ABS(Table4[[#This Row],[EndMP]]-Table4[[#This Row],[StartMP]])</f>
        <v>0.50100700000001552</v>
      </c>
      <c r="P1578" s="1" t="str">
        <f>IF( AND( Table4[[#This Row],[Route]]=ClosureLocation!$B$3, ClosureLocation!$B$6 &gt;= Table4[[#This Row],[StartMP]], ClosureLocation!$B$6 &lt;= Table4[[#This Row],[EndMP]]), "Yes", "")</f>
        <v/>
      </c>
      <c r="Q1578" s="1" t="str">
        <f>IF( AND( Table4[[#This Row],[Route]]=ClosureLocation!$B$3, ClosureLocation!$B$6 &lt;= Table4[[#This Row],[StartMP]], ClosureLocation!$B$6 &gt;= Table4[[#This Row],[EndMP]]), "Yes", "")</f>
        <v/>
      </c>
      <c r="R1578" s="1" t="str">
        <f>IF( OR( Table4[[#This Row],[PrimaryMatch]]="Yes", Table4[[#This Row],[SecondaryMatch]]="Yes"), "Yes", "")</f>
        <v/>
      </c>
    </row>
    <row r="1579" spans="1:18" hidden="1" x14ac:dyDescent="0.25">
      <c r="A1579" t="s">
        <v>776</v>
      </c>
      <c r="B1579" t="s">
        <v>3205</v>
      </c>
      <c r="C1579" t="s">
        <v>3222</v>
      </c>
      <c r="D1579" t="s">
        <v>3748</v>
      </c>
      <c r="E1579" s="1">
        <v>376.216003</v>
      </c>
      <c r="F1579" s="1">
        <v>376.79901100000001</v>
      </c>
      <c r="K1579" s="39">
        <f>DefaultValues!$B$4</f>
        <v>5</v>
      </c>
      <c r="L1579" s="1">
        <f>DefaultValues!$C$4</f>
        <v>0.5</v>
      </c>
      <c r="M1579" s="1" t="str">
        <f>DefaultValues!$D$4</f>
        <v xml:space="preserve">- Within interchange - </v>
      </c>
      <c r="N1579" s="1">
        <v>376.216003</v>
      </c>
      <c r="O1579" s="1">
        <f>ABS(Table4[[#This Row],[EndMP]]-Table4[[#This Row],[StartMP]])</f>
        <v>0.58300800000000663</v>
      </c>
      <c r="P1579" s="1" t="str">
        <f>IF( AND( Table4[[#This Row],[Route]]=ClosureLocation!$B$3, ClosureLocation!$B$6 &gt;= Table4[[#This Row],[StartMP]], ClosureLocation!$B$6 &lt;= Table4[[#This Row],[EndMP]]), "Yes", "")</f>
        <v/>
      </c>
      <c r="Q1579" s="1" t="str">
        <f>IF( AND( Table4[[#This Row],[Route]]=ClosureLocation!$B$3, ClosureLocation!$B$6 &lt;= Table4[[#This Row],[StartMP]], ClosureLocation!$B$6 &gt;= Table4[[#This Row],[EndMP]]), "Yes", "")</f>
        <v/>
      </c>
      <c r="R1579" s="1" t="str">
        <f>IF( OR( Table4[[#This Row],[PrimaryMatch]]="Yes", Table4[[#This Row],[SecondaryMatch]]="Yes"), "Yes", "")</f>
        <v/>
      </c>
    </row>
    <row r="1580" spans="1:18" hidden="1" x14ac:dyDescent="0.25">
      <c r="A1580" t="s">
        <v>776</v>
      </c>
      <c r="B1580" t="s">
        <v>3205</v>
      </c>
      <c r="C1580" t="s">
        <v>3222</v>
      </c>
      <c r="D1580" t="s">
        <v>3748</v>
      </c>
      <c r="E1580" s="1">
        <v>383</v>
      </c>
      <c r="F1580" s="1">
        <v>383.82101399999999</v>
      </c>
      <c r="K1580" s="39">
        <f>DefaultValues!$B$4</f>
        <v>5</v>
      </c>
      <c r="L1580" s="1">
        <f>DefaultValues!$C$4</f>
        <v>0.5</v>
      </c>
      <c r="M1580" s="1" t="str">
        <f>DefaultValues!$D$4</f>
        <v xml:space="preserve">- Within interchange - </v>
      </c>
      <c r="N1580" s="1">
        <v>383</v>
      </c>
      <c r="O1580" s="1">
        <f>ABS(Table4[[#This Row],[EndMP]]-Table4[[#This Row],[StartMP]])</f>
        <v>0.82101399999999103</v>
      </c>
      <c r="P1580" s="1" t="str">
        <f>IF( AND( Table4[[#This Row],[Route]]=ClosureLocation!$B$3, ClosureLocation!$B$6 &gt;= Table4[[#This Row],[StartMP]], ClosureLocation!$B$6 &lt;= Table4[[#This Row],[EndMP]]), "Yes", "")</f>
        <v/>
      </c>
      <c r="Q1580" s="1" t="str">
        <f>IF( AND( Table4[[#This Row],[Route]]=ClosureLocation!$B$3, ClosureLocation!$B$6 &lt;= Table4[[#This Row],[StartMP]], ClosureLocation!$B$6 &gt;= Table4[[#This Row],[EndMP]]), "Yes", "")</f>
        <v/>
      </c>
      <c r="R1580" s="1" t="str">
        <f>IF( OR( Table4[[#This Row],[PrimaryMatch]]="Yes", Table4[[#This Row],[SecondaryMatch]]="Yes"), "Yes", "")</f>
        <v/>
      </c>
    </row>
    <row r="1581" spans="1:18" hidden="1" x14ac:dyDescent="0.25">
      <c r="A1581" t="s">
        <v>776</v>
      </c>
      <c r="B1581" t="s">
        <v>3205</v>
      </c>
      <c r="C1581" t="s">
        <v>3222</v>
      </c>
      <c r="D1581" t="s">
        <v>3748</v>
      </c>
      <c r="E1581" s="1">
        <v>394.35101300000002</v>
      </c>
      <c r="F1581" s="1">
        <v>394.800995</v>
      </c>
      <c r="K1581" s="39">
        <f>DefaultValues!$B$4</f>
        <v>5</v>
      </c>
      <c r="L1581" s="1">
        <f>DefaultValues!$C$4</f>
        <v>0.5</v>
      </c>
      <c r="M1581" s="1" t="str">
        <f>DefaultValues!$D$4</f>
        <v xml:space="preserve">- Within interchange - </v>
      </c>
      <c r="N1581" s="1">
        <v>394.35101300000002</v>
      </c>
      <c r="O1581" s="1">
        <f>ABS(Table4[[#This Row],[EndMP]]-Table4[[#This Row],[StartMP]])</f>
        <v>0.44998199999997723</v>
      </c>
      <c r="P1581" s="1" t="str">
        <f>IF( AND( Table4[[#This Row],[Route]]=ClosureLocation!$B$3, ClosureLocation!$B$6 &gt;= Table4[[#This Row],[StartMP]], ClosureLocation!$B$6 &lt;= Table4[[#This Row],[EndMP]]), "Yes", "")</f>
        <v/>
      </c>
      <c r="Q1581" s="1" t="str">
        <f>IF( AND( Table4[[#This Row],[Route]]=ClosureLocation!$B$3, ClosureLocation!$B$6 &lt;= Table4[[#This Row],[StartMP]], ClosureLocation!$B$6 &gt;= Table4[[#This Row],[EndMP]]), "Yes", "")</f>
        <v/>
      </c>
      <c r="R1581" s="1" t="str">
        <f>IF( OR( Table4[[#This Row],[PrimaryMatch]]="Yes", Table4[[#This Row],[SecondaryMatch]]="Yes"), "Yes", "")</f>
        <v/>
      </c>
    </row>
    <row r="1582" spans="1:18" hidden="1" x14ac:dyDescent="0.25">
      <c r="A1582" t="s">
        <v>776</v>
      </c>
      <c r="B1582" t="s">
        <v>3205</v>
      </c>
      <c r="C1582" t="s">
        <v>3222</v>
      </c>
      <c r="D1582" t="s">
        <v>3748</v>
      </c>
      <c r="E1582" s="1">
        <v>404.71499599999999</v>
      </c>
      <c r="F1582" s="1">
        <v>405.36200000000002</v>
      </c>
      <c r="K1582" s="39">
        <f>DefaultValues!$B$4</f>
        <v>5</v>
      </c>
      <c r="L1582" s="1">
        <f>DefaultValues!$C$4</f>
        <v>0.5</v>
      </c>
      <c r="M1582" s="1" t="str">
        <f>DefaultValues!$D$4</f>
        <v xml:space="preserve">- Within interchange - </v>
      </c>
      <c r="N1582" s="1">
        <v>404.71499599999999</v>
      </c>
      <c r="O1582" s="1">
        <f>ABS(Table4[[#This Row],[EndMP]]-Table4[[#This Row],[StartMP]])</f>
        <v>0.6470040000000381</v>
      </c>
      <c r="P1582" s="1" t="str">
        <f>IF( AND( Table4[[#This Row],[Route]]=ClosureLocation!$B$3, ClosureLocation!$B$6 &gt;= Table4[[#This Row],[StartMP]], ClosureLocation!$B$6 &lt;= Table4[[#This Row],[EndMP]]), "Yes", "")</f>
        <v/>
      </c>
      <c r="Q1582" s="1" t="str">
        <f>IF( AND( Table4[[#This Row],[Route]]=ClosureLocation!$B$3, ClosureLocation!$B$6 &lt;= Table4[[#This Row],[StartMP]], ClosureLocation!$B$6 &gt;= Table4[[#This Row],[EndMP]]), "Yes", "")</f>
        <v/>
      </c>
      <c r="R1582" s="1" t="str">
        <f>IF( OR( Table4[[#This Row],[PrimaryMatch]]="Yes", Table4[[#This Row],[SecondaryMatch]]="Yes"), "Yes", "")</f>
        <v/>
      </c>
    </row>
    <row r="1583" spans="1:18" hidden="1" x14ac:dyDescent="0.25">
      <c r="A1583" t="s">
        <v>776</v>
      </c>
      <c r="B1583" t="s">
        <v>3205</v>
      </c>
      <c r="C1583" t="s">
        <v>3222</v>
      </c>
      <c r="D1583" t="s">
        <v>3748</v>
      </c>
      <c r="E1583" s="1">
        <v>411.82101399999999</v>
      </c>
      <c r="F1583" s="1">
        <v>412.28698700000001</v>
      </c>
      <c r="K1583" s="39">
        <f>DefaultValues!$B$4</f>
        <v>5</v>
      </c>
      <c r="L1583" s="1">
        <f>DefaultValues!$C$4</f>
        <v>0.5</v>
      </c>
      <c r="M1583" s="1" t="str">
        <f>DefaultValues!$D$4</f>
        <v xml:space="preserve">- Within interchange - </v>
      </c>
      <c r="N1583" s="1">
        <v>411.82101399999999</v>
      </c>
      <c r="O1583" s="1">
        <f>ABS(Table4[[#This Row],[EndMP]]-Table4[[#This Row],[StartMP]])</f>
        <v>0.46597300000001951</v>
      </c>
      <c r="P1583" s="1" t="str">
        <f>IF( AND( Table4[[#This Row],[Route]]=ClosureLocation!$B$3, ClosureLocation!$B$6 &gt;= Table4[[#This Row],[StartMP]], ClosureLocation!$B$6 &lt;= Table4[[#This Row],[EndMP]]), "Yes", "")</f>
        <v/>
      </c>
      <c r="Q1583" s="1" t="str">
        <f>IF( AND( Table4[[#This Row],[Route]]=ClosureLocation!$B$3, ClosureLocation!$B$6 &lt;= Table4[[#This Row],[StartMP]], ClosureLocation!$B$6 &gt;= Table4[[#This Row],[EndMP]]), "Yes", "")</f>
        <v/>
      </c>
      <c r="R1583" s="1" t="str">
        <f>IF( OR( Table4[[#This Row],[PrimaryMatch]]="Yes", Table4[[#This Row],[SecondaryMatch]]="Yes"), "Yes", "")</f>
        <v/>
      </c>
    </row>
    <row r="1584" spans="1:18" hidden="1" x14ac:dyDescent="0.25">
      <c r="A1584" t="s">
        <v>776</v>
      </c>
      <c r="B1584" t="s">
        <v>3205</v>
      </c>
      <c r="C1584" t="s">
        <v>3222</v>
      </c>
      <c r="D1584" t="s">
        <v>3748</v>
      </c>
      <c r="E1584" s="1">
        <v>419.04699699999998</v>
      </c>
      <c r="F1584" s="1">
        <v>419.50299100000001</v>
      </c>
      <c r="K1584" s="39">
        <f>DefaultValues!$B$4</f>
        <v>5</v>
      </c>
      <c r="L1584" s="1">
        <f>DefaultValues!$C$4</f>
        <v>0.5</v>
      </c>
      <c r="M1584" s="1" t="str">
        <f>DefaultValues!$D$4</f>
        <v xml:space="preserve">- Within interchange - </v>
      </c>
      <c r="N1584" s="1">
        <v>419.04699699999998</v>
      </c>
      <c r="O1584" s="1">
        <f>ABS(Table4[[#This Row],[EndMP]]-Table4[[#This Row],[StartMP]])</f>
        <v>0.45599400000003243</v>
      </c>
      <c r="P1584" s="1" t="str">
        <f>IF( AND( Table4[[#This Row],[Route]]=ClosureLocation!$B$3, ClosureLocation!$B$6 &gt;= Table4[[#This Row],[StartMP]], ClosureLocation!$B$6 &lt;= Table4[[#This Row],[EndMP]]), "Yes", "")</f>
        <v/>
      </c>
      <c r="Q1584" s="1" t="str">
        <f>IF( AND( Table4[[#This Row],[Route]]=ClosureLocation!$B$3, ClosureLocation!$B$6 &lt;= Table4[[#This Row],[StartMP]], ClosureLocation!$B$6 &gt;= Table4[[#This Row],[EndMP]]), "Yes", "")</f>
        <v/>
      </c>
      <c r="R1584" s="1" t="str">
        <f>IF( OR( Table4[[#This Row],[PrimaryMatch]]="Yes", Table4[[#This Row],[SecondaryMatch]]="Yes"), "Yes", "")</f>
        <v/>
      </c>
    </row>
    <row r="1585" spans="1:18" hidden="1" x14ac:dyDescent="0.25">
      <c r="A1585" t="s">
        <v>776</v>
      </c>
      <c r="B1585" t="s">
        <v>3205</v>
      </c>
      <c r="C1585" t="s">
        <v>3222</v>
      </c>
      <c r="D1585" t="s">
        <v>3748</v>
      </c>
      <c r="E1585" s="1">
        <v>428.55898999999999</v>
      </c>
      <c r="F1585" s="1">
        <v>429.13900799999999</v>
      </c>
      <c r="K1585" s="39">
        <f>DefaultValues!$B$4</f>
        <v>5</v>
      </c>
      <c r="L1585" s="1">
        <f>DefaultValues!$C$4</f>
        <v>0.5</v>
      </c>
      <c r="M1585" s="1" t="str">
        <f>DefaultValues!$D$4</f>
        <v xml:space="preserve">- Within interchange - </v>
      </c>
      <c r="N1585" s="1">
        <v>428.55898999999999</v>
      </c>
      <c r="O1585" s="1">
        <f>ABS(Table4[[#This Row],[EndMP]]-Table4[[#This Row],[StartMP]])</f>
        <v>0.58001799999999548</v>
      </c>
      <c r="P1585" s="1" t="str">
        <f>IF( AND( Table4[[#This Row],[Route]]=ClosureLocation!$B$3, ClosureLocation!$B$6 &gt;= Table4[[#This Row],[StartMP]], ClosureLocation!$B$6 &lt;= Table4[[#This Row],[EndMP]]), "Yes", "")</f>
        <v/>
      </c>
      <c r="Q1585" s="1" t="str">
        <f>IF( AND( Table4[[#This Row],[Route]]=ClosureLocation!$B$3, ClosureLocation!$B$6 &lt;= Table4[[#This Row],[StartMP]], ClosureLocation!$B$6 &gt;= Table4[[#This Row],[EndMP]]), "Yes", "")</f>
        <v/>
      </c>
      <c r="R1585" s="1" t="str">
        <f>IF( OR( Table4[[#This Row],[PrimaryMatch]]="Yes", Table4[[#This Row],[SecondaryMatch]]="Yes"), "Yes", "")</f>
        <v/>
      </c>
    </row>
    <row r="1586" spans="1:18" hidden="1" x14ac:dyDescent="0.25">
      <c r="A1586" t="s">
        <v>776</v>
      </c>
      <c r="B1586" t="s">
        <v>3205</v>
      </c>
      <c r="C1586" t="s">
        <v>3222</v>
      </c>
      <c r="D1586" t="s">
        <v>3748</v>
      </c>
      <c r="E1586" s="1">
        <v>436.63198899999998</v>
      </c>
      <c r="F1586" s="1">
        <v>437</v>
      </c>
      <c r="K1586" s="39">
        <f>DefaultValues!$B$4</f>
        <v>5</v>
      </c>
      <c r="L1586" s="1">
        <f>DefaultValues!$C$4</f>
        <v>0.5</v>
      </c>
      <c r="M1586" s="1" t="str">
        <f>DefaultValues!$D$4</f>
        <v xml:space="preserve">- Within interchange - </v>
      </c>
      <c r="N1586" s="1">
        <v>436.63198899999998</v>
      </c>
      <c r="O1586" s="1">
        <f>ABS(Table4[[#This Row],[EndMP]]-Table4[[#This Row],[StartMP]])</f>
        <v>0.36801100000002407</v>
      </c>
      <c r="P1586" s="1" t="str">
        <f>IF( AND( Table4[[#This Row],[Route]]=ClosureLocation!$B$3, ClosureLocation!$B$6 &gt;= Table4[[#This Row],[StartMP]], ClosureLocation!$B$6 &lt;= Table4[[#This Row],[EndMP]]), "Yes", "")</f>
        <v/>
      </c>
      <c r="Q1586" s="1" t="str">
        <f>IF( AND( Table4[[#This Row],[Route]]=ClosureLocation!$B$3, ClosureLocation!$B$6 &lt;= Table4[[#This Row],[StartMP]], ClosureLocation!$B$6 &gt;= Table4[[#This Row],[EndMP]]), "Yes", "")</f>
        <v/>
      </c>
      <c r="R1586" s="1" t="str">
        <f>IF( OR( Table4[[#This Row],[PrimaryMatch]]="Yes", Table4[[#This Row],[SecondaryMatch]]="Yes"), "Yes", "")</f>
        <v/>
      </c>
    </row>
    <row r="1587" spans="1:18" hidden="1" x14ac:dyDescent="0.25">
      <c r="A1587" t="s">
        <v>776</v>
      </c>
      <c r="B1587" t="s">
        <v>3205</v>
      </c>
      <c r="C1587" t="s">
        <v>3222</v>
      </c>
      <c r="D1587" t="s">
        <v>3748</v>
      </c>
      <c r="E1587" s="1">
        <v>437.98498499999999</v>
      </c>
      <c r="F1587" s="1">
        <v>438.41799900000001</v>
      </c>
      <c r="K1587" s="39">
        <f>DefaultValues!$B$4</f>
        <v>5</v>
      </c>
      <c r="L1587" s="1">
        <f>DefaultValues!$C$4</f>
        <v>0.5</v>
      </c>
      <c r="M1587" s="1" t="str">
        <f>DefaultValues!$D$4</f>
        <v xml:space="preserve">- Within interchange - </v>
      </c>
      <c r="N1587" s="1">
        <v>437.98498499999999</v>
      </c>
      <c r="O1587" s="1">
        <f>ABS(Table4[[#This Row],[EndMP]]-Table4[[#This Row],[StartMP]])</f>
        <v>0.43301400000001422</v>
      </c>
      <c r="P1587" s="1" t="str">
        <f>IF( AND( Table4[[#This Row],[Route]]=ClosureLocation!$B$3, ClosureLocation!$B$6 &gt;= Table4[[#This Row],[StartMP]], ClosureLocation!$B$6 &lt;= Table4[[#This Row],[EndMP]]), "Yes", "")</f>
        <v/>
      </c>
      <c r="Q1587" s="1" t="str">
        <f>IF( AND( Table4[[#This Row],[Route]]=ClosureLocation!$B$3, ClosureLocation!$B$6 &lt;= Table4[[#This Row],[StartMP]], ClosureLocation!$B$6 &gt;= Table4[[#This Row],[EndMP]]), "Yes", "")</f>
        <v/>
      </c>
      <c r="R1587" s="1" t="str">
        <f>IF( OR( Table4[[#This Row],[PrimaryMatch]]="Yes", Table4[[#This Row],[SecondaryMatch]]="Yes"), "Yes", "")</f>
        <v/>
      </c>
    </row>
    <row r="1588" spans="1:18" hidden="1" x14ac:dyDescent="0.25">
      <c r="A1588" t="s">
        <v>776</v>
      </c>
      <c r="B1588" t="s">
        <v>3209</v>
      </c>
      <c r="C1588" t="s">
        <v>3226</v>
      </c>
      <c r="D1588" t="s">
        <v>3749</v>
      </c>
      <c r="E1588" s="1">
        <v>438.41799900000001</v>
      </c>
      <c r="F1588" s="1">
        <v>438</v>
      </c>
      <c r="K1588" s="39">
        <f>DefaultValues!$B$4</f>
        <v>5</v>
      </c>
      <c r="L1588" s="1">
        <f>DefaultValues!$C$4</f>
        <v>0.5</v>
      </c>
      <c r="M1588" s="1" t="str">
        <f>DefaultValues!$D$4</f>
        <v xml:space="preserve">- Within interchange - </v>
      </c>
      <c r="N1588" s="1">
        <v>561.58196999999996</v>
      </c>
      <c r="O1588" s="1">
        <f>ABS(Table4[[#This Row],[EndMP]]-Table4[[#This Row],[StartMP]])</f>
        <v>0.41799900000000889</v>
      </c>
      <c r="P1588" s="1" t="str">
        <f>IF( AND( Table4[[#This Row],[Route]]=ClosureLocation!$B$3, ClosureLocation!$B$6 &gt;= Table4[[#This Row],[StartMP]], ClosureLocation!$B$6 &lt;= Table4[[#This Row],[EndMP]]), "Yes", "")</f>
        <v/>
      </c>
      <c r="Q1588" s="1" t="str">
        <f>IF( AND( Table4[[#This Row],[Route]]=ClosureLocation!$B$3, ClosureLocation!$B$6 &lt;= Table4[[#This Row],[StartMP]], ClosureLocation!$B$6 &gt;= Table4[[#This Row],[EndMP]]), "Yes", "")</f>
        <v/>
      </c>
      <c r="R1588" s="1" t="str">
        <f>IF( OR( Table4[[#This Row],[PrimaryMatch]]="Yes", Table4[[#This Row],[SecondaryMatch]]="Yes"), "Yes", "")</f>
        <v/>
      </c>
    </row>
    <row r="1589" spans="1:18" hidden="1" x14ac:dyDescent="0.25">
      <c r="A1589" t="s">
        <v>776</v>
      </c>
      <c r="B1589" t="s">
        <v>3209</v>
      </c>
      <c r="C1589" t="s">
        <v>3226</v>
      </c>
      <c r="D1589" t="s">
        <v>3749</v>
      </c>
      <c r="E1589" s="1">
        <v>437.81100500000002</v>
      </c>
      <c r="F1589" s="1">
        <v>437.40600599999999</v>
      </c>
      <c r="K1589" s="39">
        <f>DefaultValues!$B$4</f>
        <v>5</v>
      </c>
      <c r="L1589" s="1">
        <f>DefaultValues!$C$4</f>
        <v>0.5</v>
      </c>
      <c r="M1589" s="1" t="str">
        <f>DefaultValues!$D$4</f>
        <v xml:space="preserve">- Within interchange - </v>
      </c>
      <c r="N1589" s="1">
        <v>562.18902600000001</v>
      </c>
      <c r="O1589" s="1">
        <f>ABS(Table4[[#This Row],[EndMP]]-Table4[[#This Row],[StartMP]])</f>
        <v>0.40499900000003208</v>
      </c>
      <c r="P1589" s="1" t="str">
        <f>IF( AND( Table4[[#This Row],[Route]]=ClosureLocation!$B$3, ClosureLocation!$B$6 &gt;= Table4[[#This Row],[StartMP]], ClosureLocation!$B$6 &lt;= Table4[[#This Row],[EndMP]]), "Yes", "")</f>
        <v/>
      </c>
      <c r="Q1589" s="1" t="str">
        <f>IF( AND( Table4[[#This Row],[Route]]=ClosureLocation!$B$3, ClosureLocation!$B$6 &lt;= Table4[[#This Row],[StartMP]], ClosureLocation!$B$6 &gt;= Table4[[#This Row],[EndMP]]), "Yes", "")</f>
        <v/>
      </c>
      <c r="R1589" s="1" t="str">
        <f>IF( OR( Table4[[#This Row],[PrimaryMatch]]="Yes", Table4[[#This Row],[SecondaryMatch]]="Yes"), "Yes", "")</f>
        <v/>
      </c>
    </row>
    <row r="1590" spans="1:18" hidden="1" x14ac:dyDescent="0.25">
      <c r="A1590" t="s">
        <v>776</v>
      </c>
      <c r="B1590" t="s">
        <v>3209</v>
      </c>
      <c r="C1590" t="s">
        <v>3226</v>
      </c>
      <c r="D1590" t="s">
        <v>3749</v>
      </c>
      <c r="E1590" s="1">
        <v>437</v>
      </c>
      <c r="F1590" s="1">
        <v>436.63198899999998</v>
      </c>
      <c r="K1590" s="39">
        <f>DefaultValues!$B$4</f>
        <v>5</v>
      </c>
      <c r="L1590" s="1">
        <f>DefaultValues!$C$4</f>
        <v>0.5</v>
      </c>
      <c r="M1590" s="1" t="str">
        <f>DefaultValues!$D$4</f>
        <v xml:space="preserve">- Within interchange - </v>
      </c>
      <c r="N1590" s="1">
        <v>563</v>
      </c>
      <c r="O1590" s="1">
        <f>ABS(Table4[[#This Row],[EndMP]]-Table4[[#This Row],[StartMP]])</f>
        <v>0.36801100000002407</v>
      </c>
      <c r="P1590" s="1" t="str">
        <f>IF( AND( Table4[[#This Row],[Route]]=ClosureLocation!$B$3, ClosureLocation!$B$6 &gt;= Table4[[#This Row],[StartMP]], ClosureLocation!$B$6 &lt;= Table4[[#This Row],[EndMP]]), "Yes", "")</f>
        <v/>
      </c>
      <c r="Q1590" s="1" t="str">
        <f>IF( AND( Table4[[#This Row],[Route]]=ClosureLocation!$B$3, ClosureLocation!$B$6 &lt;= Table4[[#This Row],[StartMP]], ClosureLocation!$B$6 &gt;= Table4[[#This Row],[EndMP]]), "Yes", "")</f>
        <v/>
      </c>
      <c r="R1590" s="1" t="str">
        <f>IF( OR( Table4[[#This Row],[PrimaryMatch]]="Yes", Table4[[#This Row],[SecondaryMatch]]="Yes"), "Yes", "")</f>
        <v/>
      </c>
    </row>
    <row r="1591" spans="1:18" hidden="1" x14ac:dyDescent="0.25">
      <c r="A1591" t="s">
        <v>776</v>
      </c>
      <c r="B1591" t="s">
        <v>3209</v>
      </c>
      <c r="C1591" t="s">
        <v>3226</v>
      </c>
      <c r="D1591" t="s">
        <v>3749</v>
      </c>
      <c r="E1591" s="1">
        <v>429.04599000000002</v>
      </c>
      <c r="F1591" s="1">
        <v>428.55898999999999</v>
      </c>
      <c r="K1591" s="39">
        <f>DefaultValues!$B$4</f>
        <v>5</v>
      </c>
      <c r="L1591" s="1">
        <f>DefaultValues!$C$4</f>
        <v>0.5</v>
      </c>
      <c r="M1591" s="1" t="str">
        <f>DefaultValues!$D$4</f>
        <v xml:space="preserve">- Within interchange - </v>
      </c>
      <c r="N1591" s="1">
        <v>570.953979</v>
      </c>
      <c r="O1591" s="1">
        <f>ABS(Table4[[#This Row],[EndMP]]-Table4[[#This Row],[StartMP]])</f>
        <v>0.48700000000002319</v>
      </c>
      <c r="P1591" s="1" t="str">
        <f>IF( AND( Table4[[#This Row],[Route]]=ClosureLocation!$B$3, ClosureLocation!$B$6 &gt;= Table4[[#This Row],[StartMP]], ClosureLocation!$B$6 &lt;= Table4[[#This Row],[EndMP]]), "Yes", "")</f>
        <v/>
      </c>
      <c r="Q1591" s="1" t="str">
        <f>IF( AND( Table4[[#This Row],[Route]]=ClosureLocation!$B$3, ClosureLocation!$B$6 &lt;= Table4[[#This Row],[StartMP]], ClosureLocation!$B$6 &gt;= Table4[[#This Row],[EndMP]]), "Yes", "")</f>
        <v/>
      </c>
      <c r="R1591" s="1" t="str">
        <f>IF( OR( Table4[[#This Row],[PrimaryMatch]]="Yes", Table4[[#This Row],[SecondaryMatch]]="Yes"), "Yes", "")</f>
        <v/>
      </c>
    </row>
    <row r="1592" spans="1:18" hidden="1" x14ac:dyDescent="0.25">
      <c r="A1592" t="s">
        <v>776</v>
      </c>
      <c r="B1592" t="s">
        <v>3209</v>
      </c>
      <c r="C1592" t="s">
        <v>3226</v>
      </c>
      <c r="D1592" t="s">
        <v>3749</v>
      </c>
      <c r="E1592" s="1">
        <v>419.50299100000001</v>
      </c>
      <c r="F1592" s="1">
        <v>419.04699699999998</v>
      </c>
      <c r="K1592" s="39">
        <f>DefaultValues!$B$4</f>
        <v>5</v>
      </c>
      <c r="L1592" s="1">
        <f>DefaultValues!$C$4</f>
        <v>0.5</v>
      </c>
      <c r="M1592" s="1" t="str">
        <f>DefaultValues!$D$4</f>
        <v xml:space="preserve">- Within interchange - </v>
      </c>
      <c r="N1592" s="1">
        <v>580.49700900000005</v>
      </c>
      <c r="O1592" s="1">
        <f>ABS(Table4[[#This Row],[EndMP]]-Table4[[#This Row],[StartMP]])</f>
        <v>0.45599400000003243</v>
      </c>
      <c r="P1592" s="1" t="str">
        <f>IF( AND( Table4[[#This Row],[Route]]=ClosureLocation!$B$3, ClosureLocation!$B$6 &gt;= Table4[[#This Row],[StartMP]], ClosureLocation!$B$6 &lt;= Table4[[#This Row],[EndMP]]), "Yes", "")</f>
        <v/>
      </c>
      <c r="Q1592" s="1" t="str">
        <f>IF( AND( Table4[[#This Row],[Route]]=ClosureLocation!$B$3, ClosureLocation!$B$6 &lt;= Table4[[#This Row],[StartMP]], ClosureLocation!$B$6 &gt;= Table4[[#This Row],[EndMP]]), "Yes", "")</f>
        <v/>
      </c>
      <c r="R1592" s="1" t="str">
        <f>IF( OR( Table4[[#This Row],[PrimaryMatch]]="Yes", Table4[[#This Row],[SecondaryMatch]]="Yes"), "Yes", "")</f>
        <v/>
      </c>
    </row>
    <row r="1593" spans="1:18" hidden="1" x14ac:dyDescent="0.25">
      <c r="A1593" t="s">
        <v>776</v>
      </c>
      <c r="B1593" t="s">
        <v>3209</v>
      </c>
      <c r="C1593" t="s">
        <v>3226</v>
      </c>
      <c r="D1593" t="s">
        <v>3749</v>
      </c>
      <c r="E1593" s="1">
        <v>412.28698700000001</v>
      </c>
      <c r="F1593" s="1">
        <v>411.82101399999999</v>
      </c>
      <c r="K1593" s="39">
        <f>DefaultValues!$B$4</f>
        <v>5</v>
      </c>
      <c r="L1593" s="1">
        <f>DefaultValues!$C$4</f>
        <v>0.5</v>
      </c>
      <c r="M1593" s="1" t="str">
        <f>DefaultValues!$D$4</f>
        <v xml:space="preserve">- Within interchange - </v>
      </c>
      <c r="N1593" s="1">
        <v>587.71301300000005</v>
      </c>
      <c r="O1593" s="1">
        <f>ABS(Table4[[#This Row],[EndMP]]-Table4[[#This Row],[StartMP]])</f>
        <v>0.46597300000001951</v>
      </c>
      <c r="P1593" s="1" t="str">
        <f>IF( AND( Table4[[#This Row],[Route]]=ClosureLocation!$B$3, ClosureLocation!$B$6 &gt;= Table4[[#This Row],[StartMP]], ClosureLocation!$B$6 &lt;= Table4[[#This Row],[EndMP]]), "Yes", "")</f>
        <v/>
      </c>
      <c r="Q1593" s="1" t="str">
        <f>IF( AND( Table4[[#This Row],[Route]]=ClosureLocation!$B$3, ClosureLocation!$B$6 &lt;= Table4[[#This Row],[StartMP]], ClosureLocation!$B$6 &gt;= Table4[[#This Row],[EndMP]]), "Yes", "")</f>
        <v/>
      </c>
      <c r="R1593" s="1" t="str">
        <f>IF( OR( Table4[[#This Row],[PrimaryMatch]]="Yes", Table4[[#This Row],[SecondaryMatch]]="Yes"), "Yes", "")</f>
        <v/>
      </c>
    </row>
    <row r="1594" spans="1:18" hidden="1" x14ac:dyDescent="0.25">
      <c r="A1594" t="s">
        <v>776</v>
      </c>
      <c r="B1594" t="s">
        <v>3209</v>
      </c>
      <c r="C1594" t="s">
        <v>3226</v>
      </c>
      <c r="D1594" t="s">
        <v>3749</v>
      </c>
      <c r="E1594" s="1">
        <v>405.385986</v>
      </c>
      <c r="F1594" s="1">
        <v>404.76998900000001</v>
      </c>
      <c r="K1594" s="39">
        <f>DefaultValues!$B$4</f>
        <v>5</v>
      </c>
      <c r="L1594" s="1">
        <f>DefaultValues!$C$4</f>
        <v>0.5</v>
      </c>
      <c r="M1594" s="1" t="str">
        <f>DefaultValues!$D$4</f>
        <v xml:space="preserve">- Within interchange - </v>
      </c>
      <c r="N1594" s="1">
        <v>594.614014</v>
      </c>
      <c r="O1594" s="1">
        <f>ABS(Table4[[#This Row],[EndMP]]-Table4[[#This Row],[StartMP]])</f>
        <v>0.61599699999999302</v>
      </c>
      <c r="P1594" s="1" t="str">
        <f>IF( AND( Table4[[#This Row],[Route]]=ClosureLocation!$B$3, ClosureLocation!$B$6 &gt;= Table4[[#This Row],[StartMP]], ClosureLocation!$B$6 &lt;= Table4[[#This Row],[EndMP]]), "Yes", "")</f>
        <v/>
      </c>
      <c r="Q1594" s="1" t="str">
        <f>IF( AND( Table4[[#This Row],[Route]]=ClosureLocation!$B$3, ClosureLocation!$B$6 &lt;= Table4[[#This Row],[StartMP]], ClosureLocation!$B$6 &gt;= Table4[[#This Row],[EndMP]]), "Yes", "")</f>
        <v/>
      </c>
      <c r="R1594" s="1" t="str">
        <f>IF( OR( Table4[[#This Row],[PrimaryMatch]]="Yes", Table4[[#This Row],[SecondaryMatch]]="Yes"), "Yes", "")</f>
        <v/>
      </c>
    </row>
    <row r="1595" spans="1:18" hidden="1" x14ac:dyDescent="0.25">
      <c r="A1595" t="s">
        <v>776</v>
      </c>
      <c r="B1595" t="s">
        <v>3209</v>
      </c>
      <c r="C1595" t="s">
        <v>3226</v>
      </c>
      <c r="D1595" t="s">
        <v>3749</v>
      </c>
      <c r="E1595" s="1">
        <v>394.800995</v>
      </c>
      <c r="F1595" s="1">
        <v>394.30200200000002</v>
      </c>
      <c r="K1595" s="39">
        <f>DefaultValues!$B$4</f>
        <v>5</v>
      </c>
      <c r="L1595" s="1">
        <f>DefaultValues!$C$4</f>
        <v>0.5</v>
      </c>
      <c r="M1595" s="1" t="str">
        <f>DefaultValues!$D$4</f>
        <v xml:space="preserve">- Within interchange - </v>
      </c>
      <c r="N1595" s="1">
        <v>605.19897500000002</v>
      </c>
      <c r="O1595" s="1">
        <f>ABS(Table4[[#This Row],[EndMP]]-Table4[[#This Row],[StartMP]])</f>
        <v>0.49899299999998448</v>
      </c>
      <c r="P1595" s="1" t="str">
        <f>IF( AND( Table4[[#This Row],[Route]]=ClosureLocation!$B$3, ClosureLocation!$B$6 &gt;= Table4[[#This Row],[StartMP]], ClosureLocation!$B$6 &lt;= Table4[[#This Row],[EndMP]]), "Yes", "")</f>
        <v/>
      </c>
      <c r="Q1595" s="1" t="str">
        <f>IF( AND( Table4[[#This Row],[Route]]=ClosureLocation!$B$3, ClosureLocation!$B$6 &lt;= Table4[[#This Row],[StartMP]], ClosureLocation!$B$6 &gt;= Table4[[#This Row],[EndMP]]), "Yes", "")</f>
        <v/>
      </c>
      <c r="R1595" s="1" t="str">
        <f>IF( OR( Table4[[#This Row],[PrimaryMatch]]="Yes", Table4[[#This Row],[SecondaryMatch]]="Yes"), "Yes", "")</f>
        <v/>
      </c>
    </row>
    <row r="1596" spans="1:18" hidden="1" x14ac:dyDescent="0.25">
      <c r="A1596" t="s">
        <v>776</v>
      </c>
      <c r="B1596" t="s">
        <v>3209</v>
      </c>
      <c r="C1596" t="s">
        <v>3226</v>
      </c>
      <c r="D1596" t="s">
        <v>3749</v>
      </c>
      <c r="E1596" s="1">
        <v>383.790009</v>
      </c>
      <c r="F1596" s="1">
        <v>383</v>
      </c>
      <c r="K1596" s="39">
        <f>DefaultValues!$B$4</f>
        <v>5</v>
      </c>
      <c r="L1596" s="1">
        <f>DefaultValues!$C$4</f>
        <v>0.5</v>
      </c>
      <c r="M1596" s="1" t="str">
        <f>DefaultValues!$D$4</f>
        <v xml:space="preserve">- Within interchange - </v>
      </c>
      <c r="N1596" s="1">
        <v>616.21002199999998</v>
      </c>
      <c r="O1596" s="1">
        <f>ABS(Table4[[#This Row],[EndMP]]-Table4[[#This Row],[StartMP]])</f>
        <v>0.79000899999999774</v>
      </c>
      <c r="P1596" s="1" t="str">
        <f>IF( AND( Table4[[#This Row],[Route]]=ClosureLocation!$B$3, ClosureLocation!$B$6 &gt;= Table4[[#This Row],[StartMP]], ClosureLocation!$B$6 &lt;= Table4[[#This Row],[EndMP]]), "Yes", "")</f>
        <v/>
      </c>
      <c r="Q1596" s="1" t="str">
        <f>IF( AND( Table4[[#This Row],[Route]]=ClosureLocation!$B$3, ClosureLocation!$B$6 &lt;= Table4[[#This Row],[StartMP]], ClosureLocation!$B$6 &gt;= Table4[[#This Row],[EndMP]]), "Yes", "")</f>
        <v/>
      </c>
      <c r="R1596" s="1" t="str">
        <f>IF( OR( Table4[[#This Row],[PrimaryMatch]]="Yes", Table4[[#This Row],[SecondaryMatch]]="Yes"), "Yes", "")</f>
        <v/>
      </c>
    </row>
    <row r="1597" spans="1:18" hidden="1" x14ac:dyDescent="0.25">
      <c r="A1597" t="s">
        <v>776</v>
      </c>
      <c r="B1597" t="s">
        <v>3209</v>
      </c>
      <c r="C1597" t="s">
        <v>3226</v>
      </c>
      <c r="D1597" t="s">
        <v>3749</v>
      </c>
      <c r="E1597" s="1">
        <v>376.743988</v>
      </c>
      <c r="F1597" s="1">
        <v>376.216003</v>
      </c>
      <c r="K1597" s="39">
        <f>DefaultValues!$B$4</f>
        <v>5</v>
      </c>
      <c r="L1597" s="1">
        <f>DefaultValues!$C$4</f>
        <v>0.5</v>
      </c>
      <c r="M1597" s="1" t="str">
        <f>DefaultValues!$D$4</f>
        <v xml:space="preserve">- Within interchange - </v>
      </c>
      <c r="N1597" s="1">
        <v>623.25598100000002</v>
      </c>
      <c r="O1597" s="1">
        <f>ABS(Table4[[#This Row],[EndMP]]-Table4[[#This Row],[StartMP]])</f>
        <v>0.52798500000000104</v>
      </c>
      <c r="P1597" s="1" t="str">
        <f>IF( AND( Table4[[#This Row],[Route]]=ClosureLocation!$B$3, ClosureLocation!$B$6 &gt;= Table4[[#This Row],[StartMP]], ClosureLocation!$B$6 &lt;= Table4[[#This Row],[EndMP]]), "Yes", "")</f>
        <v/>
      </c>
      <c r="Q1597" s="1" t="str">
        <f>IF( AND( Table4[[#This Row],[Route]]=ClosureLocation!$B$3, ClosureLocation!$B$6 &lt;= Table4[[#This Row],[StartMP]], ClosureLocation!$B$6 &gt;= Table4[[#This Row],[EndMP]]), "Yes", "")</f>
        <v/>
      </c>
      <c r="R1597" s="1" t="str">
        <f>IF( OR( Table4[[#This Row],[PrimaryMatch]]="Yes", Table4[[#This Row],[SecondaryMatch]]="Yes"), "Yes", "")</f>
        <v/>
      </c>
    </row>
    <row r="1598" spans="1:18" hidden="1" x14ac:dyDescent="0.25">
      <c r="A1598" t="s">
        <v>776</v>
      </c>
      <c r="B1598" t="s">
        <v>3209</v>
      </c>
      <c r="C1598" t="s">
        <v>3226</v>
      </c>
      <c r="D1598" t="s">
        <v>3749</v>
      </c>
      <c r="E1598" s="1">
        <v>371.71701000000002</v>
      </c>
      <c r="F1598" s="1">
        <v>371.216003</v>
      </c>
      <c r="K1598" s="39">
        <f>DefaultValues!$B$4</f>
        <v>5</v>
      </c>
      <c r="L1598" s="1">
        <f>DefaultValues!$C$4</f>
        <v>0.5</v>
      </c>
      <c r="M1598" s="1" t="str">
        <f>DefaultValues!$D$4</f>
        <v xml:space="preserve">- Within interchange - </v>
      </c>
      <c r="N1598" s="1">
        <v>628.28301999999996</v>
      </c>
      <c r="O1598" s="1">
        <f>ABS(Table4[[#This Row],[EndMP]]-Table4[[#This Row],[StartMP]])</f>
        <v>0.50100700000001552</v>
      </c>
      <c r="P1598" s="1" t="str">
        <f>IF( AND( Table4[[#This Row],[Route]]=ClosureLocation!$B$3, ClosureLocation!$B$6 &gt;= Table4[[#This Row],[StartMP]], ClosureLocation!$B$6 &lt;= Table4[[#This Row],[EndMP]]), "Yes", "")</f>
        <v/>
      </c>
      <c r="Q1598" s="1" t="str">
        <f>IF( AND( Table4[[#This Row],[Route]]=ClosureLocation!$B$3, ClosureLocation!$B$6 &lt;= Table4[[#This Row],[StartMP]], ClosureLocation!$B$6 &gt;= Table4[[#This Row],[EndMP]]), "Yes", "")</f>
        <v/>
      </c>
      <c r="R1598" s="1" t="str">
        <f>IF( OR( Table4[[#This Row],[PrimaryMatch]]="Yes", Table4[[#This Row],[SecondaryMatch]]="Yes"), "Yes", "")</f>
        <v/>
      </c>
    </row>
    <row r="1599" spans="1:18" hidden="1" x14ac:dyDescent="0.25">
      <c r="A1599" t="s">
        <v>776</v>
      </c>
      <c r="B1599" t="s">
        <v>3209</v>
      </c>
      <c r="C1599" t="s">
        <v>3226</v>
      </c>
      <c r="D1599" t="s">
        <v>3749</v>
      </c>
      <c r="E1599" s="1">
        <v>363.25900300000001</v>
      </c>
      <c r="F1599" s="1">
        <v>362.817993</v>
      </c>
      <c r="K1599" s="39">
        <f>DefaultValues!$B$4</f>
        <v>5</v>
      </c>
      <c r="L1599" s="1">
        <f>DefaultValues!$C$4</f>
        <v>0.5</v>
      </c>
      <c r="M1599" s="1" t="str">
        <f>DefaultValues!$D$4</f>
        <v xml:space="preserve">- Within interchange - </v>
      </c>
      <c r="N1599" s="1">
        <v>636.74102800000003</v>
      </c>
      <c r="O1599" s="1">
        <f>ABS(Table4[[#This Row],[EndMP]]-Table4[[#This Row],[StartMP]])</f>
        <v>0.44101000000000568</v>
      </c>
      <c r="P1599" s="1" t="str">
        <f>IF( AND( Table4[[#This Row],[Route]]=ClosureLocation!$B$3, ClosureLocation!$B$6 &gt;= Table4[[#This Row],[StartMP]], ClosureLocation!$B$6 &lt;= Table4[[#This Row],[EndMP]]), "Yes", "")</f>
        <v/>
      </c>
      <c r="Q1599" s="1" t="str">
        <f>IF( AND( Table4[[#This Row],[Route]]=ClosureLocation!$B$3, ClosureLocation!$B$6 &lt;= Table4[[#This Row],[StartMP]], ClosureLocation!$B$6 &gt;= Table4[[#This Row],[EndMP]]), "Yes", "")</f>
        <v/>
      </c>
      <c r="R1599" s="1" t="str">
        <f>IF( OR( Table4[[#This Row],[PrimaryMatch]]="Yes", Table4[[#This Row],[SecondaryMatch]]="Yes"), "Yes", "")</f>
        <v/>
      </c>
    </row>
    <row r="1600" spans="1:18" hidden="1" x14ac:dyDescent="0.25">
      <c r="A1600" t="s">
        <v>776</v>
      </c>
      <c r="B1600" t="s">
        <v>3209</v>
      </c>
      <c r="C1600" t="s">
        <v>3226</v>
      </c>
      <c r="D1600" t="s">
        <v>3749</v>
      </c>
      <c r="E1600" s="1">
        <v>362.01001000000002</v>
      </c>
      <c r="F1600" s="1">
        <v>361.55599999999998</v>
      </c>
      <c r="K1600" s="39">
        <f>DefaultValues!$B$4</f>
        <v>5</v>
      </c>
      <c r="L1600" s="1">
        <f>DefaultValues!$C$4</f>
        <v>0.5</v>
      </c>
      <c r="M1600" s="1" t="str">
        <f>DefaultValues!$D$4</f>
        <v xml:space="preserve">- Within interchange - </v>
      </c>
      <c r="N1600" s="1">
        <v>637.98999000000003</v>
      </c>
      <c r="O1600" s="1">
        <f>ABS(Table4[[#This Row],[EndMP]]-Table4[[#This Row],[StartMP]])</f>
        <v>0.45401000000003933</v>
      </c>
      <c r="P1600" s="1" t="str">
        <f>IF( AND( Table4[[#This Row],[Route]]=ClosureLocation!$B$3, ClosureLocation!$B$6 &gt;= Table4[[#This Row],[StartMP]], ClosureLocation!$B$6 &lt;= Table4[[#This Row],[EndMP]]), "Yes", "")</f>
        <v/>
      </c>
      <c r="Q1600" s="1" t="str">
        <f>IF( AND( Table4[[#This Row],[Route]]=ClosureLocation!$B$3, ClosureLocation!$B$6 &lt;= Table4[[#This Row],[StartMP]], ClosureLocation!$B$6 &gt;= Table4[[#This Row],[EndMP]]), "Yes", "")</f>
        <v/>
      </c>
      <c r="R1600" s="1" t="str">
        <f>IF( OR( Table4[[#This Row],[PrimaryMatch]]="Yes", Table4[[#This Row],[SecondaryMatch]]="Yes"), "Yes", "")</f>
        <v/>
      </c>
    </row>
    <row r="1601" spans="1:18" hidden="1" x14ac:dyDescent="0.25">
      <c r="A1601" t="s">
        <v>776</v>
      </c>
      <c r="B1601" t="s">
        <v>3209</v>
      </c>
      <c r="C1601" t="s">
        <v>3226</v>
      </c>
      <c r="D1601" t="s">
        <v>3749</v>
      </c>
      <c r="E1601" s="1">
        <v>361.14999399999999</v>
      </c>
      <c r="F1601" s="1">
        <v>360.37899800000002</v>
      </c>
      <c r="K1601" s="39">
        <f>DefaultValues!$B$4</f>
        <v>5</v>
      </c>
      <c r="L1601" s="1">
        <f>DefaultValues!$C$4</f>
        <v>0.5</v>
      </c>
      <c r="M1601" s="1" t="str">
        <f>DefaultValues!$D$4</f>
        <v xml:space="preserve">- Within interchange - </v>
      </c>
      <c r="N1601" s="1">
        <v>638.84997599999997</v>
      </c>
      <c r="O1601" s="1">
        <f>ABS(Table4[[#This Row],[EndMP]]-Table4[[#This Row],[StartMP]])</f>
        <v>0.77099599999996826</v>
      </c>
      <c r="P1601" s="1" t="str">
        <f>IF( AND( Table4[[#This Row],[Route]]=ClosureLocation!$B$3, ClosureLocation!$B$6 &gt;= Table4[[#This Row],[StartMP]], ClosureLocation!$B$6 &lt;= Table4[[#This Row],[EndMP]]), "Yes", "")</f>
        <v/>
      </c>
      <c r="Q1601" s="1" t="str">
        <f>IF( AND( Table4[[#This Row],[Route]]=ClosureLocation!$B$3, ClosureLocation!$B$6 &lt;= Table4[[#This Row],[StartMP]], ClosureLocation!$B$6 &gt;= Table4[[#This Row],[EndMP]]), "Yes", "")</f>
        <v/>
      </c>
      <c r="R1601" s="1" t="str">
        <f>IF( OR( Table4[[#This Row],[PrimaryMatch]]="Yes", Table4[[#This Row],[SecondaryMatch]]="Yes"), "Yes", "")</f>
        <v/>
      </c>
    </row>
    <row r="1602" spans="1:18" hidden="1" x14ac:dyDescent="0.25">
      <c r="A1602" t="s">
        <v>776</v>
      </c>
      <c r="B1602" t="s">
        <v>3209</v>
      </c>
      <c r="C1602" t="s">
        <v>3226</v>
      </c>
      <c r="D1602" t="s">
        <v>3749</v>
      </c>
      <c r="E1602" s="1">
        <v>359.81601000000001</v>
      </c>
      <c r="F1602" s="1">
        <v>359.23199499999998</v>
      </c>
      <c r="K1602" s="39">
        <f>DefaultValues!$B$4</f>
        <v>5</v>
      </c>
      <c r="L1602" s="1">
        <f>DefaultValues!$C$4</f>
        <v>0.5</v>
      </c>
      <c r="M1602" s="1" t="str">
        <f>DefaultValues!$D$4</f>
        <v xml:space="preserve">- Within interchange - </v>
      </c>
      <c r="N1602" s="1">
        <v>640.18402100000003</v>
      </c>
      <c r="O1602" s="1">
        <f>ABS(Table4[[#This Row],[EndMP]]-Table4[[#This Row],[StartMP]])</f>
        <v>0.58401500000002216</v>
      </c>
      <c r="P1602" s="1" t="str">
        <f>IF( AND( Table4[[#This Row],[Route]]=ClosureLocation!$B$3, ClosureLocation!$B$6 &gt;= Table4[[#This Row],[StartMP]], ClosureLocation!$B$6 &lt;= Table4[[#This Row],[EndMP]]), "Yes", "")</f>
        <v/>
      </c>
      <c r="Q1602" s="1" t="str">
        <f>IF( AND( Table4[[#This Row],[Route]]=ClosureLocation!$B$3, ClosureLocation!$B$6 &lt;= Table4[[#This Row],[StartMP]], ClosureLocation!$B$6 &gt;= Table4[[#This Row],[EndMP]]), "Yes", "")</f>
        <v/>
      </c>
      <c r="R1602" s="1" t="str">
        <f>IF( OR( Table4[[#This Row],[PrimaryMatch]]="Yes", Table4[[#This Row],[SecondaryMatch]]="Yes"), "Yes", "")</f>
        <v/>
      </c>
    </row>
    <row r="1603" spans="1:18" hidden="1" x14ac:dyDescent="0.25">
      <c r="A1603" t="s">
        <v>776</v>
      </c>
      <c r="B1603" t="s">
        <v>3209</v>
      </c>
      <c r="C1603" t="s">
        <v>3226</v>
      </c>
      <c r="D1603" t="s">
        <v>3749</v>
      </c>
      <c r="E1603" s="1">
        <v>354.66000400000001</v>
      </c>
      <c r="F1603" s="1">
        <v>354.37799100000001</v>
      </c>
      <c r="K1603" s="39">
        <f>DefaultValues!$B$4</f>
        <v>5</v>
      </c>
      <c r="L1603" s="1">
        <f>DefaultValues!$C$4</f>
        <v>0.5</v>
      </c>
      <c r="M1603" s="1" t="str">
        <f>DefaultValues!$D$4</f>
        <v xml:space="preserve">- Within interchange - </v>
      </c>
      <c r="N1603" s="1">
        <v>645.34002699999996</v>
      </c>
      <c r="O1603" s="1">
        <f>ABS(Table4[[#This Row],[EndMP]]-Table4[[#This Row],[StartMP]])</f>
        <v>0.28201300000000629</v>
      </c>
      <c r="P1603" s="1" t="str">
        <f>IF( AND( Table4[[#This Row],[Route]]=ClosureLocation!$B$3, ClosureLocation!$B$6 &gt;= Table4[[#This Row],[StartMP]], ClosureLocation!$B$6 &lt;= Table4[[#This Row],[EndMP]]), "Yes", "")</f>
        <v/>
      </c>
      <c r="Q1603" s="1" t="str">
        <f>IF( AND( Table4[[#This Row],[Route]]=ClosureLocation!$B$3, ClosureLocation!$B$6 &lt;= Table4[[#This Row],[StartMP]], ClosureLocation!$B$6 &gt;= Table4[[#This Row],[EndMP]]), "Yes", "")</f>
        <v/>
      </c>
      <c r="R1603" s="1" t="str">
        <f>IF( OR( Table4[[#This Row],[PrimaryMatch]]="Yes", Table4[[#This Row],[SecondaryMatch]]="Yes"), "Yes", "")</f>
        <v/>
      </c>
    </row>
    <row r="1604" spans="1:18" hidden="1" x14ac:dyDescent="0.25">
      <c r="A1604" t="s">
        <v>776</v>
      </c>
      <c r="B1604" t="s">
        <v>3209</v>
      </c>
      <c r="C1604" t="s">
        <v>3226</v>
      </c>
      <c r="D1604" t="s">
        <v>3749</v>
      </c>
      <c r="E1604" s="1">
        <v>352.56201199999998</v>
      </c>
      <c r="F1604" s="1">
        <v>352.074005</v>
      </c>
      <c r="K1604" s="39">
        <f>DefaultValues!$B$4</f>
        <v>5</v>
      </c>
      <c r="L1604" s="1">
        <f>DefaultValues!$C$4</f>
        <v>0.5</v>
      </c>
      <c r="M1604" s="1" t="str">
        <f>DefaultValues!$D$4</f>
        <v xml:space="preserve">- Within interchange - </v>
      </c>
      <c r="N1604" s="1">
        <v>647.43798800000002</v>
      </c>
      <c r="O1604" s="1">
        <f>ABS(Table4[[#This Row],[EndMP]]-Table4[[#This Row],[StartMP]])</f>
        <v>0.48800699999998187</v>
      </c>
      <c r="P1604" s="1" t="str">
        <f>IF( AND( Table4[[#This Row],[Route]]=ClosureLocation!$B$3, ClosureLocation!$B$6 &gt;= Table4[[#This Row],[StartMP]], ClosureLocation!$B$6 &lt;= Table4[[#This Row],[EndMP]]), "Yes", "")</f>
        <v/>
      </c>
      <c r="Q1604" s="1" t="str">
        <f>IF( AND( Table4[[#This Row],[Route]]=ClosureLocation!$B$3, ClosureLocation!$B$6 &lt;= Table4[[#This Row],[StartMP]], ClosureLocation!$B$6 &gt;= Table4[[#This Row],[EndMP]]), "Yes", "")</f>
        <v/>
      </c>
      <c r="R1604" s="1" t="str">
        <f>IF( OR( Table4[[#This Row],[PrimaryMatch]]="Yes", Table4[[#This Row],[SecondaryMatch]]="Yes"), "Yes", "")</f>
        <v/>
      </c>
    </row>
    <row r="1605" spans="1:18" hidden="1" x14ac:dyDescent="0.25">
      <c r="A1605" t="s">
        <v>776</v>
      </c>
      <c r="B1605" t="s">
        <v>3209</v>
      </c>
      <c r="C1605" t="s">
        <v>3226</v>
      </c>
      <c r="D1605" t="s">
        <v>3749</v>
      </c>
      <c r="E1605" s="1">
        <v>348.88799999999998</v>
      </c>
      <c r="F1605" s="1">
        <v>348.58599900000002</v>
      </c>
      <c r="K1605" s="39">
        <f>DefaultValues!$B$4</f>
        <v>5</v>
      </c>
      <c r="L1605" s="1">
        <f>DefaultValues!$C$4</f>
        <v>0.5</v>
      </c>
      <c r="M1605" s="1" t="str">
        <f>DefaultValues!$D$4</f>
        <v xml:space="preserve">- Within interchange - </v>
      </c>
      <c r="N1605" s="1">
        <v>651.11199999999997</v>
      </c>
      <c r="O1605" s="1">
        <f>ABS(Table4[[#This Row],[EndMP]]-Table4[[#This Row],[StartMP]])</f>
        <v>0.30200099999996155</v>
      </c>
      <c r="P1605" s="1" t="str">
        <f>IF( AND( Table4[[#This Row],[Route]]=ClosureLocation!$B$3, ClosureLocation!$B$6 &gt;= Table4[[#This Row],[StartMP]], ClosureLocation!$B$6 &lt;= Table4[[#This Row],[EndMP]]), "Yes", "")</f>
        <v/>
      </c>
      <c r="Q1605" s="1" t="str">
        <f>IF( AND( Table4[[#This Row],[Route]]=ClosureLocation!$B$3, ClosureLocation!$B$6 &lt;= Table4[[#This Row],[StartMP]], ClosureLocation!$B$6 &gt;= Table4[[#This Row],[EndMP]]), "Yes", "")</f>
        <v/>
      </c>
      <c r="R1605" s="1" t="str">
        <f>IF( OR( Table4[[#This Row],[PrimaryMatch]]="Yes", Table4[[#This Row],[SecondaryMatch]]="Yes"), "Yes", "")</f>
        <v/>
      </c>
    </row>
    <row r="1606" spans="1:18" hidden="1" x14ac:dyDescent="0.25">
      <c r="A1606" t="s">
        <v>776</v>
      </c>
      <c r="B1606" t="s">
        <v>3209</v>
      </c>
      <c r="C1606" t="s">
        <v>3226</v>
      </c>
      <c r="D1606" t="s">
        <v>3749</v>
      </c>
      <c r="E1606" s="1">
        <v>340.42001299999998</v>
      </c>
      <c r="F1606" s="1">
        <v>340.18798800000002</v>
      </c>
      <c r="K1606" s="39">
        <f>DefaultValues!$B$4</f>
        <v>5</v>
      </c>
      <c r="L1606" s="1">
        <f>DefaultValues!$C$4</f>
        <v>0.5</v>
      </c>
      <c r="M1606" s="1" t="str">
        <f>DefaultValues!$D$4</f>
        <v xml:space="preserve">- Within interchange - </v>
      </c>
      <c r="N1606" s="1">
        <v>659.580017</v>
      </c>
      <c r="O1606" s="1">
        <f>ABS(Table4[[#This Row],[EndMP]]-Table4[[#This Row],[StartMP]])</f>
        <v>0.23202499999996462</v>
      </c>
      <c r="P1606" s="1" t="str">
        <f>IF( AND( Table4[[#This Row],[Route]]=ClosureLocation!$B$3, ClosureLocation!$B$6 &gt;= Table4[[#This Row],[StartMP]], ClosureLocation!$B$6 &lt;= Table4[[#This Row],[EndMP]]), "Yes", "")</f>
        <v/>
      </c>
      <c r="Q1606" s="1" t="str">
        <f>IF( AND( Table4[[#This Row],[Route]]=ClosureLocation!$B$3, ClosureLocation!$B$6 &lt;= Table4[[#This Row],[StartMP]], ClosureLocation!$B$6 &gt;= Table4[[#This Row],[EndMP]]), "Yes", "")</f>
        <v/>
      </c>
      <c r="R1606" s="1" t="str">
        <f>IF( OR( Table4[[#This Row],[PrimaryMatch]]="Yes", Table4[[#This Row],[SecondaryMatch]]="Yes"), "Yes", "")</f>
        <v/>
      </c>
    </row>
    <row r="1607" spans="1:18" hidden="1" x14ac:dyDescent="0.25">
      <c r="A1607" t="s">
        <v>776</v>
      </c>
      <c r="B1607" t="s">
        <v>3209</v>
      </c>
      <c r="C1607" t="s">
        <v>3226</v>
      </c>
      <c r="D1607" t="s">
        <v>3749</v>
      </c>
      <c r="E1607" s="1">
        <v>337.03698700000001</v>
      </c>
      <c r="F1607" s="1">
        <v>336.57299799999998</v>
      </c>
      <c r="K1607" s="39">
        <f>DefaultValues!$B$4</f>
        <v>5</v>
      </c>
      <c r="L1607" s="1">
        <f>DefaultValues!$C$4</f>
        <v>0.5</v>
      </c>
      <c r="M1607" s="1" t="str">
        <f>DefaultValues!$D$4</f>
        <v xml:space="preserve">- Within interchange - </v>
      </c>
      <c r="N1607" s="1">
        <v>662.96301300000005</v>
      </c>
      <c r="O1607" s="1">
        <f>ABS(Table4[[#This Row],[EndMP]]-Table4[[#This Row],[StartMP]])</f>
        <v>0.46398900000002641</v>
      </c>
      <c r="P1607" s="1" t="str">
        <f>IF( AND( Table4[[#This Row],[Route]]=ClosureLocation!$B$3, ClosureLocation!$B$6 &gt;= Table4[[#This Row],[StartMP]], ClosureLocation!$B$6 &lt;= Table4[[#This Row],[EndMP]]), "Yes", "")</f>
        <v/>
      </c>
      <c r="Q1607" s="1" t="str">
        <f>IF( AND( Table4[[#This Row],[Route]]=ClosureLocation!$B$3, ClosureLocation!$B$6 &lt;= Table4[[#This Row],[StartMP]], ClosureLocation!$B$6 &gt;= Table4[[#This Row],[EndMP]]), "Yes", "")</f>
        <v/>
      </c>
      <c r="R1607" s="1" t="str">
        <f>IF( OR( Table4[[#This Row],[PrimaryMatch]]="Yes", Table4[[#This Row],[SecondaryMatch]]="Yes"), "Yes", "")</f>
        <v/>
      </c>
    </row>
    <row r="1608" spans="1:18" hidden="1" x14ac:dyDescent="0.25">
      <c r="A1608" t="s">
        <v>776</v>
      </c>
      <c r="B1608" t="s">
        <v>3209</v>
      </c>
      <c r="C1608" t="s">
        <v>3226</v>
      </c>
      <c r="D1608" t="s">
        <v>3749</v>
      </c>
      <c r="E1608" s="1">
        <v>328.53799400000003</v>
      </c>
      <c r="F1608" s="1">
        <v>328</v>
      </c>
      <c r="K1608" s="39">
        <f>DefaultValues!$B$4</f>
        <v>5</v>
      </c>
      <c r="L1608" s="1">
        <f>DefaultValues!$C$4</f>
        <v>0.5</v>
      </c>
      <c r="M1608" s="1" t="str">
        <f>DefaultValues!$D$4</f>
        <v xml:space="preserve">- Within interchange - </v>
      </c>
      <c r="N1608" s="1">
        <v>671.46197500000005</v>
      </c>
      <c r="O1608" s="1">
        <f>ABS(Table4[[#This Row],[EndMP]]-Table4[[#This Row],[StartMP]])</f>
        <v>0.53799400000002606</v>
      </c>
      <c r="P1608" s="1" t="str">
        <f>IF( AND( Table4[[#This Row],[Route]]=ClosureLocation!$B$3, ClosureLocation!$B$6 &gt;= Table4[[#This Row],[StartMP]], ClosureLocation!$B$6 &lt;= Table4[[#This Row],[EndMP]]), "Yes", "")</f>
        <v/>
      </c>
      <c r="Q1608" s="1" t="str">
        <f>IF( AND( Table4[[#This Row],[Route]]=ClosureLocation!$B$3, ClosureLocation!$B$6 &lt;= Table4[[#This Row],[StartMP]], ClosureLocation!$B$6 &gt;= Table4[[#This Row],[EndMP]]), "Yes", "")</f>
        <v/>
      </c>
      <c r="R1608" s="1" t="str">
        <f>IF( OR( Table4[[#This Row],[PrimaryMatch]]="Yes", Table4[[#This Row],[SecondaryMatch]]="Yes"), "Yes", "")</f>
        <v/>
      </c>
    </row>
    <row r="1609" spans="1:18" hidden="1" x14ac:dyDescent="0.25">
      <c r="A1609" t="s">
        <v>776</v>
      </c>
      <c r="B1609" t="s">
        <v>3209</v>
      </c>
      <c r="C1609" t="s">
        <v>3226</v>
      </c>
      <c r="D1609" t="s">
        <v>3749</v>
      </c>
      <c r="E1609" s="1">
        <v>322.32501200000002</v>
      </c>
      <c r="F1609" s="1">
        <v>321.85101300000002</v>
      </c>
      <c r="K1609" s="39">
        <f>DefaultValues!$B$4</f>
        <v>5</v>
      </c>
      <c r="L1609" s="1">
        <f>DefaultValues!$C$4</f>
        <v>0.5</v>
      </c>
      <c r="M1609" s="1" t="str">
        <f>DefaultValues!$D$4</f>
        <v xml:space="preserve">- Within interchange - </v>
      </c>
      <c r="N1609" s="1">
        <v>677.67498799999998</v>
      </c>
      <c r="O1609" s="1">
        <f>ABS(Table4[[#This Row],[EndMP]]-Table4[[#This Row],[StartMP]])</f>
        <v>0.47399899999999207</v>
      </c>
      <c r="P1609" s="1" t="str">
        <f>IF( AND( Table4[[#This Row],[Route]]=ClosureLocation!$B$3, ClosureLocation!$B$6 &gt;= Table4[[#This Row],[StartMP]], ClosureLocation!$B$6 &lt;= Table4[[#This Row],[EndMP]]), "Yes", "")</f>
        <v/>
      </c>
      <c r="Q1609" s="1" t="str">
        <f>IF( AND( Table4[[#This Row],[Route]]=ClosureLocation!$B$3, ClosureLocation!$B$6 &lt;= Table4[[#This Row],[StartMP]], ClosureLocation!$B$6 &gt;= Table4[[#This Row],[EndMP]]), "Yes", "")</f>
        <v/>
      </c>
      <c r="R1609" s="1" t="str">
        <f>IF( OR( Table4[[#This Row],[PrimaryMatch]]="Yes", Table4[[#This Row],[SecondaryMatch]]="Yes"), "Yes", "")</f>
        <v/>
      </c>
    </row>
    <row r="1610" spans="1:18" hidden="1" x14ac:dyDescent="0.25">
      <c r="A1610" t="s">
        <v>776</v>
      </c>
      <c r="B1610" t="s">
        <v>3209</v>
      </c>
      <c r="C1610" t="s">
        <v>3226</v>
      </c>
      <c r="D1610" t="s">
        <v>3749</v>
      </c>
      <c r="E1610" s="1">
        <v>316.21301299999999</v>
      </c>
      <c r="F1610" s="1">
        <v>315.61099200000001</v>
      </c>
      <c r="K1610" s="39">
        <f>DefaultValues!$B$4</f>
        <v>5</v>
      </c>
      <c r="L1610" s="1">
        <f>DefaultValues!$C$4</f>
        <v>0.5</v>
      </c>
      <c r="M1610" s="1" t="str">
        <f>DefaultValues!$D$4</f>
        <v xml:space="preserve">- Within interchange - </v>
      </c>
      <c r="N1610" s="1">
        <v>683.78698699999995</v>
      </c>
      <c r="O1610" s="1">
        <f>ABS(Table4[[#This Row],[EndMP]]-Table4[[#This Row],[StartMP]])</f>
        <v>0.60202099999997927</v>
      </c>
      <c r="P1610" s="1" t="str">
        <f>IF( AND( Table4[[#This Row],[Route]]=ClosureLocation!$B$3, ClosureLocation!$B$6 &gt;= Table4[[#This Row],[StartMP]], ClosureLocation!$B$6 &lt;= Table4[[#This Row],[EndMP]]), "Yes", "")</f>
        <v/>
      </c>
      <c r="Q1610" s="1" t="str">
        <f>IF( AND( Table4[[#This Row],[Route]]=ClosureLocation!$B$3, ClosureLocation!$B$6 &lt;= Table4[[#This Row],[StartMP]], ClosureLocation!$B$6 &gt;= Table4[[#This Row],[EndMP]]), "Yes", "")</f>
        <v/>
      </c>
      <c r="R1610" s="1" t="str">
        <f>IF( OR( Table4[[#This Row],[PrimaryMatch]]="Yes", Table4[[#This Row],[SecondaryMatch]]="Yes"), "Yes", "")</f>
        <v/>
      </c>
    </row>
    <row r="1611" spans="1:18" hidden="1" x14ac:dyDescent="0.25">
      <c r="A1611" t="s">
        <v>776</v>
      </c>
      <c r="B1611" t="s">
        <v>3209</v>
      </c>
      <c r="C1611" t="s">
        <v>3226</v>
      </c>
      <c r="D1611" t="s">
        <v>3749</v>
      </c>
      <c r="E1611" s="1">
        <v>310.32699600000001</v>
      </c>
      <c r="F1611" s="1">
        <v>309.91198700000001</v>
      </c>
      <c r="K1611" s="39">
        <f>DefaultValues!$B$4</f>
        <v>5</v>
      </c>
      <c r="L1611" s="1">
        <f>DefaultValues!$C$4</f>
        <v>0.5</v>
      </c>
      <c r="M1611" s="1" t="str">
        <f>DefaultValues!$D$4</f>
        <v xml:space="preserve">- Within interchange - </v>
      </c>
      <c r="N1611" s="1">
        <v>689.67297399999995</v>
      </c>
      <c r="O1611" s="1">
        <f>ABS(Table4[[#This Row],[EndMP]]-Table4[[#This Row],[StartMP]])</f>
        <v>0.41500899999999774</v>
      </c>
      <c r="P1611" s="1" t="str">
        <f>IF( AND( Table4[[#This Row],[Route]]=ClosureLocation!$B$3, ClosureLocation!$B$6 &gt;= Table4[[#This Row],[StartMP]], ClosureLocation!$B$6 &lt;= Table4[[#This Row],[EndMP]]), "Yes", "")</f>
        <v/>
      </c>
      <c r="Q1611" s="1" t="str">
        <f>IF( AND( Table4[[#This Row],[Route]]=ClosureLocation!$B$3, ClosureLocation!$B$6 &lt;= Table4[[#This Row],[StartMP]], ClosureLocation!$B$6 &gt;= Table4[[#This Row],[EndMP]]), "Yes", "")</f>
        <v/>
      </c>
      <c r="R1611" s="1" t="str">
        <f>IF( OR( Table4[[#This Row],[PrimaryMatch]]="Yes", Table4[[#This Row],[SecondaryMatch]]="Yes"), "Yes", "")</f>
        <v/>
      </c>
    </row>
    <row r="1612" spans="1:18" hidden="1" x14ac:dyDescent="0.25">
      <c r="A1612" t="s">
        <v>776</v>
      </c>
      <c r="B1612" t="s">
        <v>3209</v>
      </c>
      <c r="C1612" t="s">
        <v>3226</v>
      </c>
      <c r="D1612" t="s">
        <v>3749</v>
      </c>
      <c r="E1612" s="1">
        <v>304.47601300000002</v>
      </c>
      <c r="F1612" s="1">
        <v>304.24200400000001</v>
      </c>
      <c r="K1612" s="39">
        <f>DefaultValues!$B$4</f>
        <v>5</v>
      </c>
      <c r="L1612" s="1">
        <f>DefaultValues!$C$4</f>
        <v>0.5</v>
      </c>
      <c r="M1612" s="1" t="str">
        <f>DefaultValues!$D$4</f>
        <v xml:space="preserve">- Within interchange - </v>
      </c>
      <c r="N1612" s="1">
        <v>695.52398700000003</v>
      </c>
      <c r="O1612" s="1">
        <f>ABS(Table4[[#This Row],[EndMP]]-Table4[[#This Row],[StartMP]])</f>
        <v>0.23400900000001457</v>
      </c>
      <c r="P1612" s="1" t="str">
        <f>IF( AND( Table4[[#This Row],[Route]]=ClosureLocation!$B$3, ClosureLocation!$B$6 &gt;= Table4[[#This Row],[StartMP]], ClosureLocation!$B$6 &lt;= Table4[[#This Row],[EndMP]]), "Yes", "")</f>
        <v/>
      </c>
      <c r="Q1612" s="1" t="str">
        <f>IF( AND( Table4[[#This Row],[Route]]=ClosureLocation!$B$3, ClosureLocation!$B$6 &lt;= Table4[[#This Row],[StartMP]], ClosureLocation!$B$6 &gt;= Table4[[#This Row],[EndMP]]), "Yes", "")</f>
        <v/>
      </c>
      <c r="R1612" s="1" t="str">
        <f>IF( OR( Table4[[#This Row],[PrimaryMatch]]="Yes", Table4[[#This Row],[SecondaryMatch]]="Yes"), "Yes", "")</f>
        <v/>
      </c>
    </row>
    <row r="1613" spans="1:18" hidden="1" x14ac:dyDescent="0.25">
      <c r="A1613" t="s">
        <v>776</v>
      </c>
      <c r="B1613" t="s">
        <v>3209</v>
      </c>
      <c r="C1613" t="s">
        <v>3226</v>
      </c>
      <c r="D1613" t="s">
        <v>3749</v>
      </c>
      <c r="E1613" s="1">
        <v>299.550995</v>
      </c>
      <c r="F1613" s="1">
        <v>299.13400300000001</v>
      </c>
      <c r="K1613" s="39">
        <f>DefaultValues!$B$4</f>
        <v>5</v>
      </c>
      <c r="L1613" s="1">
        <f>DefaultValues!$C$4</f>
        <v>0.5</v>
      </c>
      <c r="M1613" s="1" t="str">
        <f>DefaultValues!$D$4</f>
        <v xml:space="preserve">- Within interchange - </v>
      </c>
      <c r="N1613" s="1">
        <v>700.44897500000002</v>
      </c>
      <c r="O1613" s="1">
        <f>ABS(Table4[[#This Row],[EndMP]]-Table4[[#This Row],[StartMP]])</f>
        <v>0.41699199999999337</v>
      </c>
      <c r="P1613" s="1" t="str">
        <f>IF( AND( Table4[[#This Row],[Route]]=ClosureLocation!$B$3, ClosureLocation!$B$6 &gt;= Table4[[#This Row],[StartMP]], ClosureLocation!$B$6 &lt;= Table4[[#This Row],[EndMP]]), "Yes", "")</f>
        <v/>
      </c>
      <c r="Q1613" s="1" t="str">
        <f>IF( AND( Table4[[#This Row],[Route]]=ClosureLocation!$B$3, ClosureLocation!$B$6 &lt;= Table4[[#This Row],[StartMP]], ClosureLocation!$B$6 &gt;= Table4[[#This Row],[EndMP]]), "Yes", "")</f>
        <v/>
      </c>
      <c r="R1613" s="1" t="str">
        <f>IF( OR( Table4[[#This Row],[PrimaryMatch]]="Yes", Table4[[#This Row],[SecondaryMatch]]="Yes"), "Yes", "")</f>
        <v/>
      </c>
    </row>
    <row r="1614" spans="1:18" hidden="1" x14ac:dyDescent="0.25">
      <c r="A1614" t="s">
        <v>776</v>
      </c>
      <c r="B1614" t="s">
        <v>3209</v>
      </c>
      <c r="C1614" t="s">
        <v>3226</v>
      </c>
      <c r="D1614" t="s">
        <v>3749</v>
      </c>
      <c r="E1614" s="1">
        <v>295.37799100000001</v>
      </c>
      <c r="F1614" s="1">
        <v>295</v>
      </c>
      <c r="K1614" s="39">
        <f>DefaultValues!$B$4</f>
        <v>5</v>
      </c>
      <c r="L1614" s="1">
        <f>DefaultValues!$C$4</f>
        <v>0.5</v>
      </c>
      <c r="M1614" s="1" t="str">
        <f>DefaultValues!$D$4</f>
        <v xml:space="preserve">- Within interchange - </v>
      </c>
      <c r="N1614" s="1">
        <v>704.62200900000005</v>
      </c>
      <c r="O1614" s="1">
        <f>ABS(Table4[[#This Row],[EndMP]]-Table4[[#This Row],[StartMP]])</f>
        <v>0.37799100000000863</v>
      </c>
      <c r="P1614" s="1" t="str">
        <f>IF( AND( Table4[[#This Row],[Route]]=ClosureLocation!$B$3, ClosureLocation!$B$6 &gt;= Table4[[#This Row],[StartMP]], ClosureLocation!$B$6 &lt;= Table4[[#This Row],[EndMP]]), "Yes", "")</f>
        <v/>
      </c>
      <c r="Q1614" s="1" t="str">
        <f>IF( AND( Table4[[#This Row],[Route]]=ClosureLocation!$B$3, ClosureLocation!$B$6 &lt;= Table4[[#This Row],[StartMP]], ClosureLocation!$B$6 &gt;= Table4[[#This Row],[EndMP]]), "Yes", "")</f>
        <v/>
      </c>
      <c r="R1614" s="1" t="str">
        <f>IF( OR( Table4[[#This Row],[PrimaryMatch]]="Yes", Table4[[#This Row],[SecondaryMatch]]="Yes"), "Yes", "")</f>
        <v/>
      </c>
    </row>
    <row r="1615" spans="1:18" hidden="1" x14ac:dyDescent="0.25">
      <c r="A1615" t="s">
        <v>776</v>
      </c>
      <c r="B1615" t="s">
        <v>3209</v>
      </c>
      <c r="C1615" t="s">
        <v>3226</v>
      </c>
      <c r="D1615" t="s">
        <v>3749</v>
      </c>
      <c r="E1615" s="1">
        <v>292.391998</v>
      </c>
      <c r="F1615" s="1">
        <v>291.90701300000001</v>
      </c>
      <c r="K1615" s="39">
        <f>DefaultValues!$B$4</f>
        <v>5</v>
      </c>
      <c r="L1615" s="1">
        <f>DefaultValues!$C$4</f>
        <v>0.5</v>
      </c>
      <c r="M1615" s="1" t="str">
        <f>DefaultValues!$D$4</f>
        <v xml:space="preserve">- Within interchange - </v>
      </c>
      <c r="N1615" s="1">
        <v>707.60797100000002</v>
      </c>
      <c r="O1615" s="1">
        <f>ABS(Table4[[#This Row],[EndMP]]-Table4[[#This Row],[StartMP]])</f>
        <v>0.48498499999999467</v>
      </c>
      <c r="P1615" s="1" t="str">
        <f>IF( AND( Table4[[#This Row],[Route]]=ClosureLocation!$B$3, ClosureLocation!$B$6 &gt;= Table4[[#This Row],[StartMP]], ClosureLocation!$B$6 &lt;= Table4[[#This Row],[EndMP]]), "Yes", "")</f>
        <v/>
      </c>
      <c r="Q1615" s="1" t="str">
        <f>IF( AND( Table4[[#This Row],[Route]]=ClosureLocation!$B$3, ClosureLocation!$B$6 &lt;= Table4[[#This Row],[StartMP]], ClosureLocation!$B$6 &gt;= Table4[[#This Row],[EndMP]]), "Yes", "")</f>
        <v/>
      </c>
      <c r="R1615" s="1" t="str">
        <f>IF( OR( Table4[[#This Row],[PrimaryMatch]]="Yes", Table4[[#This Row],[SecondaryMatch]]="Yes"), "Yes", "")</f>
        <v/>
      </c>
    </row>
    <row r="1616" spans="1:18" hidden="1" x14ac:dyDescent="0.25">
      <c r="A1616" t="s">
        <v>776</v>
      </c>
      <c r="B1616" t="s">
        <v>3209</v>
      </c>
      <c r="C1616" t="s">
        <v>3226</v>
      </c>
      <c r="D1616" t="s">
        <v>3749</v>
      </c>
      <c r="E1616" s="1">
        <v>289.37701399999997</v>
      </c>
      <c r="F1616" s="1">
        <v>288.182007</v>
      </c>
      <c r="K1616" s="39">
        <f>DefaultValues!$B$4</f>
        <v>5</v>
      </c>
      <c r="L1616" s="1">
        <f>DefaultValues!$C$4</f>
        <v>0.5</v>
      </c>
      <c r="M1616" s="1" t="str">
        <f>DefaultValues!$D$4</f>
        <v xml:space="preserve">- Within interchange - </v>
      </c>
      <c r="N1616" s="1">
        <v>710.62298599999997</v>
      </c>
      <c r="O1616" s="1">
        <f>ABS(Table4[[#This Row],[EndMP]]-Table4[[#This Row],[StartMP]])</f>
        <v>1.1950069999999755</v>
      </c>
      <c r="P1616" s="1" t="str">
        <f>IF( AND( Table4[[#This Row],[Route]]=ClosureLocation!$B$3, ClosureLocation!$B$6 &gt;= Table4[[#This Row],[StartMP]], ClosureLocation!$B$6 &lt;= Table4[[#This Row],[EndMP]]), "Yes", "")</f>
        <v/>
      </c>
      <c r="Q1616" s="1" t="str">
        <f>IF( AND( Table4[[#This Row],[Route]]=ClosureLocation!$B$3, ClosureLocation!$B$6 &lt;= Table4[[#This Row],[StartMP]], ClosureLocation!$B$6 &gt;= Table4[[#This Row],[EndMP]]), "Yes", "")</f>
        <v/>
      </c>
      <c r="R1616" s="1" t="str">
        <f>IF( OR( Table4[[#This Row],[PrimaryMatch]]="Yes", Table4[[#This Row],[SecondaryMatch]]="Yes"), "Yes", "")</f>
        <v/>
      </c>
    </row>
    <row r="1617" spans="1:18" hidden="1" x14ac:dyDescent="0.25">
      <c r="A1617" t="s">
        <v>776</v>
      </c>
      <c r="B1617" t="s">
        <v>3209</v>
      </c>
      <c r="C1617" t="s">
        <v>3226</v>
      </c>
      <c r="D1617" t="s">
        <v>3749</v>
      </c>
      <c r="E1617" s="1">
        <v>285.92700200000002</v>
      </c>
      <c r="F1617" s="1">
        <v>285.47299199999998</v>
      </c>
      <c r="K1617" s="39">
        <f>DefaultValues!$B$4</f>
        <v>5</v>
      </c>
      <c r="L1617" s="1">
        <f>DefaultValues!$C$4</f>
        <v>0.5</v>
      </c>
      <c r="M1617" s="1" t="str">
        <f>DefaultValues!$D$4</f>
        <v xml:space="preserve">- Within interchange - </v>
      </c>
      <c r="N1617" s="1">
        <v>714.07299799999998</v>
      </c>
      <c r="O1617" s="1">
        <f>ABS(Table4[[#This Row],[EndMP]]-Table4[[#This Row],[StartMP]])</f>
        <v>0.45401000000003933</v>
      </c>
      <c r="P1617" s="1" t="str">
        <f>IF( AND( Table4[[#This Row],[Route]]=ClosureLocation!$B$3, ClosureLocation!$B$6 &gt;= Table4[[#This Row],[StartMP]], ClosureLocation!$B$6 &lt;= Table4[[#This Row],[EndMP]]), "Yes", "")</f>
        <v/>
      </c>
      <c r="Q1617" s="1" t="str">
        <f>IF( AND( Table4[[#This Row],[Route]]=ClosureLocation!$B$3, ClosureLocation!$B$6 &lt;= Table4[[#This Row],[StartMP]], ClosureLocation!$B$6 &gt;= Table4[[#This Row],[EndMP]]), "Yes", "")</f>
        <v/>
      </c>
      <c r="R1617" s="1" t="str">
        <f>IF( OR( Table4[[#This Row],[PrimaryMatch]]="Yes", Table4[[#This Row],[SecondaryMatch]]="Yes"), "Yes", "")</f>
        <v/>
      </c>
    </row>
    <row r="1618" spans="1:18" hidden="1" x14ac:dyDescent="0.25">
      <c r="A1618" t="s">
        <v>776</v>
      </c>
      <c r="B1618" t="s">
        <v>3209</v>
      </c>
      <c r="C1618" t="s">
        <v>3226</v>
      </c>
      <c r="D1618" t="s">
        <v>3749</v>
      </c>
      <c r="E1618" s="1">
        <v>285</v>
      </c>
      <c r="F1618" s="1">
        <v>284.19400000000002</v>
      </c>
      <c r="K1618" s="39">
        <f>DefaultValues!$B$4</f>
        <v>5</v>
      </c>
      <c r="L1618" s="1">
        <f>DefaultValues!$C$4</f>
        <v>0.5</v>
      </c>
      <c r="M1618" s="1" t="str">
        <f>DefaultValues!$D$4</f>
        <v xml:space="preserve">- Within interchange - </v>
      </c>
      <c r="N1618" s="1">
        <v>715</v>
      </c>
      <c r="O1618" s="1">
        <f>ABS(Table4[[#This Row],[EndMP]]-Table4[[#This Row],[StartMP]])</f>
        <v>0.80599999999998317</v>
      </c>
      <c r="P1618" s="1" t="str">
        <f>IF( AND( Table4[[#This Row],[Route]]=ClosureLocation!$B$3, ClosureLocation!$B$6 &gt;= Table4[[#This Row],[StartMP]], ClosureLocation!$B$6 &lt;= Table4[[#This Row],[EndMP]]), "Yes", "")</f>
        <v/>
      </c>
      <c r="Q1618" s="1" t="str">
        <f>IF( AND( Table4[[#This Row],[Route]]=ClosureLocation!$B$3, ClosureLocation!$B$6 &lt;= Table4[[#This Row],[StartMP]], ClosureLocation!$B$6 &gt;= Table4[[#This Row],[EndMP]]), "Yes", "")</f>
        <v/>
      </c>
      <c r="R1618" s="1" t="str">
        <f>IF( OR( Table4[[#This Row],[PrimaryMatch]]="Yes", Table4[[#This Row],[SecondaryMatch]]="Yes"), "Yes", "")</f>
        <v/>
      </c>
    </row>
    <row r="1619" spans="1:18" hidden="1" x14ac:dyDescent="0.25">
      <c r="A1619" t="s">
        <v>776</v>
      </c>
      <c r="B1619" t="s">
        <v>3209</v>
      </c>
      <c r="C1619" t="s">
        <v>3226</v>
      </c>
      <c r="D1619" t="s">
        <v>3749</v>
      </c>
      <c r="E1619" s="1">
        <v>284.13299599999999</v>
      </c>
      <c r="F1619" s="1">
        <v>281.26998900000001</v>
      </c>
      <c r="K1619" s="39">
        <f>DefaultValues!$B$4</f>
        <v>5</v>
      </c>
      <c r="L1619" s="1">
        <f>DefaultValues!$C$4</f>
        <v>0.5</v>
      </c>
      <c r="M1619" s="1" t="str">
        <f>DefaultValues!$D$4</f>
        <v xml:space="preserve">- Within interchange - </v>
      </c>
      <c r="N1619" s="1">
        <v>715.86700399999995</v>
      </c>
      <c r="O1619" s="1">
        <f>ABS(Table4[[#This Row],[EndMP]]-Table4[[#This Row],[StartMP]])</f>
        <v>2.8630069999999819</v>
      </c>
      <c r="P1619" s="1" t="str">
        <f>IF( AND( Table4[[#This Row],[Route]]=ClosureLocation!$B$3, ClosureLocation!$B$6 &gt;= Table4[[#This Row],[StartMP]], ClosureLocation!$B$6 &lt;= Table4[[#This Row],[EndMP]]), "Yes", "")</f>
        <v/>
      </c>
      <c r="Q1619" s="1" t="str">
        <f>IF( AND( Table4[[#This Row],[Route]]=ClosureLocation!$B$3, ClosureLocation!$B$6 &lt;= Table4[[#This Row],[StartMP]], ClosureLocation!$B$6 &gt;= Table4[[#This Row],[EndMP]]), "Yes", "")</f>
        <v/>
      </c>
      <c r="R1619" s="1" t="str">
        <f>IF( OR( Table4[[#This Row],[PrimaryMatch]]="Yes", Table4[[#This Row],[SecondaryMatch]]="Yes"), "Yes", "")</f>
        <v/>
      </c>
    </row>
    <row r="1620" spans="1:18" hidden="1" x14ac:dyDescent="0.25">
      <c r="A1620" t="s">
        <v>776</v>
      </c>
      <c r="B1620" t="s">
        <v>3209</v>
      </c>
      <c r="C1620" t="s">
        <v>3226</v>
      </c>
      <c r="D1620" t="s">
        <v>3749</v>
      </c>
      <c r="E1620" s="1">
        <v>280.79800399999999</v>
      </c>
      <c r="F1620" s="1">
        <v>280.61599699999999</v>
      </c>
      <c r="K1620" s="39">
        <f>DefaultValues!$B$4</f>
        <v>5</v>
      </c>
      <c r="L1620" s="1">
        <f>DefaultValues!$C$4</f>
        <v>0.5</v>
      </c>
      <c r="M1620" s="1" t="str">
        <f>DefaultValues!$D$4</f>
        <v xml:space="preserve">- Within interchange - </v>
      </c>
      <c r="N1620" s="1">
        <v>719.20202600000005</v>
      </c>
      <c r="O1620" s="1">
        <f>ABS(Table4[[#This Row],[EndMP]]-Table4[[#This Row],[StartMP]])</f>
        <v>0.1820069999999987</v>
      </c>
      <c r="P1620" s="1" t="str">
        <f>IF( AND( Table4[[#This Row],[Route]]=ClosureLocation!$B$3, ClosureLocation!$B$6 &gt;= Table4[[#This Row],[StartMP]], ClosureLocation!$B$6 &lt;= Table4[[#This Row],[EndMP]]), "Yes", "")</f>
        <v/>
      </c>
      <c r="Q1620" s="1" t="str">
        <f>IF( AND( Table4[[#This Row],[Route]]=ClosureLocation!$B$3, ClosureLocation!$B$6 &lt;= Table4[[#This Row],[StartMP]], ClosureLocation!$B$6 &gt;= Table4[[#This Row],[EndMP]]), "Yes", "")</f>
        <v/>
      </c>
      <c r="R1620" s="1" t="str">
        <f>IF( OR( Table4[[#This Row],[PrimaryMatch]]="Yes", Table4[[#This Row],[SecondaryMatch]]="Yes"), "Yes", "")</f>
        <v/>
      </c>
    </row>
    <row r="1621" spans="1:18" hidden="1" x14ac:dyDescent="0.25">
      <c r="A1621" t="s">
        <v>776</v>
      </c>
      <c r="B1621" t="s">
        <v>3209</v>
      </c>
      <c r="C1621" t="s">
        <v>3226</v>
      </c>
      <c r="D1621" t="s">
        <v>3749</v>
      </c>
      <c r="E1621" s="1">
        <v>280</v>
      </c>
      <c r="F1621" s="1">
        <v>279.04299900000001</v>
      </c>
      <c r="K1621" s="39">
        <f>DefaultValues!$B$4</f>
        <v>5</v>
      </c>
      <c r="L1621" s="1">
        <f>DefaultValues!$C$4</f>
        <v>0.5</v>
      </c>
      <c r="M1621" s="1" t="str">
        <f>DefaultValues!$D$4</f>
        <v xml:space="preserve">- Within interchange - </v>
      </c>
      <c r="N1621" s="1">
        <v>720</v>
      </c>
      <c r="O1621" s="1">
        <f>ABS(Table4[[#This Row],[EndMP]]-Table4[[#This Row],[StartMP]])</f>
        <v>0.95700099999999111</v>
      </c>
      <c r="P1621" s="1" t="str">
        <f>IF( AND( Table4[[#This Row],[Route]]=ClosureLocation!$B$3, ClosureLocation!$B$6 &gt;= Table4[[#This Row],[StartMP]], ClosureLocation!$B$6 &lt;= Table4[[#This Row],[EndMP]]), "Yes", "")</f>
        <v/>
      </c>
      <c r="Q1621" s="1" t="str">
        <f>IF( AND( Table4[[#This Row],[Route]]=ClosureLocation!$B$3, ClosureLocation!$B$6 &lt;= Table4[[#This Row],[StartMP]], ClosureLocation!$B$6 &gt;= Table4[[#This Row],[EndMP]]), "Yes", "")</f>
        <v/>
      </c>
      <c r="R1621" s="1" t="str">
        <f>IF( OR( Table4[[#This Row],[PrimaryMatch]]="Yes", Table4[[#This Row],[SecondaryMatch]]="Yes"), "Yes", "")</f>
        <v/>
      </c>
    </row>
    <row r="1622" spans="1:18" hidden="1" x14ac:dyDescent="0.25">
      <c r="A1622" t="s">
        <v>776</v>
      </c>
      <c r="B1622" t="s">
        <v>3209</v>
      </c>
      <c r="C1622" t="s">
        <v>3226</v>
      </c>
      <c r="D1622" t="s">
        <v>3749</v>
      </c>
      <c r="E1622" s="1">
        <v>278.67401100000001</v>
      </c>
      <c r="F1622" s="1">
        <v>278.37399299999998</v>
      </c>
      <c r="K1622" s="39">
        <f>DefaultValues!$B$4</f>
        <v>5</v>
      </c>
      <c r="L1622" s="1">
        <f>DefaultValues!$C$4</f>
        <v>0.5</v>
      </c>
      <c r="M1622" s="1" t="str">
        <f>DefaultValues!$D$4</f>
        <v xml:space="preserve">- Within interchange - </v>
      </c>
      <c r="N1622" s="1">
        <v>721.32598900000005</v>
      </c>
      <c r="O1622" s="1">
        <f>ABS(Table4[[#This Row],[EndMP]]-Table4[[#This Row],[StartMP]])</f>
        <v>0.30001800000002277</v>
      </c>
      <c r="P1622" s="1" t="str">
        <f>IF( AND( Table4[[#This Row],[Route]]=ClosureLocation!$B$3, ClosureLocation!$B$6 &gt;= Table4[[#This Row],[StartMP]], ClosureLocation!$B$6 &lt;= Table4[[#This Row],[EndMP]]), "Yes", "")</f>
        <v/>
      </c>
      <c r="Q1622" s="1" t="str">
        <f>IF( AND( Table4[[#This Row],[Route]]=ClosureLocation!$B$3, ClosureLocation!$B$6 &lt;= Table4[[#This Row],[StartMP]], ClosureLocation!$B$6 &gt;= Table4[[#This Row],[EndMP]]), "Yes", "")</f>
        <v/>
      </c>
      <c r="R1622" s="1" t="str">
        <f>IF( OR( Table4[[#This Row],[PrimaryMatch]]="Yes", Table4[[#This Row],[SecondaryMatch]]="Yes"), "Yes", "")</f>
        <v/>
      </c>
    </row>
    <row r="1623" spans="1:18" hidden="1" x14ac:dyDescent="0.25">
      <c r="A1623" t="s">
        <v>776</v>
      </c>
      <c r="B1623" t="s">
        <v>3209</v>
      </c>
      <c r="C1623" t="s">
        <v>3226</v>
      </c>
      <c r="D1623" t="s">
        <v>3749</v>
      </c>
      <c r="E1623" s="1">
        <v>276.70001200000002</v>
      </c>
      <c r="F1623" s="1">
        <v>276.584991</v>
      </c>
      <c r="K1623" s="39">
        <f>DefaultValues!$B$4</f>
        <v>5</v>
      </c>
      <c r="L1623" s="1">
        <f>DefaultValues!$C$4</f>
        <v>0.5</v>
      </c>
      <c r="M1623" s="1" t="str">
        <f>DefaultValues!$D$4</f>
        <v xml:space="preserve">- Within interchange - </v>
      </c>
      <c r="N1623" s="1">
        <v>723.29998799999998</v>
      </c>
      <c r="O1623" s="1">
        <f>ABS(Table4[[#This Row],[EndMP]]-Table4[[#This Row],[StartMP]])</f>
        <v>0.11502100000001292</v>
      </c>
      <c r="P1623" s="1" t="str">
        <f>IF( AND( Table4[[#This Row],[Route]]=ClosureLocation!$B$3, ClosureLocation!$B$6 &gt;= Table4[[#This Row],[StartMP]], ClosureLocation!$B$6 &lt;= Table4[[#This Row],[EndMP]]), "Yes", "")</f>
        <v/>
      </c>
      <c r="Q1623" s="1" t="str">
        <f>IF( AND( Table4[[#This Row],[Route]]=ClosureLocation!$B$3, ClosureLocation!$B$6 &lt;= Table4[[#This Row],[StartMP]], ClosureLocation!$B$6 &gt;= Table4[[#This Row],[EndMP]]), "Yes", "")</f>
        <v/>
      </c>
      <c r="R1623" s="1" t="str">
        <f>IF( OR( Table4[[#This Row],[PrimaryMatch]]="Yes", Table4[[#This Row],[SecondaryMatch]]="Yes"), "Yes", "")</f>
        <v/>
      </c>
    </row>
    <row r="1624" spans="1:18" hidden="1" x14ac:dyDescent="0.25">
      <c r="A1624" t="s">
        <v>776</v>
      </c>
      <c r="B1624" t="s">
        <v>3209</v>
      </c>
      <c r="C1624" t="s">
        <v>3226</v>
      </c>
      <c r="D1624" t="s">
        <v>3749</v>
      </c>
      <c r="E1624" s="1">
        <v>276.33599900000002</v>
      </c>
      <c r="F1624" s="1">
        <v>275.91198700000001</v>
      </c>
      <c r="K1624" s="39">
        <f>DefaultValues!$B$4</f>
        <v>5</v>
      </c>
      <c r="L1624" s="1">
        <f>DefaultValues!$C$4</f>
        <v>0.5</v>
      </c>
      <c r="M1624" s="1" t="str">
        <f>DefaultValues!$D$4</f>
        <v xml:space="preserve">- Within interchange - </v>
      </c>
      <c r="N1624" s="1">
        <v>723.66400099999998</v>
      </c>
      <c r="O1624" s="1">
        <f>ABS(Table4[[#This Row],[EndMP]]-Table4[[#This Row],[StartMP]])</f>
        <v>0.42401200000000472</v>
      </c>
      <c r="P1624" s="1" t="str">
        <f>IF( AND( Table4[[#This Row],[Route]]=ClosureLocation!$B$3, ClosureLocation!$B$6 &gt;= Table4[[#This Row],[StartMP]], ClosureLocation!$B$6 &lt;= Table4[[#This Row],[EndMP]]), "Yes", "")</f>
        <v/>
      </c>
      <c r="Q1624" s="1" t="str">
        <f>IF( AND( Table4[[#This Row],[Route]]=ClosureLocation!$B$3, ClosureLocation!$B$6 &lt;= Table4[[#This Row],[StartMP]], ClosureLocation!$B$6 &gt;= Table4[[#This Row],[EndMP]]), "Yes", "")</f>
        <v/>
      </c>
      <c r="R1624" s="1" t="str">
        <f>IF( OR( Table4[[#This Row],[PrimaryMatch]]="Yes", Table4[[#This Row],[SecondaryMatch]]="Yes"), "Yes", "")</f>
        <v/>
      </c>
    </row>
    <row r="1625" spans="1:18" hidden="1" x14ac:dyDescent="0.25">
      <c r="A1625" t="s">
        <v>776</v>
      </c>
      <c r="B1625" t="s">
        <v>3209</v>
      </c>
      <c r="C1625" t="s">
        <v>3226</v>
      </c>
      <c r="D1625" t="s">
        <v>3749</v>
      </c>
      <c r="E1625" s="1">
        <v>275.36099200000001</v>
      </c>
      <c r="F1625" s="1">
        <v>275.06698599999999</v>
      </c>
      <c r="K1625" s="39">
        <f>DefaultValues!$B$4</f>
        <v>5</v>
      </c>
      <c r="L1625" s="1">
        <f>DefaultValues!$C$4</f>
        <v>0.5</v>
      </c>
      <c r="M1625" s="1" t="str">
        <f>DefaultValues!$D$4</f>
        <v xml:space="preserve">- Within interchange - </v>
      </c>
      <c r="N1625" s="1">
        <v>724.63897699999995</v>
      </c>
      <c r="O1625" s="1">
        <f>ABS(Table4[[#This Row],[EndMP]]-Table4[[#This Row],[StartMP]])</f>
        <v>0.29400600000002441</v>
      </c>
      <c r="P1625" s="1" t="str">
        <f>IF( AND( Table4[[#This Row],[Route]]=ClosureLocation!$B$3, ClosureLocation!$B$6 &gt;= Table4[[#This Row],[StartMP]], ClosureLocation!$B$6 &lt;= Table4[[#This Row],[EndMP]]), "Yes", "")</f>
        <v/>
      </c>
      <c r="Q1625" s="1" t="str">
        <f>IF( AND( Table4[[#This Row],[Route]]=ClosureLocation!$B$3, ClosureLocation!$B$6 &lt;= Table4[[#This Row],[StartMP]], ClosureLocation!$B$6 &gt;= Table4[[#This Row],[EndMP]]), "Yes", "")</f>
        <v/>
      </c>
      <c r="R1625" s="1" t="str">
        <f>IF( OR( Table4[[#This Row],[PrimaryMatch]]="Yes", Table4[[#This Row],[SecondaryMatch]]="Yes"), "Yes", "")</f>
        <v/>
      </c>
    </row>
    <row r="1626" spans="1:18" hidden="1" x14ac:dyDescent="0.25">
      <c r="A1626" t="s">
        <v>776</v>
      </c>
      <c r="B1626" t="s">
        <v>3209</v>
      </c>
      <c r="C1626" t="s">
        <v>3226</v>
      </c>
      <c r="D1626" t="s">
        <v>3749</v>
      </c>
      <c r="E1626" s="1">
        <v>274.908997</v>
      </c>
      <c r="F1626" s="1">
        <v>273.44699100000003</v>
      </c>
      <c r="K1626" s="39">
        <f>DefaultValues!$B$4</f>
        <v>5</v>
      </c>
      <c r="L1626" s="1">
        <f>DefaultValues!$C$4</f>
        <v>0.5</v>
      </c>
      <c r="M1626" s="1" t="str">
        <f>DefaultValues!$D$4</f>
        <v xml:space="preserve">- Within interchange - </v>
      </c>
      <c r="N1626" s="1">
        <v>725.091003</v>
      </c>
      <c r="O1626" s="1">
        <f>ABS(Table4[[#This Row],[EndMP]]-Table4[[#This Row],[StartMP]])</f>
        <v>1.4620059999999739</v>
      </c>
      <c r="P1626" s="1" t="str">
        <f>IF( AND( Table4[[#This Row],[Route]]=ClosureLocation!$B$3, ClosureLocation!$B$6 &gt;= Table4[[#This Row],[StartMP]], ClosureLocation!$B$6 &lt;= Table4[[#This Row],[EndMP]]), "Yes", "")</f>
        <v/>
      </c>
      <c r="Q1626" s="1" t="str">
        <f>IF( AND( Table4[[#This Row],[Route]]=ClosureLocation!$B$3, ClosureLocation!$B$6 &lt;= Table4[[#This Row],[StartMP]], ClosureLocation!$B$6 &gt;= Table4[[#This Row],[EndMP]]), "Yes", "")</f>
        <v/>
      </c>
      <c r="R1626" s="1" t="str">
        <f>IF( OR( Table4[[#This Row],[PrimaryMatch]]="Yes", Table4[[#This Row],[SecondaryMatch]]="Yes"), "Yes", "")</f>
        <v/>
      </c>
    </row>
    <row r="1627" spans="1:18" hidden="1" x14ac:dyDescent="0.25">
      <c r="A1627" t="s">
        <v>776</v>
      </c>
      <c r="B1627" t="s">
        <v>3209</v>
      </c>
      <c r="C1627" t="s">
        <v>3226</v>
      </c>
      <c r="D1627" t="s">
        <v>3749</v>
      </c>
      <c r="E1627" s="1">
        <v>273.33999599999999</v>
      </c>
      <c r="F1627" s="1">
        <v>272.80398600000001</v>
      </c>
      <c r="K1627" s="39">
        <f>DefaultValues!$B$4</f>
        <v>5</v>
      </c>
      <c r="L1627" s="1">
        <f>DefaultValues!$C$4</f>
        <v>0.5</v>
      </c>
      <c r="M1627" s="1" t="str">
        <f>DefaultValues!$D$4</f>
        <v xml:space="preserve">- Within interchange - </v>
      </c>
      <c r="N1627" s="1">
        <v>726.65997300000004</v>
      </c>
      <c r="O1627" s="1">
        <f>ABS(Table4[[#This Row],[EndMP]]-Table4[[#This Row],[StartMP]])</f>
        <v>0.53600999999997612</v>
      </c>
      <c r="P1627" s="1" t="str">
        <f>IF( AND( Table4[[#This Row],[Route]]=ClosureLocation!$B$3, ClosureLocation!$B$6 &gt;= Table4[[#This Row],[StartMP]], ClosureLocation!$B$6 &lt;= Table4[[#This Row],[EndMP]]), "Yes", "")</f>
        <v/>
      </c>
      <c r="Q1627" s="1" t="str">
        <f>IF( AND( Table4[[#This Row],[Route]]=ClosureLocation!$B$3, ClosureLocation!$B$6 &lt;= Table4[[#This Row],[StartMP]], ClosureLocation!$B$6 &gt;= Table4[[#This Row],[EndMP]]), "Yes", "")</f>
        <v/>
      </c>
      <c r="R1627" s="1" t="str">
        <f>IF( OR( Table4[[#This Row],[PrimaryMatch]]="Yes", Table4[[#This Row],[SecondaryMatch]]="Yes"), "Yes", "")</f>
        <v/>
      </c>
    </row>
    <row r="1628" spans="1:18" hidden="1" x14ac:dyDescent="0.25">
      <c r="A1628" t="s">
        <v>776</v>
      </c>
      <c r="B1628" t="s">
        <v>3209</v>
      </c>
      <c r="C1628" t="s">
        <v>3226</v>
      </c>
      <c r="D1628" t="s">
        <v>3749</v>
      </c>
      <c r="E1628" s="1">
        <v>272.18099999999998</v>
      </c>
      <c r="F1628" s="1">
        <v>271.92001299999998</v>
      </c>
      <c r="K1628" s="39">
        <f>DefaultValues!$B$4</f>
        <v>5</v>
      </c>
      <c r="L1628" s="1">
        <f>DefaultValues!$C$4</f>
        <v>0.5</v>
      </c>
      <c r="M1628" s="1" t="str">
        <f>DefaultValues!$D$4</f>
        <v xml:space="preserve">- Within interchange - </v>
      </c>
      <c r="N1628" s="1">
        <v>727.81897000000004</v>
      </c>
      <c r="O1628" s="1">
        <f>ABS(Table4[[#This Row],[EndMP]]-Table4[[#This Row],[StartMP]])</f>
        <v>0.26098700000000008</v>
      </c>
      <c r="P1628" s="1" t="str">
        <f>IF( AND( Table4[[#This Row],[Route]]=ClosureLocation!$B$3, ClosureLocation!$B$6 &gt;= Table4[[#This Row],[StartMP]], ClosureLocation!$B$6 &lt;= Table4[[#This Row],[EndMP]]), "Yes", "")</f>
        <v/>
      </c>
      <c r="Q1628" s="1" t="str">
        <f>IF( AND( Table4[[#This Row],[Route]]=ClosureLocation!$B$3, ClosureLocation!$B$6 &lt;= Table4[[#This Row],[StartMP]], ClosureLocation!$B$6 &gt;= Table4[[#This Row],[EndMP]]), "Yes", "")</f>
        <v/>
      </c>
      <c r="R1628" s="1" t="str">
        <f>IF( OR( Table4[[#This Row],[PrimaryMatch]]="Yes", Table4[[#This Row],[SecondaryMatch]]="Yes"), "Yes", "")</f>
        <v/>
      </c>
    </row>
    <row r="1629" spans="1:18" hidden="1" x14ac:dyDescent="0.25">
      <c r="A1629" t="s">
        <v>776</v>
      </c>
      <c r="B1629" t="s">
        <v>3209</v>
      </c>
      <c r="C1629" t="s">
        <v>3226</v>
      </c>
      <c r="D1629" t="s">
        <v>3749</v>
      </c>
      <c r="E1629" s="1">
        <v>270.70901500000002</v>
      </c>
      <c r="F1629" s="1">
        <v>269.86999500000002</v>
      </c>
      <c r="K1629" s="39">
        <f>DefaultValues!$B$4</f>
        <v>5</v>
      </c>
      <c r="L1629" s="1">
        <f>DefaultValues!$C$4</f>
        <v>0.5</v>
      </c>
      <c r="M1629" s="1" t="str">
        <f>DefaultValues!$D$4</f>
        <v xml:space="preserve">- Within interchange - </v>
      </c>
      <c r="N1629" s="1">
        <v>729.29101600000001</v>
      </c>
      <c r="O1629" s="1">
        <f>ABS(Table4[[#This Row],[EndMP]]-Table4[[#This Row],[StartMP]])</f>
        <v>0.83902000000000498</v>
      </c>
      <c r="P1629" s="1" t="str">
        <f>IF( AND( Table4[[#This Row],[Route]]=ClosureLocation!$B$3, ClosureLocation!$B$6 &gt;= Table4[[#This Row],[StartMP]], ClosureLocation!$B$6 &lt;= Table4[[#This Row],[EndMP]]), "Yes", "")</f>
        <v/>
      </c>
      <c r="Q1629" s="1" t="str">
        <f>IF( AND( Table4[[#This Row],[Route]]=ClosureLocation!$B$3, ClosureLocation!$B$6 &lt;= Table4[[#This Row],[StartMP]], ClosureLocation!$B$6 &gt;= Table4[[#This Row],[EndMP]]), "Yes", "")</f>
        <v/>
      </c>
      <c r="R1629" s="1" t="str">
        <f>IF( OR( Table4[[#This Row],[PrimaryMatch]]="Yes", Table4[[#This Row],[SecondaryMatch]]="Yes"), "Yes", "")</f>
        <v/>
      </c>
    </row>
    <row r="1630" spans="1:18" hidden="1" x14ac:dyDescent="0.25">
      <c r="A1630" t="s">
        <v>776</v>
      </c>
      <c r="B1630" t="s">
        <v>3209</v>
      </c>
      <c r="C1630" t="s">
        <v>3226</v>
      </c>
      <c r="D1630" t="s">
        <v>3749</v>
      </c>
      <c r="E1630" s="1">
        <v>269.64099099999999</v>
      </c>
      <c r="F1630" s="1">
        <v>268.79699699999998</v>
      </c>
      <c r="K1630" s="39">
        <f>DefaultValues!$B$4</f>
        <v>5</v>
      </c>
      <c r="L1630" s="1">
        <f>DefaultValues!$C$4</f>
        <v>0.5</v>
      </c>
      <c r="M1630" s="1" t="str">
        <f>DefaultValues!$D$4</f>
        <v xml:space="preserve">- Within interchange - </v>
      </c>
      <c r="N1630" s="1">
        <v>730.35900900000001</v>
      </c>
      <c r="O1630" s="1">
        <f>ABS(Table4[[#This Row],[EndMP]]-Table4[[#This Row],[StartMP]])</f>
        <v>0.84399400000000924</v>
      </c>
      <c r="P1630" s="1" t="str">
        <f>IF( AND( Table4[[#This Row],[Route]]=ClosureLocation!$B$3, ClosureLocation!$B$6 &gt;= Table4[[#This Row],[StartMP]], ClosureLocation!$B$6 &lt;= Table4[[#This Row],[EndMP]]), "Yes", "")</f>
        <v/>
      </c>
      <c r="Q1630" s="1" t="str">
        <f>IF( AND( Table4[[#This Row],[Route]]=ClosureLocation!$B$3, ClosureLocation!$B$6 &lt;= Table4[[#This Row],[StartMP]], ClosureLocation!$B$6 &gt;= Table4[[#This Row],[EndMP]]), "Yes", "")</f>
        <v/>
      </c>
      <c r="R1630" s="1" t="str">
        <f>IF( OR( Table4[[#This Row],[PrimaryMatch]]="Yes", Table4[[#This Row],[SecondaryMatch]]="Yes"), "Yes", "")</f>
        <v/>
      </c>
    </row>
    <row r="1631" spans="1:18" hidden="1" x14ac:dyDescent="0.25">
      <c r="A1631" t="s">
        <v>776</v>
      </c>
      <c r="B1631" t="s">
        <v>3209</v>
      </c>
      <c r="C1631" t="s">
        <v>3226</v>
      </c>
      <c r="D1631" t="s">
        <v>3749</v>
      </c>
      <c r="E1631" s="1">
        <v>267.61999500000002</v>
      </c>
      <c r="F1631" s="1">
        <v>267.22500600000001</v>
      </c>
      <c r="K1631" s="39">
        <f>DefaultValues!$B$4</f>
        <v>5</v>
      </c>
      <c r="L1631" s="1">
        <f>DefaultValues!$C$4</f>
        <v>0.5</v>
      </c>
      <c r="M1631" s="1" t="str">
        <f>DefaultValues!$D$4</f>
        <v xml:space="preserve">- Within interchange - </v>
      </c>
      <c r="N1631" s="1">
        <v>732.38000499999998</v>
      </c>
      <c r="O1631" s="1">
        <f>ABS(Table4[[#This Row],[EndMP]]-Table4[[#This Row],[StartMP]])</f>
        <v>0.39498900000000958</v>
      </c>
      <c r="P1631" s="1" t="str">
        <f>IF( AND( Table4[[#This Row],[Route]]=ClosureLocation!$B$3, ClosureLocation!$B$6 &gt;= Table4[[#This Row],[StartMP]], ClosureLocation!$B$6 &lt;= Table4[[#This Row],[EndMP]]), "Yes", "")</f>
        <v/>
      </c>
      <c r="Q1631" s="1" t="str">
        <f>IF( AND( Table4[[#This Row],[Route]]=ClosureLocation!$B$3, ClosureLocation!$B$6 &lt;= Table4[[#This Row],[StartMP]], ClosureLocation!$B$6 &gt;= Table4[[#This Row],[EndMP]]), "Yes", "")</f>
        <v/>
      </c>
      <c r="R1631" s="1" t="str">
        <f>IF( OR( Table4[[#This Row],[PrimaryMatch]]="Yes", Table4[[#This Row],[SecondaryMatch]]="Yes"), "Yes", "")</f>
        <v/>
      </c>
    </row>
    <row r="1632" spans="1:18" hidden="1" x14ac:dyDescent="0.25">
      <c r="A1632" t="s">
        <v>776</v>
      </c>
      <c r="B1632" t="s">
        <v>3209</v>
      </c>
      <c r="C1632" t="s">
        <v>3226</v>
      </c>
      <c r="D1632" t="s">
        <v>3749</v>
      </c>
      <c r="E1632" s="1">
        <v>265.97500600000001</v>
      </c>
      <c r="F1632" s="1">
        <v>265.77499399999999</v>
      </c>
      <c r="K1632" s="39">
        <f>DefaultValues!$B$4</f>
        <v>5</v>
      </c>
      <c r="L1632" s="1">
        <f>DefaultValues!$C$4</f>
        <v>0.5</v>
      </c>
      <c r="M1632" s="1" t="str">
        <f>DefaultValues!$D$4</f>
        <v xml:space="preserve">- Within interchange - </v>
      </c>
      <c r="N1632" s="1">
        <v>734.02502400000003</v>
      </c>
      <c r="O1632" s="1">
        <f>ABS(Table4[[#This Row],[EndMP]]-Table4[[#This Row],[StartMP]])</f>
        <v>0.20001200000001518</v>
      </c>
      <c r="P1632" s="1" t="str">
        <f>IF( AND( Table4[[#This Row],[Route]]=ClosureLocation!$B$3, ClosureLocation!$B$6 &gt;= Table4[[#This Row],[StartMP]], ClosureLocation!$B$6 &lt;= Table4[[#This Row],[EndMP]]), "Yes", "")</f>
        <v/>
      </c>
      <c r="Q1632" s="1" t="str">
        <f>IF( AND( Table4[[#This Row],[Route]]=ClosureLocation!$B$3, ClosureLocation!$B$6 &lt;= Table4[[#This Row],[StartMP]], ClosureLocation!$B$6 &gt;= Table4[[#This Row],[EndMP]]), "Yes", "")</f>
        <v/>
      </c>
      <c r="R1632" s="1" t="str">
        <f>IF( OR( Table4[[#This Row],[PrimaryMatch]]="Yes", Table4[[#This Row],[SecondaryMatch]]="Yes"), "Yes", "")</f>
        <v/>
      </c>
    </row>
    <row r="1633" spans="1:18" hidden="1" x14ac:dyDescent="0.25">
      <c r="A1633" t="s">
        <v>776</v>
      </c>
      <c r="B1633" t="s">
        <v>3209</v>
      </c>
      <c r="C1633" t="s">
        <v>3226</v>
      </c>
      <c r="D1633" t="s">
        <v>3749</v>
      </c>
      <c r="E1633" s="1">
        <v>265.43899499999998</v>
      </c>
      <c r="F1633" s="1">
        <v>265.14001500000001</v>
      </c>
      <c r="K1633" s="39">
        <f>DefaultValues!$B$4</f>
        <v>5</v>
      </c>
      <c r="L1633" s="1">
        <f>DefaultValues!$C$4</f>
        <v>0.5</v>
      </c>
      <c r="M1633" s="1" t="str">
        <f>DefaultValues!$D$4</f>
        <v xml:space="preserve">- Within interchange - </v>
      </c>
      <c r="N1633" s="1">
        <v>734.56097399999999</v>
      </c>
      <c r="O1633" s="1">
        <f>ABS(Table4[[#This Row],[EndMP]]-Table4[[#This Row],[StartMP]])</f>
        <v>0.29897999999997182</v>
      </c>
      <c r="P1633" s="1" t="str">
        <f>IF( AND( Table4[[#This Row],[Route]]=ClosureLocation!$B$3, ClosureLocation!$B$6 &gt;= Table4[[#This Row],[StartMP]], ClosureLocation!$B$6 &lt;= Table4[[#This Row],[EndMP]]), "Yes", "")</f>
        <v/>
      </c>
      <c r="Q1633" s="1" t="str">
        <f>IF( AND( Table4[[#This Row],[Route]]=ClosureLocation!$B$3, ClosureLocation!$B$6 &lt;= Table4[[#This Row],[StartMP]], ClosureLocation!$B$6 &gt;= Table4[[#This Row],[EndMP]]), "Yes", "")</f>
        <v/>
      </c>
      <c r="R1633" s="1" t="str">
        <f>IF( OR( Table4[[#This Row],[PrimaryMatch]]="Yes", Table4[[#This Row],[SecondaryMatch]]="Yes"), "Yes", "")</f>
        <v/>
      </c>
    </row>
    <row r="1634" spans="1:18" hidden="1" x14ac:dyDescent="0.25">
      <c r="A1634" t="s">
        <v>776</v>
      </c>
      <c r="B1634" t="s">
        <v>3209</v>
      </c>
      <c r="C1634" t="s">
        <v>3226</v>
      </c>
      <c r="D1634" t="s">
        <v>3749</v>
      </c>
      <c r="E1634" s="1">
        <v>264.50100700000002</v>
      </c>
      <c r="F1634" s="1">
        <v>264.16900600000002</v>
      </c>
      <c r="K1634" s="39">
        <f>DefaultValues!$B$4</f>
        <v>5</v>
      </c>
      <c r="L1634" s="1">
        <f>DefaultValues!$C$4</f>
        <v>0.5</v>
      </c>
      <c r="M1634" s="1" t="str">
        <f>DefaultValues!$D$4</f>
        <v xml:space="preserve">- Within interchange - </v>
      </c>
      <c r="N1634" s="1">
        <v>735.49902299999997</v>
      </c>
      <c r="O1634" s="1">
        <f>ABS(Table4[[#This Row],[EndMP]]-Table4[[#This Row],[StartMP]])</f>
        <v>0.33200099999999111</v>
      </c>
      <c r="P1634" s="1" t="str">
        <f>IF( AND( Table4[[#This Row],[Route]]=ClosureLocation!$B$3, ClosureLocation!$B$6 &gt;= Table4[[#This Row],[StartMP]], ClosureLocation!$B$6 &lt;= Table4[[#This Row],[EndMP]]), "Yes", "")</f>
        <v/>
      </c>
      <c r="Q1634" s="1" t="str">
        <f>IF( AND( Table4[[#This Row],[Route]]=ClosureLocation!$B$3, ClosureLocation!$B$6 &lt;= Table4[[#This Row],[StartMP]], ClosureLocation!$B$6 &gt;= Table4[[#This Row],[EndMP]]), "Yes", "")</f>
        <v/>
      </c>
      <c r="R1634" s="1" t="str">
        <f>IF( OR( Table4[[#This Row],[PrimaryMatch]]="Yes", Table4[[#This Row],[SecondaryMatch]]="Yes"), "Yes", "")</f>
        <v/>
      </c>
    </row>
    <row r="1635" spans="1:18" hidden="1" x14ac:dyDescent="0.25">
      <c r="A1635" t="s">
        <v>776</v>
      </c>
      <c r="B1635" t="s">
        <v>3209</v>
      </c>
      <c r="C1635" t="s">
        <v>3226</v>
      </c>
      <c r="D1635" t="s">
        <v>3749</v>
      </c>
      <c r="E1635" s="1">
        <v>262.92999300000002</v>
      </c>
      <c r="F1635" s="1">
        <v>262.256012</v>
      </c>
      <c r="K1635" s="39">
        <f>DefaultValues!$B$4</f>
        <v>5</v>
      </c>
      <c r="L1635" s="1">
        <f>DefaultValues!$C$4</f>
        <v>0.5</v>
      </c>
      <c r="M1635" s="1" t="str">
        <f>DefaultValues!$D$4</f>
        <v xml:space="preserve">- Within interchange - </v>
      </c>
      <c r="N1635" s="1">
        <v>737.07000700000003</v>
      </c>
      <c r="O1635" s="1">
        <f>ABS(Table4[[#This Row],[EndMP]]-Table4[[#This Row],[StartMP]])</f>
        <v>0.67398100000002614</v>
      </c>
      <c r="P1635" s="1" t="str">
        <f>IF( AND( Table4[[#This Row],[Route]]=ClosureLocation!$B$3, ClosureLocation!$B$6 &gt;= Table4[[#This Row],[StartMP]], ClosureLocation!$B$6 &lt;= Table4[[#This Row],[EndMP]]), "Yes", "")</f>
        <v/>
      </c>
      <c r="Q1635" s="1" t="str">
        <f>IF( AND( Table4[[#This Row],[Route]]=ClosureLocation!$B$3, ClosureLocation!$B$6 &lt;= Table4[[#This Row],[StartMP]], ClosureLocation!$B$6 &gt;= Table4[[#This Row],[EndMP]]), "Yes", "")</f>
        <v/>
      </c>
      <c r="R1635" s="1" t="str">
        <f>IF( OR( Table4[[#This Row],[PrimaryMatch]]="Yes", Table4[[#This Row],[SecondaryMatch]]="Yes"), "Yes", "")</f>
        <v/>
      </c>
    </row>
    <row r="1636" spans="1:18" hidden="1" x14ac:dyDescent="0.25">
      <c r="A1636" t="s">
        <v>776</v>
      </c>
      <c r="B1636" t="s">
        <v>3209</v>
      </c>
      <c r="C1636" t="s">
        <v>3226</v>
      </c>
      <c r="D1636" t="s">
        <v>3749</v>
      </c>
      <c r="E1636" s="1">
        <v>261.70300300000002</v>
      </c>
      <c r="F1636" s="1">
        <v>261.36099200000001</v>
      </c>
      <c r="K1636" s="39">
        <f>DefaultValues!$B$4</f>
        <v>5</v>
      </c>
      <c r="L1636" s="1">
        <f>DefaultValues!$C$4</f>
        <v>0.5</v>
      </c>
      <c r="M1636" s="1" t="str">
        <f>DefaultValues!$D$4</f>
        <v xml:space="preserve">- Within interchange - </v>
      </c>
      <c r="N1636" s="1">
        <v>738.29699700000003</v>
      </c>
      <c r="O1636" s="1">
        <f>ABS(Table4[[#This Row],[EndMP]]-Table4[[#This Row],[StartMP]])</f>
        <v>0.34201100000001361</v>
      </c>
      <c r="P1636" s="1" t="str">
        <f>IF( AND( Table4[[#This Row],[Route]]=ClosureLocation!$B$3, ClosureLocation!$B$6 &gt;= Table4[[#This Row],[StartMP]], ClosureLocation!$B$6 &lt;= Table4[[#This Row],[EndMP]]), "Yes", "")</f>
        <v/>
      </c>
      <c r="Q1636" s="1" t="str">
        <f>IF( AND( Table4[[#This Row],[Route]]=ClosureLocation!$B$3, ClosureLocation!$B$6 &lt;= Table4[[#This Row],[StartMP]], ClosureLocation!$B$6 &gt;= Table4[[#This Row],[EndMP]]), "Yes", "")</f>
        <v/>
      </c>
      <c r="R1636" s="1" t="str">
        <f>IF( OR( Table4[[#This Row],[PrimaryMatch]]="Yes", Table4[[#This Row],[SecondaryMatch]]="Yes"), "Yes", "")</f>
        <v/>
      </c>
    </row>
    <row r="1637" spans="1:18" hidden="1" x14ac:dyDescent="0.25">
      <c r="A1637" t="s">
        <v>776</v>
      </c>
      <c r="B1637" t="s">
        <v>3209</v>
      </c>
      <c r="C1637" t="s">
        <v>3226</v>
      </c>
      <c r="D1637" t="s">
        <v>3749</v>
      </c>
      <c r="E1637" s="1">
        <v>260.16101099999997</v>
      </c>
      <c r="F1637" s="1">
        <v>259.56601000000001</v>
      </c>
      <c r="K1637" s="39">
        <f>DefaultValues!$B$4</f>
        <v>5</v>
      </c>
      <c r="L1637" s="1">
        <f>DefaultValues!$C$4</f>
        <v>0.5</v>
      </c>
      <c r="M1637" s="1" t="str">
        <f>DefaultValues!$D$4</f>
        <v xml:space="preserve">- Within interchange - </v>
      </c>
      <c r="N1637" s="1">
        <v>739.83898899999997</v>
      </c>
      <c r="O1637" s="1">
        <f>ABS(Table4[[#This Row],[EndMP]]-Table4[[#This Row],[StartMP]])</f>
        <v>0.59500099999996792</v>
      </c>
      <c r="P1637" s="1" t="str">
        <f>IF( AND( Table4[[#This Row],[Route]]=ClosureLocation!$B$3, ClosureLocation!$B$6 &gt;= Table4[[#This Row],[StartMP]], ClosureLocation!$B$6 &lt;= Table4[[#This Row],[EndMP]]), "Yes", "")</f>
        <v/>
      </c>
      <c r="Q1637" s="1" t="str">
        <f>IF( AND( Table4[[#This Row],[Route]]=ClosureLocation!$B$3, ClosureLocation!$B$6 &lt;= Table4[[#This Row],[StartMP]], ClosureLocation!$B$6 &gt;= Table4[[#This Row],[EndMP]]), "Yes", "")</f>
        <v/>
      </c>
      <c r="R1637" s="1" t="str">
        <f>IF( OR( Table4[[#This Row],[PrimaryMatch]]="Yes", Table4[[#This Row],[SecondaryMatch]]="Yes"), "Yes", "")</f>
        <v/>
      </c>
    </row>
    <row r="1638" spans="1:18" hidden="1" x14ac:dyDescent="0.25">
      <c r="A1638" t="s">
        <v>776</v>
      </c>
      <c r="B1638" t="s">
        <v>3209</v>
      </c>
      <c r="C1638" t="s">
        <v>3226</v>
      </c>
      <c r="D1638" t="s">
        <v>3749</v>
      </c>
      <c r="E1638" s="1">
        <v>258.96899400000001</v>
      </c>
      <c r="F1638" s="1">
        <v>258.57598899999999</v>
      </c>
      <c r="K1638" s="39">
        <f>DefaultValues!$B$4</f>
        <v>5</v>
      </c>
      <c r="L1638" s="1">
        <f>DefaultValues!$C$4</f>
        <v>0.5</v>
      </c>
      <c r="M1638" s="1" t="str">
        <f>DefaultValues!$D$4</f>
        <v xml:space="preserve">- Within interchange - </v>
      </c>
      <c r="N1638" s="1">
        <v>741.03100600000005</v>
      </c>
      <c r="O1638" s="1">
        <f>ABS(Table4[[#This Row],[EndMP]]-Table4[[#This Row],[StartMP]])</f>
        <v>0.39300500000001648</v>
      </c>
      <c r="P1638" s="1" t="str">
        <f>IF( AND( Table4[[#This Row],[Route]]=ClosureLocation!$B$3, ClosureLocation!$B$6 &gt;= Table4[[#This Row],[StartMP]], ClosureLocation!$B$6 &lt;= Table4[[#This Row],[EndMP]]), "Yes", "")</f>
        <v/>
      </c>
      <c r="Q1638" s="1" t="str">
        <f>IF( AND( Table4[[#This Row],[Route]]=ClosureLocation!$B$3, ClosureLocation!$B$6 &lt;= Table4[[#This Row],[StartMP]], ClosureLocation!$B$6 &gt;= Table4[[#This Row],[EndMP]]), "Yes", "")</f>
        <v/>
      </c>
      <c r="R1638" s="1" t="str">
        <f>IF( OR( Table4[[#This Row],[PrimaryMatch]]="Yes", Table4[[#This Row],[SecondaryMatch]]="Yes"), "Yes", "")</f>
        <v/>
      </c>
    </row>
    <row r="1639" spans="1:18" hidden="1" x14ac:dyDescent="0.25">
      <c r="A1639" t="s">
        <v>776</v>
      </c>
      <c r="B1639" t="s">
        <v>3209</v>
      </c>
      <c r="C1639" t="s">
        <v>3226</v>
      </c>
      <c r="D1639" t="s">
        <v>3749</v>
      </c>
      <c r="E1639" s="1">
        <v>256.27700800000002</v>
      </c>
      <c r="F1639" s="1">
        <v>255.774002</v>
      </c>
      <c r="K1639" s="39">
        <f>DefaultValues!$B$4</f>
        <v>5</v>
      </c>
      <c r="L1639" s="1">
        <f>DefaultValues!$C$4</f>
        <v>0.5</v>
      </c>
      <c r="M1639" s="1" t="str">
        <f>DefaultValues!$D$4</f>
        <v xml:space="preserve">- Within interchange - </v>
      </c>
      <c r="N1639" s="1">
        <v>743.72302200000001</v>
      </c>
      <c r="O1639" s="1">
        <f>ABS(Table4[[#This Row],[EndMP]]-Table4[[#This Row],[StartMP]])</f>
        <v>0.5030060000000276</v>
      </c>
      <c r="P1639" s="1" t="str">
        <f>IF( AND( Table4[[#This Row],[Route]]=ClosureLocation!$B$3, ClosureLocation!$B$6 &gt;= Table4[[#This Row],[StartMP]], ClosureLocation!$B$6 &lt;= Table4[[#This Row],[EndMP]]), "Yes", "")</f>
        <v/>
      </c>
      <c r="Q1639" s="1" t="str">
        <f>IF( AND( Table4[[#This Row],[Route]]=ClosureLocation!$B$3, ClosureLocation!$B$6 &lt;= Table4[[#This Row],[StartMP]], ClosureLocation!$B$6 &gt;= Table4[[#This Row],[EndMP]]), "Yes", "")</f>
        <v/>
      </c>
      <c r="R1639" s="1" t="str">
        <f>IF( OR( Table4[[#This Row],[PrimaryMatch]]="Yes", Table4[[#This Row],[SecondaryMatch]]="Yes"), "Yes", "")</f>
        <v/>
      </c>
    </row>
    <row r="1640" spans="1:18" hidden="1" x14ac:dyDescent="0.25">
      <c r="A1640" t="s">
        <v>776</v>
      </c>
      <c r="B1640" t="s">
        <v>3209</v>
      </c>
      <c r="C1640" t="s">
        <v>3226</v>
      </c>
      <c r="D1640" t="s">
        <v>3749</v>
      </c>
      <c r="E1640" s="1">
        <v>253.80299400000001</v>
      </c>
      <c r="F1640" s="1">
        <v>253.06599399999999</v>
      </c>
      <c r="K1640" s="39">
        <f>DefaultValues!$B$4</f>
        <v>5</v>
      </c>
      <c r="L1640" s="1">
        <f>DefaultValues!$C$4</f>
        <v>0.5</v>
      </c>
      <c r="M1640" s="1" t="str">
        <f>DefaultValues!$D$4</f>
        <v xml:space="preserve">- Within interchange - </v>
      </c>
      <c r="N1640" s="1">
        <v>746.19702099999995</v>
      </c>
      <c r="O1640" s="1">
        <f>ABS(Table4[[#This Row],[EndMP]]-Table4[[#This Row],[StartMP]])</f>
        <v>0.73700000000002319</v>
      </c>
      <c r="P1640" s="1" t="str">
        <f>IF( AND( Table4[[#This Row],[Route]]=ClosureLocation!$B$3, ClosureLocation!$B$6 &gt;= Table4[[#This Row],[StartMP]], ClosureLocation!$B$6 &lt;= Table4[[#This Row],[EndMP]]), "Yes", "")</f>
        <v/>
      </c>
      <c r="Q1640" s="1" t="str">
        <f>IF( AND( Table4[[#This Row],[Route]]=ClosureLocation!$B$3, ClosureLocation!$B$6 &lt;= Table4[[#This Row],[StartMP]], ClosureLocation!$B$6 &gt;= Table4[[#This Row],[EndMP]]), "Yes", "")</f>
        <v/>
      </c>
      <c r="R1640" s="1" t="str">
        <f>IF( OR( Table4[[#This Row],[PrimaryMatch]]="Yes", Table4[[#This Row],[SecondaryMatch]]="Yes"), "Yes", "")</f>
        <v/>
      </c>
    </row>
    <row r="1641" spans="1:18" hidden="1" x14ac:dyDescent="0.25">
      <c r="A1641" t="s">
        <v>776</v>
      </c>
      <c r="B1641" t="s">
        <v>3209</v>
      </c>
      <c r="C1641" t="s">
        <v>3226</v>
      </c>
      <c r="D1641" t="s">
        <v>3749</v>
      </c>
      <c r="E1641" s="1">
        <v>252.43899500000001</v>
      </c>
      <c r="F1641" s="1">
        <v>252.13000500000001</v>
      </c>
      <c r="K1641" s="39">
        <f>DefaultValues!$B$4</f>
        <v>5</v>
      </c>
      <c r="L1641" s="1">
        <f>DefaultValues!$C$4</f>
        <v>0.5</v>
      </c>
      <c r="M1641" s="1" t="str">
        <f>DefaultValues!$D$4</f>
        <v xml:space="preserve">- Within interchange - </v>
      </c>
      <c r="N1641" s="1">
        <v>747.56097399999999</v>
      </c>
      <c r="O1641" s="1">
        <f>ABS(Table4[[#This Row],[EndMP]]-Table4[[#This Row],[StartMP]])</f>
        <v>0.30898999999999432</v>
      </c>
      <c r="P1641" s="1" t="str">
        <f>IF( AND( Table4[[#This Row],[Route]]=ClosureLocation!$B$3, ClosureLocation!$B$6 &gt;= Table4[[#This Row],[StartMP]], ClosureLocation!$B$6 &lt;= Table4[[#This Row],[EndMP]]), "Yes", "")</f>
        <v/>
      </c>
      <c r="Q1641" s="1" t="str">
        <f>IF( AND( Table4[[#This Row],[Route]]=ClosureLocation!$B$3, ClosureLocation!$B$6 &lt;= Table4[[#This Row],[StartMP]], ClosureLocation!$B$6 &gt;= Table4[[#This Row],[EndMP]]), "Yes", "")</f>
        <v/>
      </c>
      <c r="R1641" s="1" t="str">
        <f>IF( OR( Table4[[#This Row],[PrimaryMatch]]="Yes", Table4[[#This Row],[SecondaryMatch]]="Yes"), "Yes", "")</f>
        <v/>
      </c>
    </row>
    <row r="1642" spans="1:18" hidden="1" x14ac:dyDescent="0.25">
      <c r="A1642" t="s">
        <v>776</v>
      </c>
      <c r="B1642" t="s">
        <v>3209</v>
      </c>
      <c r="C1642" t="s">
        <v>3226</v>
      </c>
      <c r="D1642" t="s">
        <v>3749</v>
      </c>
      <c r="E1642" s="1">
        <v>251.69099399999999</v>
      </c>
      <c r="F1642" s="1">
        <v>250.63400300000001</v>
      </c>
      <c r="K1642" s="39">
        <f>DefaultValues!$B$4</f>
        <v>5</v>
      </c>
      <c r="L1642" s="1">
        <f>DefaultValues!$C$4</f>
        <v>0.5</v>
      </c>
      <c r="M1642" s="1" t="str">
        <f>DefaultValues!$D$4</f>
        <v xml:space="preserve">- Within interchange - </v>
      </c>
      <c r="N1642" s="1">
        <v>748.30902100000003</v>
      </c>
      <c r="O1642" s="1">
        <f>ABS(Table4[[#This Row],[EndMP]]-Table4[[#This Row],[StartMP]])</f>
        <v>1.0569909999999823</v>
      </c>
      <c r="P1642" s="1" t="str">
        <f>IF( AND( Table4[[#This Row],[Route]]=ClosureLocation!$B$3, ClosureLocation!$B$6 &gt;= Table4[[#This Row],[StartMP]], ClosureLocation!$B$6 &lt;= Table4[[#This Row],[EndMP]]), "Yes", "")</f>
        <v/>
      </c>
      <c r="Q1642" s="1" t="str">
        <f>IF( AND( Table4[[#This Row],[Route]]=ClosureLocation!$B$3, ClosureLocation!$B$6 &lt;= Table4[[#This Row],[StartMP]], ClosureLocation!$B$6 &gt;= Table4[[#This Row],[EndMP]]), "Yes", "")</f>
        <v/>
      </c>
      <c r="R1642" s="1" t="str">
        <f>IF( OR( Table4[[#This Row],[PrimaryMatch]]="Yes", Table4[[#This Row],[SecondaryMatch]]="Yes"), "Yes", "")</f>
        <v/>
      </c>
    </row>
    <row r="1643" spans="1:18" hidden="1" x14ac:dyDescent="0.25">
      <c r="A1643" t="s">
        <v>776</v>
      </c>
      <c r="B1643" t="s">
        <v>3209</v>
      </c>
      <c r="C1643" t="s">
        <v>3226</v>
      </c>
      <c r="D1643" t="s">
        <v>3749</v>
      </c>
      <c r="E1643" s="1">
        <v>247.76400799999999</v>
      </c>
      <c r="F1643" s="1">
        <v>246.395996</v>
      </c>
      <c r="K1643" s="39">
        <f>DefaultValues!$B$4</f>
        <v>5</v>
      </c>
      <c r="L1643" s="1">
        <f>DefaultValues!$C$4</f>
        <v>0.5</v>
      </c>
      <c r="M1643" s="1" t="str">
        <f>DefaultValues!$D$4</f>
        <v xml:space="preserve">- Within interchange - </v>
      </c>
      <c r="N1643" s="1">
        <v>752.23602300000005</v>
      </c>
      <c r="O1643" s="1">
        <f>ABS(Table4[[#This Row],[EndMP]]-Table4[[#This Row],[StartMP]])</f>
        <v>1.3680119999999931</v>
      </c>
      <c r="P1643" s="1" t="str">
        <f>IF( AND( Table4[[#This Row],[Route]]=ClosureLocation!$B$3, ClosureLocation!$B$6 &gt;= Table4[[#This Row],[StartMP]], ClosureLocation!$B$6 &lt;= Table4[[#This Row],[EndMP]]), "Yes", "")</f>
        <v/>
      </c>
      <c r="Q1643" s="1" t="str">
        <f>IF( AND( Table4[[#This Row],[Route]]=ClosureLocation!$B$3, ClosureLocation!$B$6 &lt;= Table4[[#This Row],[StartMP]], ClosureLocation!$B$6 &gt;= Table4[[#This Row],[EndMP]]), "Yes", "")</f>
        <v/>
      </c>
      <c r="R1643" s="1" t="str">
        <f>IF( OR( Table4[[#This Row],[PrimaryMatch]]="Yes", Table4[[#This Row],[SecondaryMatch]]="Yes"), "Yes", "")</f>
        <v/>
      </c>
    </row>
    <row r="1644" spans="1:18" hidden="1" x14ac:dyDescent="0.25">
      <c r="A1644" t="s">
        <v>776</v>
      </c>
      <c r="B1644" t="s">
        <v>3209</v>
      </c>
      <c r="C1644" t="s">
        <v>3226</v>
      </c>
      <c r="D1644" t="s">
        <v>3749</v>
      </c>
      <c r="E1644" s="1">
        <v>244.56399500000001</v>
      </c>
      <c r="F1644" s="1">
        <v>244.08500699999999</v>
      </c>
      <c r="K1644" s="39">
        <f>DefaultValues!$B$4</f>
        <v>5</v>
      </c>
      <c r="L1644" s="1">
        <f>DefaultValues!$C$4</f>
        <v>0.5</v>
      </c>
      <c r="M1644" s="1" t="str">
        <f>DefaultValues!$D$4</f>
        <v xml:space="preserve">- Within interchange - </v>
      </c>
      <c r="N1644" s="1">
        <v>755.43597399999999</v>
      </c>
      <c r="O1644" s="1">
        <f>ABS(Table4[[#This Row],[EndMP]]-Table4[[#This Row],[StartMP]])</f>
        <v>0.47898800000001529</v>
      </c>
      <c r="P1644" s="1" t="str">
        <f>IF( AND( Table4[[#This Row],[Route]]=ClosureLocation!$B$3, ClosureLocation!$B$6 &gt;= Table4[[#This Row],[StartMP]], ClosureLocation!$B$6 &lt;= Table4[[#This Row],[EndMP]]), "Yes", "")</f>
        <v/>
      </c>
      <c r="Q1644" s="1" t="str">
        <f>IF( AND( Table4[[#This Row],[Route]]=ClosureLocation!$B$3, ClosureLocation!$B$6 &lt;= Table4[[#This Row],[StartMP]], ClosureLocation!$B$6 &gt;= Table4[[#This Row],[EndMP]]), "Yes", "")</f>
        <v/>
      </c>
      <c r="R1644" s="1" t="str">
        <f>IF( OR( Table4[[#This Row],[PrimaryMatch]]="Yes", Table4[[#This Row],[SecondaryMatch]]="Yes"), "Yes", "")</f>
        <v/>
      </c>
    </row>
    <row r="1645" spans="1:18" hidden="1" x14ac:dyDescent="0.25">
      <c r="A1645" t="s">
        <v>776</v>
      </c>
      <c r="B1645" t="s">
        <v>3209</v>
      </c>
      <c r="C1645" t="s">
        <v>3226</v>
      </c>
      <c r="D1645" t="s">
        <v>3749</v>
      </c>
      <c r="E1645" s="1">
        <v>243.22200000000001</v>
      </c>
      <c r="F1645" s="1">
        <v>242.86300700000001</v>
      </c>
      <c r="K1645" s="39">
        <f>DefaultValues!$B$4</f>
        <v>5</v>
      </c>
      <c r="L1645" s="1">
        <f>DefaultValues!$C$4</f>
        <v>0.5</v>
      </c>
      <c r="M1645" s="1" t="str">
        <f>DefaultValues!$D$4</f>
        <v xml:space="preserve">- Within interchange - </v>
      </c>
      <c r="N1645" s="1">
        <v>756.77801499999998</v>
      </c>
      <c r="O1645" s="1">
        <f>ABS(Table4[[#This Row],[EndMP]]-Table4[[#This Row],[StartMP]])</f>
        <v>0.35899299999999812</v>
      </c>
      <c r="P1645" s="1" t="str">
        <f>IF( AND( Table4[[#This Row],[Route]]=ClosureLocation!$B$3, ClosureLocation!$B$6 &gt;= Table4[[#This Row],[StartMP]], ClosureLocation!$B$6 &lt;= Table4[[#This Row],[EndMP]]), "Yes", "")</f>
        <v/>
      </c>
      <c r="Q1645" s="1" t="str">
        <f>IF( AND( Table4[[#This Row],[Route]]=ClosureLocation!$B$3, ClosureLocation!$B$6 &lt;= Table4[[#This Row],[StartMP]], ClosureLocation!$B$6 &gt;= Table4[[#This Row],[EndMP]]), "Yes", "")</f>
        <v/>
      </c>
      <c r="R1645" s="1" t="str">
        <f>IF( OR( Table4[[#This Row],[PrimaryMatch]]="Yes", Table4[[#This Row],[SecondaryMatch]]="Yes"), "Yes", "")</f>
        <v/>
      </c>
    </row>
    <row r="1646" spans="1:18" hidden="1" x14ac:dyDescent="0.25">
      <c r="A1646" t="s">
        <v>776</v>
      </c>
      <c r="B1646" t="s">
        <v>3209</v>
      </c>
      <c r="C1646" t="s">
        <v>3226</v>
      </c>
      <c r="D1646" t="s">
        <v>3749</v>
      </c>
      <c r="E1646" s="1">
        <v>241.24200400000001</v>
      </c>
      <c r="F1646" s="1">
        <v>240.92700199999999</v>
      </c>
      <c r="K1646" s="39">
        <f>DefaultValues!$B$4</f>
        <v>5</v>
      </c>
      <c r="L1646" s="1">
        <f>DefaultValues!$C$4</f>
        <v>0.5</v>
      </c>
      <c r="M1646" s="1" t="str">
        <f>DefaultValues!$D$4</f>
        <v xml:space="preserve">- Within interchange - </v>
      </c>
      <c r="N1646" s="1">
        <v>758.75799600000005</v>
      </c>
      <c r="O1646" s="1">
        <f>ABS(Table4[[#This Row],[EndMP]]-Table4[[#This Row],[StartMP]])</f>
        <v>0.3150020000000211</v>
      </c>
      <c r="P1646" s="1" t="str">
        <f>IF( AND( Table4[[#This Row],[Route]]=ClosureLocation!$B$3, ClosureLocation!$B$6 &gt;= Table4[[#This Row],[StartMP]], ClosureLocation!$B$6 &lt;= Table4[[#This Row],[EndMP]]), "Yes", "")</f>
        <v/>
      </c>
      <c r="Q1646" s="1" t="str">
        <f>IF( AND( Table4[[#This Row],[Route]]=ClosureLocation!$B$3, ClosureLocation!$B$6 &lt;= Table4[[#This Row],[StartMP]], ClosureLocation!$B$6 &gt;= Table4[[#This Row],[EndMP]]), "Yes", "")</f>
        <v/>
      </c>
      <c r="R1646" s="1" t="str">
        <f>IF( OR( Table4[[#This Row],[PrimaryMatch]]="Yes", Table4[[#This Row],[SecondaryMatch]]="Yes"), "Yes", "")</f>
        <v/>
      </c>
    </row>
    <row r="1647" spans="1:18" hidden="1" x14ac:dyDescent="0.25">
      <c r="A1647" t="s">
        <v>776</v>
      </c>
      <c r="B1647" t="s">
        <v>3209</v>
      </c>
      <c r="C1647" t="s">
        <v>3226</v>
      </c>
      <c r="D1647" t="s">
        <v>3749</v>
      </c>
      <c r="E1647" s="1">
        <v>239.81300400000001</v>
      </c>
      <c r="F1647" s="1">
        <v>239.56399500000001</v>
      </c>
      <c r="K1647" s="39">
        <f>DefaultValues!$B$4</f>
        <v>5</v>
      </c>
      <c r="L1647" s="1">
        <f>DefaultValues!$C$4</f>
        <v>0.5</v>
      </c>
      <c r="M1647" s="1" t="str">
        <f>DefaultValues!$D$4</f>
        <v xml:space="preserve">- Within interchange - </v>
      </c>
      <c r="N1647" s="1">
        <v>760.18701199999998</v>
      </c>
      <c r="O1647" s="1">
        <f>ABS(Table4[[#This Row],[EndMP]]-Table4[[#This Row],[StartMP]])</f>
        <v>0.24900900000000092</v>
      </c>
      <c r="P1647" s="1" t="str">
        <f>IF( AND( Table4[[#This Row],[Route]]=ClosureLocation!$B$3, ClosureLocation!$B$6 &gt;= Table4[[#This Row],[StartMP]], ClosureLocation!$B$6 &lt;= Table4[[#This Row],[EndMP]]), "Yes", "")</f>
        <v/>
      </c>
      <c r="Q1647" s="1" t="str">
        <f>IF( AND( Table4[[#This Row],[Route]]=ClosureLocation!$B$3, ClosureLocation!$B$6 &lt;= Table4[[#This Row],[StartMP]], ClosureLocation!$B$6 &gt;= Table4[[#This Row],[EndMP]]), "Yes", "")</f>
        <v/>
      </c>
      <c r="R1647" s="1" t="str">
        <f>IF( OR( Table4[[#This Row],[PrimaryMatch]]="Yes", Table4[[#This Row],[SecondaryMatch]]="Yes"), "Yes", "")</f>
        <v/>
      </c>
    </row>
    <row r="1648" spans="1:18" hidden="1" x14ac:dyDescent="0.25">
      <c r="A1648" t="s">
        <v>776</v>
      </c>
      <c r="B1648" t="s">
        <v>3209</v>
      </c>
      <c r="C1648" t="s">
        <v>3226</v>
      </c>
      <c r="D1648" t="s">
        <v>3749</v>
      </c>
      <c r="E1648" s="1">
        <v>239.23800700000001</v>
      </c>
      <c r="F1648" s="1">
        <v>238.884995</v>
      </c>
      <c r="K1648" s="39">
        <f>DefaultValues!$B$4</f>
        <v>5</v>
      </c>
      <c r="L1648" s="1">
        <f>DefaultValues!$C$4</f>
        <v>0.5</v>
      </c>
      <c r="M1648" s="1" t="str">
        <f>DefaultValues!$D$4</f>
        <v xml:space="preserve">- Within interchange - </v>
      </c>
      <c r="N1648" s="1">
        <v>760.762024</v>
      </c>
      <c r="O1648" s="1">
        <f>ABS(Table4[[#This Row],[EndMP]]-Table4[[#This Row],[StartMP]])</f>
        <v>0.35301200000000676</v>
      </c>
      <c r="P1648" s="1" t="str">
        <f>IF( AND( Table4[[#This Row],[Route]]=ClosureLocation!$B$3, ClosureLocation!$B$6 &gt;= Table4[[#This Row],[StartMP]], ClosureLocation!$B$6 &lt;= Table4[[#This Row],[EndMP]]), "Yes", "")</f>
        <v/>
      </c>
      <c r="Q1648" s="1" t="str">
        <f>IF( AND( Table4[[#This Row],[Route]]=ClosureLocation!$B$3, ClosureLocation!$B$6 &lt;= Table4[[#This Row],[StartMP]], ClosureLocation!$B$6 &gt;= Table4[[#This Row],[EndMP]]), "Yes", "")</f>
        <v/>
      </c>
      <c r="R1648" s="1" t="str">
        <f>IF( OR( Table4[[#This Row],[PrimaryMatch]]="Yes", Table4[[#This Row],[SecondaryMatch]]="Yes"), "Yes", "")</f>
        <v/>
      </c>
    </row>
    <row r="1649" spans="1:18" hidden="1" x14ac:dyDescent="0.25">
      <c r="A1649" t="s">
        <v>776</v>
      </c>
      <c r="B1649" t="s">
        <v>3209</v>
      </c>
      <c r="C1649" t="s">
        <v>3226</v>
      </c>
      <c r="D1649" t="s">
        <v>3749</v>
      </c>
      <c r="E1649" s="1">
        <v>237.74099699999999</v>
      </c>
      <c r="F1649" s="1">
        <v>237.31599399999999</v>
      </c>
      <c r="K1649" s="39">
        <f>DefaultValues!$B$4</f>
        <v>5</v>
      </c>
      <c r="L1649" s="1">
        <f>DefaultValues!$C$4</f>
        <v>0.5</v>
      </c>
      <c r="M1649" s="1" t="str">
        <f>DefaultValues!$D$4</f>
        <v xml:space="preserve">- Within interchange - </v>
      </c>
      <c r="N1649" s="1">
        <v>762.25897199999997</v>
      </c>
      <c r="O1649" s="1">
        <f>ABS(Table4[[#This Row],[EndMP]]-Table4[[#This Row],[StartMP]])</f>
        <v>0.42500300000000379</v>
      </c>
      <c r="P1649" s="1" t="str">
        <f>IF( AND( Table4[[#This Row],[Route]]=ClosureLocation!$B$3, ClosureLocation!$B$6 &gt;= Table4[[#This Row],[StartMP]], ClosureLocation!$B$6 &lt;= Table4[[#This Row],[EndMP]]), "Yes", "")</f>
        <v/>
      </c>
      <c r="Q1649" s="1" t="str">
        <f>IF( AND( Table4[[#This Row],[Route]]=ClosureLocation!$B$3, ClosureLocation!$B$6 &lt;= Table4[[#This Row],[StartMP]], ClosureLocation!$B$6 &gt;= Table4[[#This Row],[EndMP]]), "Yes", "")</f>
        <v/>
      </c>
      <c r="R1649" s="1" t="str">
        <f>IF( OR( Table4[[#This Row],[PrimaryMatch]]="Yes", Table4[[#This Row],[SecondaryMatch]]="Yes"), "Yes", "")</f>
        <v/>
      </c>
    </row>
    <row r="1650" spans="1:18" hidden="1" x14ac:dyDescent="0.25">
      <c r="A1650" t="s">
        <v>776</v>
      </c>
      <c r="B1650" t="s">
        <v>3209</v>
      </c>
      <c r="C1650" t="s">
        <v>3226</v>
      </c>
      <c r="D1650" t="s">
        <v>3749</v>
      </c>
      <c r="E1650" s="1">
        <v>234.32899499999999</v>
      </c>
      <c r="F1650" s="1">
        <v>234.020996</v>
      </c>
      <c r="K1650" s="39">
        <f>DefaultValues!$B$4</f>
        <v>5</v>
      </c>
      <c r="L1650" s="1">
        <f>DefaultValues!$C$4</f>
        <v>0.5</v>
      </c>
      <c r="M1650" s="1" t="str">
        <f>DefaultValues!$D$4</f>
        <v xml:space="preserve">- Within interchange - </v>
      </c>
      <c r="N1650" s="1">
        <v>765.671021</v>
      </c>
      <c r="O1650" s="1">
        <f>ABS(Table4[[#This Row],[EndMP]]-Table4[[#This Row],[StartMP]])</f>
        <v>0.30799899999999525</v>
      </c>
      <c r="P1650" s="1" t="str">
        <f>IF( AND( Table4[[#This Row],[Route]]=ClosureLocation!$B$3, ClosureLocation!$B$6 &gt;= Table4[[#This Row],[StartMP]], ClosureLocation!$B$6 &lt;= Table4[[#This Row],[EndMP]]), "Yes", "")</f>
        <v/>
      </c>
      <c r="Q1650" s="1" t="str">
        <f>IF( AND( Table4[[#This Row],[Route]]=ClosureLocation!$B$3, ClosureLocation!$B$6 &lt;= Table4[[#This Row],[StartMP]], ClosureLocation!$B$6 &gt;= Table4[[#This Row],[EndMP]]), "Yes", "")</f>
        <v/>
      </c>
      <c r="R1650" s="1" t="str">
        <f>IF( OR( Table4[[#This Row],[PrimaryMatch]]="Yes", Table4[[#This Row],[SecondaryMatch]]="Yes"), "Yes", "")</f>
        <v/>
      </c>
    </row>
    <row r="1651" spans="1:18" hidden="1" x14ac:dyDescent="0.25">
      <c r="A1651" t="s">
        <v>776</v>
      </c>
      <c r="B1651" t="s">
        <v>3209</v>
      </c>
      <c r="C1651" t="s">
        <v>3226</v>
      </c>
      <c r="D1651" t="s">
        <v>3749</v>
      </c>
      <c r="E1651" s="1">
        <v>232.44099399999999</v>
      </c>
      <c r="F1651" s="1">
        <v>231.13699299999999</v>
      </c>
      <c r="K1651" s="39">
        <f>DefaultValues!$B$4</f>
        <v>5</v>
      </c>
      <c r="L1651" s="1">
        <f>DefaultValues!$C$4</f>
        <v>0.5</v>
      </c>
      <c r="M1651" s="1" t="str">
        <f>DefaultValues!$D$4</f>
        <v xml:space="preserve">- Within interchange - </v>
      </c>
      <c r="N1651" s="1">
        <v>767.55902100000003</v>
      </c>
      <c r="O1651" s="1">
        <f>ABS(Table4[[#This Row],[EndMP]]-Table4[[#This Row],[StartMP]])</f>
        <v>1.3040009999999995</v>
      </c>
      <c r="P1651" s="1" t="str">
        <f>IF( AND( Table4[[#This Row],[Route]]=ClosureLocation!$B$3, ClosureLocation!$B$6 &gt;= Table4[[#This Row],[StartMP]], ClosureLocation!$B$6 &lt;= Table4[[#This Row],[EndMP]]), "Yes", "")</f>
        <v/>
      </c>
      <c r="Q1651" s="1" t="str">
        <f>IF( AND( Table4[[#This Row],[Route]]=ClosureLocation!$B$3, ClosureLocation!$B$6 &lt;= Table4[[#This Row],[StartMP]], ClosureLocation!$B$6 &gt;= Table4[[#This Row],[EndMP]]), "Yes", "")</f>
        <v/>
      </c>
      <c r="R1651" s="1" t="str">
        <f>IF( OR( Table4[[#This Row],[PrimaryMatch]]="Yes", Table4[[#This Row],[SecondaryMatch]]="Yes"), "Yes", "")</f>
        <v/>
      </c>
    </row>
    <row r="1652" spans="1:18" hidden="1" x14ac:dyDescent="0.25">
      <c r="A1652" t="s">
        <v>776</v>
      </c>
      <c r="B1652" t="s">
        <v>3209</v>
      </c>
      <c r="C1652" t="s">
        <v>3226</v>
      </c>
      <c r="D1652" t="s">
        <v>3749</v>
      </c>
      <c r="E1652" s="1">
        <v>228.026993</v>
      </c>
      <c r="F1652" s="1">
        <v>227.68800400000001</v>
      </c>
      <c r="K1652" s="39">
        <f>DefaultValues!$B$4</f>
        <v>5</v>
      </c>
      <c r="L1652" s="1">
        <f>DefaultValues!$C$4</f>
        <v>0.5</v>
      </c>
      <c r="M1652" s="1" t="str">
        <f>DefaultValues!$D$4</f>
        <v xml:space="preserve">- Within interchange - </v>
      </c>
      <c r="N1652" s="1">
        <v>771.97302200000001</v>
      </c>
      <c r="O1652" s="1">
        <f>ABS(Table4[[#This Row],[EndMP]]-Table4[[#This Row],[StartMP]])</f>
        <v>0.33898899999999799</v>
      </c>
      <c r="P1652" s="1" t="str">
        <f>IF( AND( Table4[[#This Row],[Route]]=ClosureLocation!$B$3, ClosureLocation!$B$6 &gt;= Table4[[#This Row],[StartMP]], ClosureLocation!$B$6 &lt;= Table4[[#This Row],[EndMP]]), "Yes", "")</f>
        <v/>
      </c>
      <c r="Q1652" s="1" t="str">
        <f>IF( AND( Table4[[#This Row],[Route]]=ClosureLocation!$B$3, ClosureLocation!$B$6 &lt;= Table4[[#This Row],[StartMP]], ClosureLocation!$B$6 &gt;= Table4[[#This Row],[EndMP]]), "Yes", "")</f>
        <v/>
      </c>
      <c r="R1652" s="1" t="str">
        <f>IF( OR( Table4[[#This Row],[PrimaryMatch]]="Yes", Table4[[#This Row],[SecondaryMatch]]="Yes"), "Yes", "")</f>
        <v/>
      </c>
    </row>
    <row r="1653" spans="1:18" hidden="1" x14ac:dyDescent="0.25">
      <c r="A1653" t="s">
        <v>776</v>
      </c>
      <c r="B1653" t="s">
        <v>3209</v>
      </c>
      <c r="C1653" t="s">
        <v>3226</v>
      </c>
      <c r="D1653" t="s">
        <v>3749</v>
      </c>
      <c r="E1653" s="1">
        <v>225.88699299999999</v>
      </c>
      <c r="F1653" s="1">
        <v>225.38999899999999</v>
      </c>
      <c r="K1653" s="39">
        <f>DefaultValues!$B$4</f>
        <v>5</v>
      </c>
      <c r="L1653" s="1">
        <f>DefaultValues!$C$4</f>
        <v>0.5</v>
      </c>
      <c r="M1653" s="1" t="str">
        <f>DefaultValues!$D$4</f>
        <v xml:space="preserve">- Within interchange - </v>
      </c>
      <c r="N1653" s="1">
        <v>774.112976</v>
      </c>
      <c r="O1653" s="1">
        <f>ABS(Table4[[#This Row],[EndMP]]-Table4[[#This Row],[StartMP]])</f>
        <v>0.49699400000000082</v>
      </c>
      <c r="P1653" s="1" t="str">
        <f>IF( AND( Table4[[#This Row],[Route]]=ClosureLocation!$B$3, ClosureLocation!$B$6 &gt;= Table4[[#This Row],[StartMP]], ClosureLocation!$B$6 &lt;= Table4[[#This Row],[EndMP]]), "Yes", "")</f>
        <v/>
      </c>
      <c r="Q1653" s="1" t="str">
        <f>IF( AND( Table4[[#This Row],[Route]]=ClosureLocation!$B$3, ClosureLocation!$B$6 &lt;= Table4[[#This Row],[StartMP]], ClosureLocation!$B$6 &gt;= Table4[[#This Row],[EndMP]]), "Yes", "")</f>
        <v/>
      </c>
      <c r="R1653" s="1" t="str">
        <f>IF( OR( Table4[[#This Row],[PrimaryMatch]]="Yes", Table4[[#This Row],[SecondaryMatch]]="Yes"), "Yes", "")</f>
        <v/>
      </c>
    </row>
    <row r="1654" spans="1:18" hidden="1" x14ac:dyDescent="0.25">
      <c r="A1654" t="s">
        <v>776</v>
      </c>
      <c r="B1654" t="s">
        <v>3209</v>
      </c>
      <c r="C1654" t="s">
        <v>3226</v>
      </c>
      <c r="D1654" t="s">
        <v>3749</v>
      </c>
      <c r="E1654" s="1">
        <v>221.5</v>
      </c>
      <c r="F1654" s="1">
        <v>221.11399800000001</v>
      </c>
      <c r="K1654" s="39">
        <f>DefaultValues!$B$4</f>
        <v>5</v>
      </c>
      <c r="L1654" s="1">
        <f>DefaultValues!$C$4</f>
        <v>0.5</v>
      </c>
      <c r="M1654" s="1" t="str">
        <f>DefaultValues!$D$4</f>
        <v xml:space="preserve">- Within interchange - </v>
      </c>
      <c r="N1654" s="1">
        <v>778.5</v>
      </c>
      <c r="O1654" s="1">
        <f>ABS(Table4[[#This Row],[EndMP]]-Table4[[#This Row],[StartMP]])</f>
        <v>0.38600199999999063</v>
      </c>
      <c r="P1654" s="1" t="str">
        <f>IF( AND( Table4[[#This Row],[Route]]=ClosureLocation!$B$3, ClosureLocation!$B$6 &gt;= Table4[[#This Row],[StartMP]], ClosureLocation!$B$6 &lt;= Table4[[#This Row],[EndMP]]), "Yes", "")</f>
        <v/>
      </c>
      <c r="Q1654" s="1" t="str">
        <f>IF( AND( Table4[[#This Row],[Route]]=ClosureLocation!$B$3, ClosureLocation!$B$6 &lt;= Table4[[#This Row],[StartMP]], ClosureLocation!$B$6 &gt;= Table4[[#This Row],[EndMP]]), "Yes", "")</f>
        <v/>
      </c>
      <c r="R1654" s="1" t="str">
        <f>IF( OR( Table4[[#This Row],[PrimaryMatch]]="Yes", Table4[[#This Row],[SecondaryMatch]]="Yes"), "Yes", "")</f>
        <v/>
      </c>
    </row>
    <row r="1655" spans="1:18" hidden="1" x14ac:dyDescent="0.25">
      <c r="A1655" t="s">
        <v>776</v>
      </c>
      <c r="B1655" t="s">
        <v>3209</v>
      </c>
      <c r="C1655" t="s">
        <v>3226</v>
      </c>
      <c r="D1655" t="s">
        <v>3749</v>
      </c>
      <c r="E1655" s="1">
        <v>218.557007</v>
      </c>
      <c r="F1655" s="1">
        <v>218.151993</v>
      </c>
      <c r="K1655" s="39">
        <f>DefaultValues!$B$4</f>
        <v>5</v>
      </c>
      <c r="L1655" s="1">
        <f>DefaultValues!$C$4</f>
        <v>0.5</v>
      </c>
      <c r="M1655" s="1" t="str">
        <f>DefaultValues!$D$4</f>
        <v xml:space="preserve">- Within interchange - </v>
      </c>
      <c r="N1655" s="1">
        <v>781.442993</v>
      </c>
      <c r="O1655" s="1">
        <f>ABS(Table4[[#This Row],[EndMP]]-Table4[[#This Row],[StartMP]])</f>
        <v>0.40501399999999421</v>
      </c>
      <c r="P1655" s="1" t="str">
        <f>IF( AND( Table4[[#This Row],[Route]]=ClosureLocation!$B$3, ClosureLocation!$B$6 &gt;= Table4[[#This Row],[StartMP]], ClosureLocation!$B$6 &lt;= Table4[[#This Row],[EndMP]]), "Yes", "")</f>
        <v/>
      </c>
      <c r="Q1655" s="1" t="str">
        <f>IF( AND( Table4[[#This Row],[Route]]=ClosureLocation!$B$3, ClosureLocation!$B$6 &lt;= Table4[[#This Row],[StartMP]], ClosureLocation!$B$6 &gt;= Table4[[#This Row],[EndMP]]), "Yes", "")</f>
        <v/>
      </c>
      <c r="R1655" s="1" t="str">
        <f>IF( OR( Table4[[#This Row],[PrimaryMatch]]="Yes", Table4[[#This Row],[SecondaryMatch]]="Yes"), "Yes", "")</f>
        <v/>
      </c>
    </row>
    <row r="1656" spans="1:18" hidden="1" x14ac:dyDescent="0.25">
      <c r="A1656" t="s">
        <v>776</v>
      </c>
      <c r="B1656" t="s">
        <v>3209</v>
      </c>
      <c r="C1656" t="s">
        <v>3226</v>
      </c>
      <c r="D1656" t="s">
        <v>3749</v>
      </c>
      <c r="E1656" s="1">
        <v>216.66499300000001</v>
      </c>
      <c r="F1656" s="1">
        <v>216.358002</v>
      </c>
      <c r="K1656" s="39">
        <f>DefaultValues!$B$4</f>
        <v>5</v>
      </c>
      <c r="L1656" s="1">
        <f>DefaultValues!$C$4</f>
        <v>0.5</v>
      </c>
      <c r="M1656" s="1" t="str">
        <f>DefaultValues!$D$4</f>
        <v xml:space="preserve">- Within interchange - </v>
      </c>
      <c r="N1656" s="1">
        <v>783.33502199999998</v>
      </c>
      <c r="O1656" s="1">
        <f>ABS(Table4[[#This Row],[EndMP]]-Table4[[#This Row],[StartMP]])</f>
        <v>0.30699100000001067</v>
      </c>
      <c r="P1656" s="1" t="str">
        <f>IF( AND( Table4[[#This Row],[Route]]=ClosureLocation!$B$3, ClosureLocation!$B$6 &gt;= Table4[[#This Row],[StartMP]], ClosureLocation!$B$6 &lt;= Table4[[#This Row],[EndMP]]), "Yes", "")</f>
        <v/>
      </c>
      <c r="Q1656" s="1" t="str">
        <f>IF( AND( Table4[[#This Row],[Route]]=ClosureLocation!$B$3, ClosureLocation!$B$6 &lt;= Table4[[#This Row],[StartMP]], ClosureLocation!$B$6 &gt;= Table4[[#This Row],[EndMP]]), "Yes", "")</f>
        <v/>
      </c>
      <c r="R1656" s="1" t="str">
        <f>IF( OR( Table4[[#This Row],[PrimaryMatch]]="Yes", Table4[[#This Row],[SecondaryMatch]]="Yes"), "Yes", "")</f>
        <v/>
      </c>
    </row>
    <row r="1657" spans="1:18" hidden="1" x14ac:dyDescent="0.25">
      <c r="A1657" t="s">
        <v>776</v>
      </c>
      <c r="B1657" t="s">
        <v>3209</v>
      </c>
      <c r="C1657" t="s">
        <v>3226</v>
      </c>
      <c r="D1657" t="s">
        <v>3749</v>
      </c>
      <c r="E1657" s="1">
        <v>205.73599200000001</v>
      </c>
      <c r="F1657" s="1">
        <v>205.29600500000001</v>
      </c>
      <c r="K1657" s="39">
        <f>DefaultValues!$B$4</f>
        <v>5</v>
      </c>
      <c r="L1657" s="1">
        <f>DefaultValues!$C$4</f>
        <v>0.5</v>
      </c>
      <c r="M1657" s="1" t="str">
        <f>DefaultValues!$D$4</f>
        <v xml:space="preserve">- Within interchange - </v>
      </c>
      <c r="N1657" s="1">
        <v>794.26397699999995</v>
      </c>
      <c r="O1657" s="1">
        <f>ABS(Table4[[#This Row],[EndMP]]-Table4[[#This Row],[StartMP]])</f>
        <v>0.43998700000000213</v>
      </c>
      <c r="P1657" s="1" t="str">
        <f>IF( AND( Table4[[#This Row],[Route]]=ClosureLocation!$B$3, ClosureLocation!$B$6 &gt;= Table4[[#This Row],[StartMP]], ClosureLocation!$B$6 &lt;= Table4[[#This Row],[EndMP]]), "Yes", "")</f>
        <v/>
      </c>
      <c r="Q1657" s="1" t="str">
        <f>IF( AND( Table4[[#This Row],[Route]]=ClosureLocation!$B$3, ClosureLocation!$B$6 &lt;= Table4[[#This Row],[StartMP]], ClosureLocation!$B$6 &gt;= Table4[[#This Row],[EndMP]]), "Yes", "")</f>
        <v/>
      </c>
      <c r="R1657" s="1" t="str">
        <f>IF( OR( Table4[[#This Row],[PrimaryMatch]]="Yes", Table4[[#This Row],[SecondaryMatch]]="Yes"), "Yes", "")</f>
        <v/>
      </c>
    </row>
    <row r="1658" spans="1:18" hidden="1" x14ac:dyDescent="0.25">
      <c r="A1658" t="s">
        <v>776</v>
      </c>
      <c r="B1658" t="s">
        <v>3209</v>
      </c>
      <c r="C1658" t="s">
        <v>3226</v>
      </c>
      <c r="D1658" t="s">
        <v>3749</v>
      </c>
      <c r="E1658" s="1">
        <v>202.526993</v>
      </c>
      <c r="F1658" s="1">
        <v>202.11300700000001</v>
      </c>
      <c r="K1658" s="39">
        <f>DefaultValues!$B$4</f>
        <v>5</v>
      </c>
      <c r="L1658" s="1">
        <f>DefaultValues!$C$4</f>
        <v>0.5</v>
      </c>
      <c r="M1658" s="1" t="str">
        <f>DefaultValues!$D$4</f>
        <v xml:space="preserve">- Within interchange - </v>
      </c>
      <c r="N1658" s="1">
        <v>797.47302200000001</v>
      </c>
      <c r="O1658" s="1">
        <f>ABS(Table4[[#This Row],[EndMP]]-Table4[[#This Row],[StartMP]])</f>
        <v>0.41398599999999419</v>
      </c>
      <c r="P1658" s="1" t="str">
        <f>IF( AND( Table4[[#This Row],[Route]]=ClosureLocation!$B$3, ClosureLocation!$B$6 &gt;= Table4[[#This Row],[StartMP]], ClosureLocation!$B$6 &lt;= Table4[[#This Row],[EndMP]]), "Yes", "")</f>
        <v/>
      </c>
      <c r="Q1658" s="1" t="str">
        <f>IF( AND( Table4[[#This Row],[Route]]=ClosureLocation!$B$3, ClosureLocation!$B$6 &lt;= Table4[[#This Row],[StartMP]], ClosureLocation!$B$6 &gt;= Table4[[#This Row],[EndMP]]), "Yes", "")</f>
        <v/>
      </c>
      <c r="R1658" s="1" t="str">
        <f>IF( OR( Table4[[#This Row],[PrimaryMatch]]="Yes", Table4[[#This Row],[SecondaryMatch]]="Yes"), "Yes", "")</f>
        <v/>
      </c>
    </row>
    <row r="1659" spans="1:18" hidden="1" x14ac:dyDescent="0.25">
      <c r="A1659" t="s">
        <v>776</v>
      </c>
      <c r="B1659" t="s">
        <v>3209</v>
      </c>
      <c r="C1659" t="s">
        <v>3226</v>
      </c>
      <c r="D1659" t="s">
        <v>3749</v>
      </c>
      <c r="E1659" s="1">
        <v>201.080994</v>
      </c>
      <c r="F1659" s="1">
        <v>200.72799699999999</v>
      </c>
      <c r="K1659" s="39">
        <f>DefaultValues!$B$4</f>
        <v>5</v>
      </c>
      <c r="L1659" s="1">
        <f>DefaultValues!$C$4</f>
        <v>0.5</v>
      </c>
      <c r="M1659" s="1" t="str">
        <f>DefaultValues!$D$4</f>
        <v xml:space="preserve">- Within interchange - </v>
      </c>
      <c r="N1659" s="1">
        <v>798.91900599999997</v>
      </c>
      <c r="O1659" s="1">
        <f>ABS(Table4[[#This Row],[EndMP]]-Table4[[#This Row],[StartMP]])</f>
        <v>0.35299700000001621</v>
      </c>
      <c r="P1659" s="1" t="str">
        <f>IF( AND( Table4[[#This Row],[Route]]=ClosureLocation!$B$3, ClosureLocation!$B$6 &gt;= Table4[[#This Row],[StartMP]], ClosureLocation!$B$6 &lt;= Table4[[#This Row],[EndMP]]), "Yes", "")</f>
        <v/>
      </c>
      <c r="Q1659" s="1" t="str">
        <f>IF( AND( Table4[[#This Row],[Route]]=ClosureLocation!$B$3, ClosureLocation!$B$6 &lt;= Table4[[#This Row],[StartMP]], ClosureLocation!$B$6 &gt;= Table4[[#This Row],[EndMP]]), "Yes", "")</f>
        <v/>
      </c>
      <c r="R1659" s="1" t="str">
        <f>IF( OR( Table4[[#This Row],[PrimaryMatch]]="Yes", Table4[[#This Row],[SecondaryMatch]]="Yes"), "Yes", "")</f>
        <v/>
      </c>
    </row>
    <row r="1660" spans="1:18" hidden="1" x14ac:dyDescent="0.25">
      <c r="A1660" t="s">
        <v>776</v>
      </c>
      <c r="B1660" t="s">
        <v>3209</v>
      </c>
      <c r="C1660" t="s">
        <v>3226</v>
      </c>
      <c r="D1660" t="s">
        <v>3749</v>
      </c>
      <c r="E1660" s="1">
        <v>198.108002</v>
      </c>
      <c r="F1660" s="1">
        <v>197.58000200000001</v>
      </c>
      <c r="K1660" s="39">
        <f>DefaultValues!$B$4</f>
        <v>5</v>
      </c>
      <c r="L1660" s="1">
        <f>DefaultValues!$C$4</f>
        <v>0.5</v>
      </c>
      <c r="M1660" s="1" t="str">
        <f>DefaultValues!$D$4</f>
        <v xml:space="preserve">- Within interchange - </v>
      </c>
      <c r="N1660" s="1">
        <v>801.89202899999998</v>
      </c>
      <c r="O1660" s="1">
        <f>ABS(Table4[[#This Row],[EndMP]]-Table4[[#This Row],[StartMP]])</f>
        <v>0.52799999999999159</v>
      </c>
      <c r="P1660" s="1" t="str">
        <f>IF( AND( Table4[[#This Row],[Route]]=ClosureLocation!$B$3, ClosureLocation!$B$6 &gt;= Table4[[#This Row],[StartMP]], ClosureLocation!$B$6 &lt;= Table4[[#This Row],[EndMP]]), "Yes", "")</f>
        <v/>
      </c>
      <c r="Q1660" s="1" t="str">
        <f>IF( AND( Table4[[#This Row],[Route]]=ClosureLocation!$B$3, ClosureLocation!$B$6 &lt;= Table4[[#This Row],[StartMP]], ClosureLocation!$B$6 &gt;= Table4[[#This Row],[EndMP]]), "Yes", "")</f>
        <v/>
      </c>
      <c r="R1660" s="1" t="str">
        <f>IF( OR( Table4[[#This Row],[PrimaryMatch]]="Yes", Table4[[#This Row],[SecondaryMatch]]="Yes"), "Yes", "")</f>
        <v/>
      </c>
    </row>
    <row r="1661" spans="1:18" hidden="1" x14ac:dyDescent="0.25">
      <c r="A1661" t="s">
        <v>776</v>
      </c>
      <c r="B1661" t="s">
        <v>3209</v>
      </c>
      <c r="C1661" t="s">
        <v>3226</v>
      </c>
      <c r="D1661" t="s">
        <v>3749</v>
      </c>
      <c r="E1661" s="1">
        <v>196.38800000000001</v>
      </c>
      <c r="F1661" s="1">
        <v>195.94799800000001</v>
      </c>
      <c r="K1661" s="39">
        <f>DefaultValues!$B$4</f>
        <v>5</v>
      </c>
      <c r="L1661" s="1">
        <f>DefaultValues!$C$4</f>
        <v>0.5</v>
      </c>
      <c r="M1661" s="1" t="str">
        <f>DefaultValues!$D$4</f>
        <v xml:space="preserve">- Within interchange - </v>
      </c>
      <c r="N1661" s="1">
        <v>803.61199999999997</v>
      </c>
      <c r="O1661" s="1">
        <f>ABS(Table4[[#This Row],[EndMP]]-Table4[[#This Row],[StartMP]])</f>
        <v>0.44000199999999268</v>
      </c>
      <c r="P1661" s="1" t="str">
        <f>IF( AND( Table4[[#This Row],[Route]]=ClosureLocation!$B$3, ClosureLocation!$B$6 &gt;= Table4[[#This Row],[StartMP]], ClosureLocation!$B$6 &lt;= Table4[[#This Row],[EndMP]]), "Yes", "")</f>
        <v/>
      </c>
      <c r="Q1661" s="1" t="str">
        <f>IF( AND( Table4[[#This Row],[Route]]=ClosureLocation!$B$3, ClosureLocation!$B$6 &lt;= Table4[[#This Row],[StartMP]], ClosureLocation!$B$6 &gt;= Table4[[#This Row],[EndMP]]), "Yes", "")</f>
        <v/>
      </c>
      <c r="R1661" s="1" t="str">
        <f>IF( OR( Table4[[#This Row],[PrimaryMatch]]="Yes", Table4[[#This Row],[SecondaryMatch]]="Yes"), "Yes", "")</f>
        <v/>
      </c>
    </row>
    <row r="1662" spans="1:18" hidden="1" x14ac:dyDescent="0.25">
      <c r="A1662" t="s">
        <v>776</v>
      </c>
      <c r="B1662" t="s">
        <v>3209</v>
      </c>
      <c r="C1662" t="s">
        <v>3226</v>
      </c>
      <c r="D1662" t="s">
        <v>3749</v>
      </c>
      <c r="E1662" s="1">
        <v>195.641998</v>
      </c>
      <c r="F1662" s="1">
        <v>195.378998</v>
      </c>
      <c r="K1662" s="39">
        <f>DefaultValues!$B$4</f>
        <v>5</v>
      </c>
      <c r="L1662" s="1">
        <f>DefaultValues!$C$4</f>
        <v>0.5</v>
      </c>
      <c r="M1662" s="1" t="str">
        <f>DefaultValues!$D$4</f>
        <v xml:space="preserve">- Within interchange - </v>
      </c>
      <c r="N1662" s="1">
        <v>804.35797100000002</v>
      </c>
      <c r="O1662" s="1">
        <f>ABS(Table4[[#This Row],[EndMP]]-Table4[[#This Row],[StartMP]])</f>
        <v>0.26300000000000523</v>
      </c>
      <c r="P1662" s="1" t="str">
        <f>IF( AND( Table4[[#This Row],[Route]]=ClosureLocation!$B$3, ClosureLocation!$B$6 &gt;= Table4[[#This Row],[StartMP]], ClosureLocation!$B$6 &lt;= Table4[[#This Row],[EndMP]]), "Yes", "")</f>
        <v/>
      </c>
      <c r="Q1662" s="1" t="str">
        <f>IF( AND( Table4[[#This Row],[Route]]=ClosureLocation!$B$3, ClosureLocation!$B$6 &lt;= Table4[[#This Row],[StartMP]], ClosureLocation!$B$6 &gt;= Table4[[#This Row],[EndMP]]), "Yes", "")</f>
        <v/>
      </c>
      <c r="R1662" s="1" t="str">
        <f>IF( OR( Table4[[#This Row],[PrimaryMatch]]="Yes", Table4[[#This Row],[SecondaryMatch]]="Yes"), "Yes", "")</f>
        <v/>
      </c>
    </row>
    <row r="1663" spans="1:18" hidden="1" x14ac:dyDescent="0.25">
      <c r="A1663" t="s">
        <v>776</v>
      </c>
      <c r="B1663" t="s">
        <v>3209</v>
      </c>
      <c r="C1663" t="s">
        <v>3226</v>
      </c>
      <c r="D1663" t="s">
        <v>3749</v>
      </c>
      <c r="E1663" s="1">
        <v>190.41799900000001</v>
      </c>
      <c r="F1663" s="1">
        <v>189.891998</v>
      </c>
      <c r="K1663" s="39">
        <f>DefaultValues!$B$4</f>
        <v>5</v>
      </c>
      <c r="L1663" s="1">
        <f>DefaultValues!$C$4</f>
        <v>0.5</v>
      </c>
      <c r="M1663" s="1" t="str">
        <f>DefaultValues!$D$4</f>
        <v xml:space="preserve">- Within interchange - </v>
      </c>
      <c r="N1663" s="1">
        <v>809.58196999999996</v>
      </c>
      <c r="O1663" s="1">
        <f>ABS(Table4[[#This Row],[EndMP]]-Table4[[#This Row],[StartMP]])</f>
        <v>0.52600100000000793</v>
      </c>
      <c r="P1663" s="1" t="str">
        <f>IF( AND( Table4[[#This Row],[Route]]=ClosureLocation!$B$3, ClosureLocation!$B$6 &gt;= Table4[[#This Row],[StartMP]], ClosureLocation!$B$6 &lt;= Table4[[#This Row],[EndMP]]), "Yes", "")</f>
        <v/>
      </c>
      <c r="Q1663" s="1" t="str">
        <f>IF( AND( Table4[[#This Row],[Route]]=ClosureLocation!$B$3, ClosureLocation!$B$6 &lt;= Table4[[#This Row],[StartMP]], ClosureLocation!$B$6 &gt;= Table4[[#This Row],[EndMP]]), "Yes", "")</f>
        <v/>
      </c>
      <c r="R1663" s="1" t="str">
        <f>IF( OR( Table4[[#This Row],[PrimaryMatch]]="Yes", Table4[[#This Row],[SecondaryMatch]]="Yes"), "Yes", "")</f>
        <v/>
      </c>
    </row>
    <row r="1664" spans="1:18" hidden="1" x14ac:dyDescent="0.25">
      <c r="A1664" t="s">
        <v>776</v>
      </c>
      <c r="B1664" t="s">
        <v>3209</v>
      </c>
      <c r="C1664" t="s">
        <v>3226</v>
      </c>
      <c r="D1664" t="s">
        <v>3749</v>
      </c>
      <c r="E1664" s="1">
        <v>180.07899499999999</v>
      </c>
      <c r="F1664" s="1">
        <v>179.69700599999999</v>
      </c>
      <c r="K1664" s="39">
        <f>DefaultValues!$B$4</f>
        <v>5</v>
      </c>
      <c r="L1664" s="1">
        <f>DefaultValues!$C$4</f>
        <v>0.5</v>
      </c>
      <c r="M1664" s="1" t="str">
        <f>DefaultValues!$D$4</f>
        <v xml:space="preserve">- Within interchange - </v>
      </c>
      <c r="N1664" s="1">
        <v>819.921021</v>
      </c>
      <c r="O1664" s="1">
        <f>ABS(Table4[[#This Row],[EndMP]]-Table4[[#This Row],[StartMP]])</f>
        <v>0.38198900000000435</v>
      </c>
      <c r="P1664" s="1" t="str">
        <f>IF( AND( Table4[[#This Row],[Route]]=ClosureLocation!$B$3, ClosureLocation!$B$6 &gt;= Table4[[#This Row],[StartMP]], ClosureLocation!$B$6 &lt;= Table4[[#This Row],[EndMP]]), "Yes", "")</f>
        <v/>
      </c>
      <c r="Q1664" s="1" t="str">
        <f>IF( AND( Table4[[#This Row],[Route]]=ClosureLocation!$B$3, ClosureLocation!$B$6 &lt;= Table4[[#This Row],[StartMP]], ClosureLocation!$B$6 &gt;= Table4[[#This Row],[EndMP]]), "Yes", "")</f>
        <v/>
      </c>
      <c r="R1664" s="1" t="str">
        <f>IF( OR( Table4[[#This Row],[PrimaryMatch]]="Yes", Table4[[#This Row],[SecondaryMatch]]="Yes"), "Yes", "")</f>
        <v/>
      </c>
    </row>
    <row r="1665" spans="1:18" hidden="1" x14ac:dyDescent="0.25">
      <c r="A1665" t="s">
        <v>776</v>
      </c>
      <c r="B1665" t="s">
        <v>3209</v>
      </c>
      <c r="C1665" t="s">
        <v>3226</v>
      </c>
      <c r="D1665" t="s">
        <v>3749</v>
      </c>
      <c r="E1665" s="1">
        <v>176.25500500000001</v>
      </c>
      <c r="F1665" s="1">
        <v>175.86000100000001</v>
      </c>
      <c r="K1665" s="39">
        <f>DefaultValues!$B$4</f>
        <v>5</v>
      </c>
      <c r="L1665" s="1">
        <f>DefaultValues!$C$4</f>
        <v>0.5</v>
      </c>
      <c r="M1665" s="1" t="str">
        <f>DefaultValues!$D$4</f>
        <v xml:space="preserve">- Within interchange - </v>
      </c>
      <c r="N1665" s="1">
        <v>823.74499500000002</v>
      </c>
      <c r="O1665" s="1">
        <f>ABS(Table4[[#This Row],[EndMP]]-Table4[[#This Row],[StartMP]])</f>
        <v>0.39500400000000013</v>
      </c>
      <c r="P1665" s="1" t="str">
        <f>IF( AND( Table4[[#This Row],[Route]]=ClosureLocation!$B$3, ClosureLocation!$B$6 &gt;= Table4[[#This Row],[StartMP]], ClosureLocation!$B$6 &lt;= Table4[[#This Row],[EndMP]]), "Yes", "")</f>
        <v/>
      </c>
      <c r="Q1665" s="1" t="str">
        <f>IF( AND( Table4[[#This Row],[Route]]=ClosureLocation!$B$3, ClosureLocation!$B$6 &lt;= Table4[[#This Row],[StartMP]], ClosureLocation!$B$6 &gt;= Table4[[#This Row],[EndMP]]), "Yes", "")</f>
        <v/>
      </c>
      <c r="R1665" s="1" t="str">
        <f>IF( OR( Table4[[#This Row],[PrimaryMatch]]="Yes", Table4[[#This Row],[SecondaryMatch]]="Yes"), "Yes", "")</f>
        <v/>
      </c>
    </row>
    <row r="1666" spans="1:18" hidden="1" x14ac:dyDescent="0.25">
      <c r="A1666" t="s">
        <v>776</v>
      </c>
      <c r="B1666" t="s">
        <v>3209</v>
      </c>
      <c r="C1666" t="s">
        <v>3226</v>
      </c>
      <c r="D1666" t="s">
        <v>3749</v>
      </c>
      <c r="E1666" s="1">
        <v>173.483994</v>
      </c>
      <c r="F1666" s="1">
        <v>173.16799900000001</v>
      </c>
      <c r="K1666" s="39">
        <f>DefaultValues!$B$4</f>
        <v>5</v>
      </c>
      <c r="L1666" s="1">
        <f>DefaultValues!$C$4</f>
        <v>0.5</v>
      </c>
      <c r="M1666" s="1" t="str">
        <f>DefaultValues!$D$4</f>
        <v xml:space="preserve">- Within interchange - </v>
      </c>
      <c r="N1666" s="1">
        <v>826.51599099999999</v>
      </c>
      <c r="O1666" s="1">
        <f>ABS(Table4[[#This Row],[EndMP]]-Table4[[#This Row],[StartMP]])</f>
        <v>0.3159949999999867</v>
      </c>
      <c r="P1666" s="1" t="str">
        <f>IF( AND( Table4[[#This Row],[Route]]=ClosureLocation!$B$3, ClosureLocation!$B$6 &gt;= Table4[[#This Row],[StartMP]], ClosureLocation!$B$6 &lt;= Table4[[#This Row],[EndMP]]), "Yes", "")</f>
        <v/>
      </c>
      <c r="Q1666" s="1" t="str">
        <f>IF( AND( Table4[[#This Row],[Route]]=ClosureLocation!$B$3, ClosureLocation!$B$6 &lt;= Table4[[#This Row],[StartMP]], ClosureLocation!$B$6 &gt;= Table4[[#This Row],[EndMP]]), "Yes", "")</f>
        <v/>
      </c>
      <c r="R1666" s="1" t="str">
        <f>IF( OR( Table4[[#This Row],[PrimaryMatch]]="Yes", Table4[[#This Row],[SecondaryMatch]]="Yes"), "Yes", "")</f>
        <v/>
      </c>
    </row>
    <row r="1667" spans="1:18" hidden="1" x14ac:dyDescent="0.25">
      <c r="A1667" t="s">
        <v>776</v>
      </c>
      <c r="B1667" t="s">
        <v>3209</v>
      </c>
      <c r="C1667" t="s">
        <v>3226</v>
      </c>
      <c r="D1667" t="s">
        <v>3749</v>
      </c>
      <c r="E1667" s="1">
        <v>171.024002</v>
      </c>
      <c r="F1667" s="1">
        <v>170.56599399999999</v>
      </c>
      <c r="K1667" s="39">
        <f>DefaultValues!$B$4</f>
        <v>5</v>
      </c>
      <c r="L1667" s="1">
        <f>DefaultValues!$C$4</f>
        <v>0.5</v>
      </c>
      <c r="M1667" s="1" t="str">
        <f>DefaultValues!$D$4</f>
        <v xml:space="preserve">- Within interchange - </v>
      </c>
      <c r="N1667" s="1">
        <v>828.97601299999997</v>
      </c>
      <c r="O1667" s="1">
        <f>ABS(Table4[[#This Row],[EndMP]]-Table4[[#This Row],[StartMP]])</f>
        <v>0.45800800000000663</v>
      </c>
      <c r="P1667" s="1" t="str">
        <f>IF( AND( Table4[[#This Row],[Route]]=ClosureLocation!$B$3, ClosureLocation!$B$6 &gt;= Table4[[#This Row],[StartMP]], ClosureLocation!$B$6 &lt;= Table4[[#This Row],[EndMP]]), "Yes", "")</f>
        <v/>
      </c>
      <c r="Q1667" s="1" t="str">
        <f>IF( AND( Table4[[#This Row],[Route]]=ClosureLocation!$B$3, ClosureLocation!$B$6 &lt;= Table4[[#This Row],[StartMP]], ClosureLocation!$B$6 &gt;= Table4[[#This Row],[EndMP]]), "Yes", "")</f>
        <v/>
      </c>
      <c r="R1667" s="1" t="str">
        <f>IF( OR( Table4[[#This Row],[PrimaryMatch]]="Yes", Table4[[#This Row],[SecondaryMatch]]="Yes"), "Yes", "")</f>
        <v/>
      </c>
    </row>
    <row r="1668" spans="1:18" hidden="1" x14ac:dyDescent="0.25">
      <c r="A1668" t="s">
        <v>776</v>
      </c>
      <c r="B1668" t="s">
        <v>3209</v>
      </c>
      <c r="C1668" t="s">
        <v>3226</v>
      </c>
      <c r="D1668" t="s">
        <v>3749</v>
      </c>
      <c r="E1668" s="1">
        <v>168.60000600000001</v>
      </c>
      <c r="F1668" s="1">
        <v>168.01300000000001</v>
      </c>
      <c r="K1668" s="39">
        <f>DefaultValues!$B$4</f>
        <v>5</v>
      </c>
      <c r="L1668" s="1">
        <f>DefaultValues!$C$4</f>
        <v>0.5</v>
      </c>
      <c r="M1668" s="1" t="str">
        <f>DefaultValues!$D$4</f>
        <v xml:space="preserve">- Within interchange - </v>
      </c>
      <c r="N1668" s="1">
        <v>831.40002400000003</v>
      </c>
      <c r="O1668" s="1">
        <f>ABS(Table4[[#This Row],[EndMP]]-Table4[[#This Row],[StartMP]])</f>
        <v>0.58700600000000236</v>
      </c>
      <c r="P1668" s="1" t="str">
        <f>IF( AND( Table4[[#This Row],[Route]]=ClosureLocation!$B$3, ClosureLocation!$B$6 &gt;= Table4[[#This Row],[StartMP]], ClosureLocation!$B$6 &lt;= Table4[[#This Row],[EndMP]]), "Yes", "")</f>
        <v/>
      </c>
      <c r="Q1668" s="1" t="str">
        <f>IF( AND( Table4[[#This Row],[Route]]=ClosureLocation!$B$3, ClosureLocation!$B$6 &lt;= Table4[[#This Row],[StartMP]], ClosureLocation!$B$6 &gt;= Table4[[#This Row],[EndMP]]), "Yes", "")</f>
        <v/>
      </c>
      <c r="R1668" s="1" t="str">
        <f>IF( OR( Table4[[#This Row],[PrimaryMatch]]="Yes", Table4[[#This Row],[SecondaryMatch]]="Yes"), "Yes", "")</f>
        <v/>
      </c>
    </row>
    <row r="1669" spans="1:18" hidden="1" x14ac:dyDescent="0.25">
      <c r="A1669" t="s">
        <v>776</v>
      </c>
      <c r="B1669" t="s">
        <v>3209</v>
      </c>
      <c r="C1669" t="s">
        <v>3226</v>
      </c>
      <c r="D1669" t="s">
        <v>3749</v>
      </c>
      <c r="E1669" s="1">
        <v>166.830994</v>
      </c>
      <c r="F1669" s="1">
        <v>166.35000600000001</v>
      </c>
      <c r="K1669" s="39">
        <f>DefaultValues!$B$4</f>
        <v>5</v>
      </c>
      <c r="L1669" s="1">
        <f>DefaultValues!$C$4</f>
        <v>0.5</v>
      </c>
      <c r="M1669" s="1" t="str">
        <f>DefaultValues!$D$4</f>
        <v xml:space="preserve">- Within interchange - </v>
      </c>
      <c r="N1669" s="1">
        <v>833.16900599999997</v>
      </c>
      <c r="O1669" s="1">
        <f>ABS(Table4[[#This Row],[EndMP]]-Table4[[#This Row],[StartMP]])</f>
        <v>0.48098799999999642</v>
      </c>
      <c r="P1669" s="1" t="str">
        <f>IF( AND( Table4[[#This Row],[Route]]=ClosureLocation!$B$3, ClosureLocation!$B$6 &gt;= Table4[[#This Row],[StartMP]], ClosureLocation!$B$6 &lt;= Table4[[#This Row],[EndMP]]), "Yes", "")</f>
        <v/>
      </c>
      <c r="Q1669" s="1" t="str">
        <f>IF( AND( Table4[[#This Row],[Route]]=ClosureLocation!$B$3, ClosureLocation!$B$6 &lt;= Table4[[#This Row],[StartMP]], ClosureLocation!$B$6 &gt;= Table4[[#This Row],[EndMP]]), "Yes", "")</f>
        <v/>
      </c>
      <c r="R1669" s="1" t="str">
        <f>IF( OR( Table4[[#This Row],[PrimaryMatch]]="Yes", Table4[[#This Row],[SecondaryMatch]]="Yes"), "Yes", "")</f>
        <v/>
      </c>
    </row>
    <row r="1670" spans="1:18" hidden="1" x14ac:dyDescent="0.25">
      <c r="A1670" t="s">
        <v>776</v>
      </c>
      <c r="B1670" t="s">
        <v>3209</v>
      </c>
      <c r="C1670" t="s">
        <v>3226</v>
      </c>
      <c r="D1670" t="s">
        <v>3749</v>
      </c>
      <c r="E1670" s="1">
        <v>163.01499899999999</v>
      </c>
      <c r="F1670" s="1">
        <v>162.537003</v>
      </c>
      <c r="K1670" s="39">
        <f>DefaultValues!$B$4</f>
        <v>5</v>
      </c>
      <c r="L1670" s="1">
        <f>DefaultValues!$C$4</f>
        <v>0.5</v>
      </c>
      <c r="M1670" s="1" t="str">
        <f>DefaultValues!$D$4</f>
        <v xml:space="preserve">- Within interchange - </v>
      </c>
      <c r="N1670" s="1">
        <v>836.98498500000005</v>
      </c>
      <c r="O1670" s="1">
        <f>ABS(Table4[[#This Row],[EndMP]]-Table4[[#This Row],[StartMP]])</f>
        <v>0.47799599999999032</v>
      </c>
      <c r="P1670" s="1" t="str">
        <f>IF( AND( Table4[[#This Row],[Route]]=ClosureLocation!$B$3, ClosureLocation!$B$6 &gt;= Table4[[#This Row],[StartMP]], ClosureLocation!$B$6 &lt;= Table4[[#This Row],[EndMP]]), "Yes", "")</f>
        <v/>
      </c>
      <c r="Q1670" s="1" t="str">
        <f>IF( AND( Table4[[#This Row],[Route]]=ClosureLocation!$B$3, ClosureLocation!$B$6 &lt;= Table4[[#This Row],[StartMP]], ClosureLocation!$B$6 &gt;= Table4[[#This Row],[EndMP]]), "Yes", "")</f>
        <v/>
      </c>
      <c r="R1670" s="1" t="str">
        <f>IF( OR( Table4[[#This Row],[PrimaryMatch]]="Yes", Table4[[#This Row],[SecondaryMatch]]="Yes"), "Yes", "")</f>
        <v/>
      </c>
    </row>
    <row r="1671" spans="1:18" hidden="1" x14ac:dyDescent="0.25">
      <c r="A1671" t="s">
        <v>776</v>
      </c>
      <c r="B1671" t="s">
        <v>3209</v>
      </c>
      <c r="C1671" t="s">
        <v>3226</v>
      </c>
      <c r="D1671" t="s">
        <v>3749</v>
      </c>
      <c r="E1671" s="1">
        <v>156.80900600000001</v>
      </c>
      <c r="F1671" s="1">
        <v>156.39700300000001</v>
      </c>
      <c r="K1671" s="39">
        <f>DefaultValues!$B$4</f>
        <v>5</v>
      </c>
      <c r="L1671" s="1">
        <f>DefaultValues!$C$4</f>
        <v>0.5</v>
      </c>
      <c r="M1671" s="1" t="str">
        <f>DefaultValues!$D$4</f>
        <v xml:space="preserve">- Within interchange - </v>
      </c>
      <c r="N1671" s="1">
        <v>843.19097899999997</v>
      </c>
      <c r="O1671" s="1">
        <f>ABS(Table4[[#This Row],[EndMP]]-Table4[[#This Row],[StartMP]])</f>
        <v>0.41200299999999856</v>
      </c>
      <c r="P1671" s="1" t="str">
        <f>IF( AND( Table4[[#This Row],[Route]]=ClosureLocation!$B$3, ClosureLocation!$B$6 &gt;= Table4[[#This Row],[StartMP]], ClosureLocation!$B$6 &lt;= Table4[[#This Row],[EndMP]]), "Yes", "")</f>
        <v/>
      </c>
      <c r="Q1671" s="1" t="str">
        <f>IF( AND( Table4[[#This Row],[Route]]=ClosureLocation!$B$3, ClosureLocation!$B$6 &lt;= Table4[[#This Row],[StartMP]], ClosureLocation!$B$6 &gt;= Table4[[#This Row],[EndMP]]), "Yes", "")</f>
        <v/>
      </c>
      <c r="R1671" s="1" t="str">
        <f>IF( OR( Table4[[#This Row],[PrimaryMatch]]="Yes", Table4[[#This Row],[SecondaryMatch]]="Yes"), "Yes", "")</f>
        <v/>
      </c>
    </row>
    <row r="1672" spans="1:18" hidden="1" x14ac:dyDescent="0.25">
      <c r="A1672" t="s">
        <v>776</v>
      </c>
      <c r="B1672" t="s">
        <v>3209</v>
      </c>
      <c r="C1672" t="s">
        <v>3226</v>
      </c>
      <c r="D1672" t="s">
        <v>3749</v>
      </c>
      <c r="E1672" s="1">
        <v>146.93600499999999</v>
      </c>
      <c r="F1672" s="1">
        <v>146.26499899999999</v>
      </c>
      <c r="K1672" s="39">
        <f>DefaultValues!$B$4</f>
        <v>5</v>
      </c>
      <c r="L1672" s="1">
        <f>DefaultValues!$C$4</f>
        <v>0.5</v>
      </c>
      <c r="M1672" s="1" t="str">
        <f>DefaultValues!$D$4</f>
        <v xml:space="preserve">- Within interchange - </v>
      </c>
      <c r="N1672" s="1">
        <v>853.06402600000001</v>
      </c>
      <c r="O1672" s="1">
        <f>ABS(Table4[[#This Row],[EndMP]]-Table4[[#This Row],[StartMP]])</f>
        <v>0.67100600000000554</v>
      </c>
      <c r="P1672" s="1" t="str">
        <f>IF( AND( Table4[[#This Row],[Route]]=ClosureLocation!$B$3, ClosureLocation!$B$6 &gt;= Table4[[#This Row],[StartMP]], ClosureLocation!$B$6 &lt;= Table4[[#This Row],[EndMP]]), "Yes", "")</f>
        <v/>
      </c>
      <c r="Q1672" s="1" t="str">
        <f>IF( AND( Table4[[#This Row],[Route]]=ClosureLocation!$B$3, ClosureLocation!$B$6 &lt;= Table4[[#This Row],[StartMP]], ClosureLocation!$B$6 &gt;= Table4[[#This Row],[EndMP]]), "Yes", "")</f>
        <v/>
      </c>
      <c r="R1672" s="1" t="str">
        <f>IF( OR( Table4[[#This Row],[PrimaryMatch]]="Yes", Table4[[#This Row],[SecondaryMatch]]="Yes"), "Yes", "")</f>
        <v/>
      </c>
    </row>
    <row r="1673" spans="1:18" hidden="1" x14ac:dyDescent="0.25">
      <c r="A1673" t="s">
        <v>776</v>
      </c>
      <c r="B1673" t="s">
        <v>3209</v>
      </c>
      <c r="C1673" t="s">
        <v>3226</v>
      </c>
      <c r="D1673" t="s">
        <v>3749</v>
      </c>
      <c r="E1673" s="1">
        <v>139.871002</v>
      </c>
      <c r="F1673" s="1">
        <v>139.24800099999999</v>
      </c>
      <c r="K1673" s="39">
        <f>DefaultValues!$B$4</f>
        <v>5</v>
      </c>
      <c r="L1673" s="1">
        <f>DefaultValues!$C$4</f>
        <v>0.5</v>
      </c>
      <c r="M1673" s="1" t="str">
        <f>DefaultValues!$D$4</f>
        <v xml:space="preserve">- Within interchange - </v>
      </c>
      <c r="N1673" s="1">
        <v>860.12902799999995</v>
      </c>
      <c r="O1673" s="1">
        <f>ABS(Table4[[#This Row],[EndMP]]-Table4[[#This Row],[StartMP]])</f>
        <v>0.62300100000001635</v>
      </c>
      <c r="P1673" s="1" t="str">
        <f>IF( AND( Table4[[#This Row],[Route]]=ClosureLocation!$B$3, ClosureLocation!$B$6 &gt;= Table4[[#This Row],[StartMP]], ClosureLocation!$B$6 &lt;= Table4[[#This Row],[EndMP]]), "Yes", "")</f>
        <v/>
      </c>
      <c r="Q1673" s="1" t="str">
        <f>IF( AND( Table4[[#This Row],[Route]]=ClosureLocation!$B$3, ClosureLocation!$B$6 &lt;= Table4[[#This Row],[StartMP]], ClosureLocation!$B$6 &gt;= Table4[[#This Row],[EndMP]]), "Yes", "")</f>
        <v/>
      </c>
      <c r="R1673" s="1" t="str">
        <f>IF( OR( Table4[[#This Row],[PrimaryMatch]]="Yes", Table4[[#This Row],[SecondaryMatch]]="Yes"), "Yes", "")</f>
        <v/>
      </c>
    </row>
    <row r="1674" spans="1:18" hidden="1" x14ac:dyDescent="0.25">
      <c r="A1674" t="s">
        <v>776</v>
      </c>
      <c r="B1674" t="s">
        <v>3209</v>
      </c>
      <c r="C1674" t="s">
        <v>3226</v>
      </c>
      <c r="D1674" t="s">
        <v>3749</v>
      </c>
      <c r="E1674" s="1">
        <v>134.05299400000001</v>
      </c>
      <c r="F1674" s="1">
        <v>133.294006</v>
      </c>
      <c r="K1674" s="39">
        <f>DefaultValues!$B$4</f>
        <v>5</v>
      </c>
      <c r="L1674" s="1">
        <f>DefaultValues!$C$4</f>
        <v>0.5</v>
      </c>
      <c r="M1674" s="1" t="str">
        <f>DefaultValues!$D$4</f>
        <v xml:space="preserve">- Within interchange - </v>
      </c>
      <c r="N1674" s="1">
        <v>865.94702099999995</v>
      </c>
      <c r="O1674" s="1">
        <f>ABS(Table4[[#This Row],[EndMP]]-Table4[[#This Row],[StartMP]])</f>
        <v>0.75898800000001643</v>
      </c>
      <c r="P1674" s="1" t="str">
        <f>IF( AND( Table4[[#This Row],[Route]]=ClosureLocation!$B$3, ClosureLocation!$B$6 &gt;= Table4[[#This Row],[StartMP]], ClosureLocation!$B$6 &lt;= Table4[[#This Row],[EndMP]]), "Yes", "")</f>
        <v/>
      </c>
      <c r="Q1674" s="1" t="str">
        <f>IF( AND( Table4[[#This Row],[Route]]=ClosureLocation!$B$3, ClosureLocation!$B$6 &lt;= Table4[[#This Row],[StartMP]], ClosureLocation!$B$6 &gt;= Table4[[#This Row],[EndMP]]), "Yes", "")</f>
        <v/>
      </c>
      <c r="R1674" s="1" t="str">
        <f>IF( OR( Table4[[#This Row],[PrimaryMatch]]="Yes", Table4[[#This Row],[SecondaryMatch]]="Yes"), "Yes", "")</f>
        <v/>
      </c>
    </row>
    <row r="1675" spans="1:18" hidden="1" x14ac:dyDescent="0.25">
      <c r="A1675" t="s">
        <v>776</v>
      </c>
      <c r="B1675" t="s">
        <v>3209</v>
      </c>
      <c r="C1675" t="s">
        <v>3226</v>
      </c>
      <c r="D1675" t="s">
        <v>3749</v>
      </c>
      <c r="E1675" s="1">
        <v>128.634995</v>
      </c>
      <c r="F1675" s="1">
        <v>128.26499899999999</v>
      </c>
      <c r="K1675" s="39">
        <f>DefaultValues!$B$4</f>
        <v>5</v>
      </c>
      <c r="L1675" s="1">
        <f>DefaultValues!$C$4</f>
        <v>0.5</v>
      </c>
      <c r="M1675" s="1" t="str">
        <f>DefaultValues!$D$4</f>
        <v xml:space="preserve">- Within interchange - </v>
      </c>
      <c r="N1675" s="1">
        <v>871.36499000000003</v>
      </c>
      <c r="O1675" s="1">
        <f>ABS(Table4[[#This Row],[EndMP]]-Table4[[#This Row],[StartMP]])</f>
        <v>0.36999600000001465</v>
      </c>
      <c r="P1675" s="1" t="str">
        <f>IF( AND( Table4[[#This Row],[Route]]=ClosureLocation!$B$3, ClosureLocation!$B$6 &gt;= Table4[[#This Row],[StartMP]], ClosureLocation!$B$6 &lt;= Table4[[#This Row],[EndMP]]), "Yes", "")</f>
        <v/>
      </c>
      <c r="Q1675" s="1" t="str">
        <f>IF( AND( Table4[[#This Row],[Route]]=ClosureLocation!$B$3, ClosureLocation!$B$6 &lt;= Table4[[#This Row],[StartMP]], ClosureLocation!$B$6 &gt;= Table4[[#This Row],[EndMP]]), "Yes", "")</f>
        <v/>
      </c>
      <c r="R1675" s="1" t="str">
        <f>IF( OR( Table4[[#This Row],[PrimaryMatch]]="Yes", Table4[[#This Row],[SecondaryMatch]]="Yes"), "Yes", "")</f>
        <v/>
      </c>
    </row>
    <row r="1676" spans="1:18" hidden="1" x14ac:dyDescent="0.25">
      <c r="A1676" t="s">
        <v>776</v>
      </c>
      <c r="B1676" t="s">
        <v>3209</v>
      </c>
      <c r="C1676" t="s">
        <v>3226</v>
      </c>
      <c r="D1676" t="s">
        <v>3749</v>
      </c>
      <c r="E1676" s="1">
        <v>118.80500000000001</v>
      </c>
      <c r="F1676" s="1">
        <v>118.512001</v>
      </c>
      <c r="K1676" s="39">
        <f>DefaultValues!$B$4</f>
        <v>5</v>
      </c>
      <c r="L1676" s="1">
        <f>DefaultValues!$C$4</f>
        <v>0.5</v>
      </c>
      <c r="M1676" s="1" t="str">
        <f>DefaultValues!$D$4</f>
        <v xml:space="preserve">- Within interchange - </v>
      </c>
      <c r="N1676" s="1">
        <v>881.19500700000003</v>
      </c>
      <c r="O1676" s="1">
        <f>ABS(Table4[[#This Row],[EndMP]]-Table4[[#This Row],[StartMP]])</f>
        <v>0.29299900000000889</v>
      </c>
      <c r="P1676" s="1" t="str">
        <f>IF( AND( Table4[[#This Row],[Route]]=ClosureLocation!$B$3, ClosureLocation!$B$6 &gt;= Table4[[#This Row],[StartMP]], ClosureLocation!$B$6 &lt;= Table4[[#This Row],[EndMP]]), "Yes", "")</f>
        <v/>
      </c>
      <c r="Q1676" s="1" t="str">
        <f>IF( AND( Table4[[#This Row],[Route]]=ClosureLocation!$B$3, ClosureLocation!$B$6 &lt;= Table4[[#This Row],[StartMP]], ClosureLocation!$B$6 &gt;= Table4[[#This Row],[EndMP]]), "Yes", "")</f>
        <v/>
      </c>
      <c r="R1676" s="1" t="str">
        <f>IF( OR( Table4[[#This Row],[PrimaryMatch]]="Yes", Table4[[#This Row],[SecondaryMatch]]="Yes"), "Yes", "")</f>
        <v/>
      </c>
    </row>
    <row r="1677" spans="1:18" hidden="1" x14ac:dyDescent="0.25">
      <c r="A1677" t="s">
        <v>776</v>
      </c>
      <c r="B1677" t="s">
        <v>3209</v>
      </c>
      <c r="C1677" t="s">
        <v>3226</v>
      </c>
      <c r="D1677" t="s">
        <v>3749</v>
      </c>
      <c r="E1677" s="1">
        <v>116.540001</v>
      </c>
      <c r="F1677" s="1">
        <v>116.18499799999999</v>
      </c>
      <c r="K1677" s="39">
        <f>DefaultValues!$B$4</f>
        <v>5</v>
      </c>
      <c r="L1677" s="1">
        <f>DefaultValues!$C$4</f>
        <v>0.5</v>
      </c>
      <c r="M1677" s="1" t="str">
        <f>DefaultValues!$D$4</f>
        <v xml:space="preserve">- Within interchange - </v>
      </c>
      <c r="N1677" s="1">
        <v>883.46002199999998</v>
      </c>
      <c r="O1677" s="1">
        <f>ABS(Table4[[#This Row],[EndMP]]-Table4[[#This Row],[StartMP]])</f>
        <v>0.35500300000001062</v>
      </c>
      <c r="P1677" s="1" t="str">
        <f>IF( AND( Table4[[#This Row],[Route]]=ClosureLocation!$B$3, ClosureLocation!$B$6 &gt;= Table4[[#This Row],[StartMP]], ClosureLocation!$B$6 &lt;= Table4[[#This Row],[EndMP]]), "Yes", "")</f>
        <v/>
      </c>
      <c r="Q1677" s="1" t="str">
        <f>IF( AND( Table4[[#This Row],[Route]]=ClosureLocation!$B$3, ClosureLocation!$B$6 &lt;= Table4[[#This Row],[StartMP]], ClosureLocation!$B$6 &gt;= Table4[[#This Row],[EndMP]]), "Yes", "")</f>
        <v/>
      </c>
      <c r="R1677" s="1" t="str">
        <f>IF( OR( Table4[[#This Row],[PrimaryMatch]]="Yes", Table4[[#This Row],[SecondaryMatch]]="Yes"), "Yes", "")</f>
        <v/>
      </c>
    </row>
    <row r="1678" spans="1:18" hidden="1" x14ac:dyDescent="0.25">
      <c r="A1678" t="s">
        <v>776</v>
      </c>
      <c r="B1678" t="s">
        <v>3209</v>
      </c>
      <c r="C1678" t="s">
        <v>3226</v>
      </c>
      <c r="D1678" t="s">
        <v>3749</v>
      </c>
      <c r="E1678" s="1">
        <v>114.454002</v>
      </c>
      <c r="F1678" s="1">
        <v>114.125</v>
      </c>
      <c r="K1678" s="39">
        <f>DefaultValues!$B$4</f>
        <v>5</v>
      </c>
      <c r="L1678" s="1">
        <f>DefaultValues!$C$4</f>
        <v>0.5</v>
      </c>
      <c r="M1678" s="1" t="str">
        <f>DefaultValues!$D$4</f>
        <v xml:space="preserve">- Within interchange - </v>
      </c>
      <c r="N1678" s="1">
        <v>885.546021</v>
      </c>
      <c r="O1678" s="1">
        <f>ABS(Table4[[#This Row],[EndMP]]-Table4[[#This Row],[StartMP]])</f>
        <v>0.32900200000000268</v>
      </c>
      <c r="P1678" s="1" t="str">
        <f>IF( AND( Table4[[#This Row],[Route]]=ClosureLocation!$B$3, ClosureLocation!$B$6 &gt;= Table4[[#This Row],[StartMP]], ClosureLocation!$B$6 &lt;= Table4[[#This Row],[EndMP]]), "Yes", "")</f>
        <v/>
      </c>
      <c r="Q1678" s="1" t="str">
        <f>IF( AND( Table4[[#This Row],[Route]]=ClosureLocation!$B$3, ClosureLocation!$B$6 &lt;= Table4[[#This Row],[StartMP]], ClosureLocation!$B$6 &gt;= Table4[[#This Row],[EndMP]]), "Yes", "")</f>
        <v/>
      </c>
      <c r="R1678" s="1" t="str">
        <f>IF( OR( Table4[[#This Row],[PrimaryMatch]]="Yes", Table4[[#This Row],[SecondaryMatch]]="Yes"), "Yes", "")</f>
        <v/>
      </c>
    </row>
    <row r="1679" spans="1:18" hidden="1" x14ac:dyDescent="0.25">
      <c r="A1679" t="s">
        <v>776</v>
      </c>
      <c r="B1679" t="s">
        <v>3209</v>
      </c>
      <c r="C1679" t="s">
        <v>3226</v>
      </c>
      <c r="D1679" t="s">
        <v>3749</v>
      </c>
      <c r="E1679" s="1">
        <v>111.51300000000001</v>
      </c>
      <c r="F1679" s="1">
        <v>111.191002</v>
      </c>
      <c r="K1679" s="39">
        <f>DefaultValues!$B$4</f>
        <v>5</v>
      </c>
      <c r="L1679" s="1">
        <f>DefaultValues!$C$4</f>
        <v>0.5</v>
      </c>
      <c r="M1679" s="1" t="str">
        <f>DefaultValues!$D$4</f>
        <v xml:space="preserve">- Within interchange - </v>
      </c>
      <c r="N1679" s="1">
        <v>888.48699999999997</v>
      </c>
      <c r="O1679" s="1">
        <f>ABS(Table4[[#This Row],[EndMP]]-Table4[[#This Row],[StartMP]])</f>
        <v>0.32199800000000778</v>
      </c>
      <c r="P1679" s="1" t="str">
        <f>IF( AND( Table4[[#This Row],[Route]]=ClosureLocation!$B$3, ClosureLocation!$B$6 &gt;= Table4[[#This Row],[StartMP]], ClosureLocation!$B$6 &lt;= Table4[[#This Row],[EndMP]]), "Yes", "")</f>
        <v/>
      </c>
      <c r="Q1679" s="1" t="str">
        <f>IF( AND( Table4[[#This Row],[Route]]=ClosureLocation!$B$3, ClosureLocation!$B$6 &lt;= Table4[[#This Row],[StartMP]], ClosureLocation!$B$6 &gt;= Table4[[#This Row],[EndMP]]), "Yes", "")</f>
        <v/>
      </c>
      <c r="R1679" s="1" t="str">
        <f>IF( OR( Table4[[#This Row],[PrimaryMatch]]="Yes", Table4[[#This Row],[SecondaryMatch]]="Yes"), "Yes", "")</f>
        <v/>
      </c>
    </row>
    <row r="1680" spans="1:18" hidden="1" x14ac:dyDescent="0.25">
      <c r="A1680" t="s">
        <v>776</v>
      </c>
      <c r="B1680" t="s">
        <v>3209</v>
      </c>
      <c r="C1680" t="s">
        <v>3226</v>
      </c>
      <c r="D1680" t="s">
        <v>3749</v>
      </c>
      <c r="E1680" s="1">
        <v>109.102997</v>
      </c>
      <c r="F1680" s="1">
        <v>108.883003</v>
      </c>
      <c r="K1680" s="39">
        <f>DefaultValues!$B$4</f>
        <v>5</v>
      </c>
      <c r="L1680" s="1">
        <f>DefaultValues!$C$4</f>
        <v>0.5</v>
      </c>
      <c r="M1680" s="1" t="str">
        <f>DefaultValues!$D$4</f>
        <v xml:space="preserve">- Within interchange - </v>
      </c>
      <c r="N1680" s="1">
        <v>890.896973</v>
      </c>
      <c r="O1680" s="1">
        <f>ABS(Table4[[#This Row],[EndMP]]-Table4[[#This Row],[StartMP]])</f>
        <v>0.2199939999999998</v>
      </c>
      <c r="P1680" s="1" t="str">
        <f>IF( AND( Table4[[#This Row],[Route]]=ClosureLocation!$B$3, ClosureLocation!$B$6 &gt;= Table4[[#This Row],[StartMP]], ClosureLocation!$B$6 &lt;= Table4[[#This Row],[EndMP]]), "Yes", "")</f>
        <v/>
      </c>
      <c r="Q1680" s="1" t="str">
        <f>IF( AND( Table4[[#This Row],[Route]]=ClosureLocation!$B$3, ClosureLocation!$B$6 &lt;= Table4[[#This Row],[StartMP]], ClosureLocation!$B$6 &gt;= Table4[[#This Row],[EndMP]]), "Yes", "")</f>
        <v/>
      </c>
      <c r="R1680" s="1" t="str">
        <f>IF( OR( Table4[[#This Row],[PrimaryMatch]]="Yes", Table4[[#This Row],[SecondaryMatch]]="Yes"), "Yes", "")</f>
        <v/>
      </c>
    </row>
    <row r="1681" spans="1:18" hidden="1" x14ac:dyDescent="0.25">
      <c r="A1681" t="s">
        <v>776</v>
      </c>
      <c r="B1681" t="s">
        <v>3209</v>
      </c>
      <c r="C1681" t="s">
        <v>3226</v>
      </c>
      <c r="D1681" t="s">
        <v>3749</v>
      </c>
      <c r="E1681" s="1">
        <v>105.533997</v>
      </c>
      <c r="F1681" s="1">
        <v>105.02600099999999</v>
      </c>
      <c r="K1681" s="39">
        <f>DefaultValues!$B$4</f>
        <v>5</v>
      </c>
      <c r="L1681" s="1">
        <f>DefaultValues!$C$4</f>
        <v>0.5</v>
      </c>
      <c r="M1681" s="1" t="str">
        <f>DefaultValues!$D$4</f>
        <v xml:space="preserve">- Within interchange - </v>
      </c>
      <c r="N1681" s="1">
        <v>894.466003</v>
      </c>
      <c r="O1681" s="1">
        <f>ABS(Table4[[#This Row],[EndMP]]-Table4[[#This Row],[StartMP]])</f>
        <v>0.50799600000000567</v>
      </c>
      <c r="P1681" s="1" t="str">
        <f>IF( AND( Table4[[#This Row],[Route]]=ClosureLocation!$B$3, ClosureLocation!$B$6 &gt;= Table4[[#This Row],[StartMP]], ClosureLocation!$B$6 &lt;= Table4[[#This Row],[EndMP]]), "Yes", "")</f>
        <v/>
      </c>
      <c r="Q1681" s="1" t="str">
        <f>IF( AND( Table4[[#This Row],[Route]]=ClosureLocation!$B$3, ClosureLocation!$B$6 &lt;= Table4[[#This Row],[StartMP]], ClosureLocation!$B$6 &gt;= Table4[[#This Row],[EndMP]]), "Yes", "")</f>
        <v/>
      </c>
      <c r="R1681" s="1" t="str">
        <f>IF( OR( Table4[[#This Row],[PrimaryMatch]]="Yes", Table4[[#This Row],[SecondaryMatch]]="Yes"), "Yes", "")</f>
        <v/>
      </c>
    </row>
    <row r="1682" spans="1:18" hidden="1" x14ac:dyDescent="0.25">
      <c r="A1682" t="s">
        <v>776</v>
      </c>
      <c r="B1682" t="s">
        <v>3209</v>
      </c>
      <c r="C1682" t="s">
        <v>3226</v>
      </c>
      <c r="D1682" t="s">
        <v>3749</v>
      </c>
      <c r="E1682" s="1">
        <v>97.559997999999993</v>
      </c>
      <c r="F1682" s="1">
        <v>97.237999000000002</v>
      </c>
      <c r="K1682" s="39">
        <f>DefaultValues!$B$4</f>
        <v>5</v>
      </c>
      <c r="L1682" s="1">
        <f>DefaultValues!$C$4</f>
        <v>0.5</v>
      </c>
      <c r="M1682" s="1" t="str">
        <f>DefaultValues!$D$4</f>
        <v xml:space="preserve">- Within interchange - </v>
      </c>
      <c r="N1682" s="1">
        <v>902.44000200000005</v>
      </c>
      <c r="O1682" s="1">
        <f>ABS(Table4[[#This Row],[EndMP]]-Table4[[#This Row],[StartMP]])</f>
        <v>0.32199899999999104</v>
      </c>
      <c r="P1682" s="1" t="str">
        <f>IF( AND( Table4[[#This Row],[Route]]=ClosureLocation!$B$3, ClosureLocation!$B$6 &gt;= Table4[[#This Row],[StartMP]], ClosureLocation!$B$6 &lt;= Table4[[#This Row],[EndMP]]), "Yes", "")</f>
        <v/>
      </c>
      <c r="Q1682" s="1" t="str">
        <f>IF( AND( Table4[[#This Row],[Route]]=ClosureLocation!$B$3, ClosureLocation!$B$6 &lt;= Table4[[#This Row],[StartMP]], ClosureLocation!$B$6 &gt;= Table4[[#This Row],[EndMP]]), "Yes", "")</f>
        <v/>
      </c>
      <c r="R1682" s="1" t="str">
        <f>IF( OR( Table4[[#This Row],[PrimaryMatch]]="Yes", Table4[[#This Row],[SecondaryMatch]]="Yes"), "Yes", "")</f>
        <v/>
      </c>
    </row>
    <row r="1683" spans="1:18" hidden="1" x14ac:dyDescent="0.25">
      <c r="A1683" t="s">
        <v>776</v>
      </c>
      <c r="B1683" t="s">
        <v>3209</v>
      </c>
      <c r="C1683" t="s">
        <v>3226</v>
      </c>
      <c r="D1683" t="s">
        <v>3749</v>
      </c>
      <c r="E1683" s="1">
        <v>94.351996999999997</v>
      </c>
      <c r="F1683" s="1">
        <v>93.637000999999998</v>
      </c>
      <c r="K1683" s="39">
        <f>DefaultValues!$B$4</f>
        <v>5</v>
      </c>
      <c r="L1683" s="1">
        <f>DefaultValues!$C$4</f>
        <v>0.5</v>
      </c>
      <c r="M1683" s="1" t="str">
        <f>DefaultValues!$D$4</f>
        <v xml:space="preserve">- Within interchange - </v>
      </c>
      <c r="N1683" s="1">
        <v>905.64801</v>
      </c>
      <c r="O1683" s="1">
        <f>ABS(Table4[[#This Row],[EndMP]]-Table4[[#This Row],[StartMP]])</f>
        <v>0.7149959999999993</v>
      </c>
      <c r="P1683" s="1" t="str">
        <f>IF( AND( Table4[[#This Row],[Route]]=ClosureLocation!$B$3, ClosureLocation!$B$6 &gt;= Table4[[#This Row],[StartMP]], ClosureLocation!$B$6 &lt;= Table4[[#This Row],[EndMP]]), "Yes", "")</f>
        <v/>
      </c>
      <c r="Q1683" s="1" t="str">
        <f>IF( AND( Table4[[#This Row],[Route]]=ClosureLocation!$B$3, ClosureLocation!$B$6 &lt;= Table4[[#This Row],[StartMP]], ClosureLocation!$B$6 &gt;= Table4[[#This Row],[EndMP]]), "Yes", "")</f>
        <v/>
      </c>
      <c r="R1683" s="1" t="str">
        <f>IF( OR( Table4[[#This Row],[PrimaryMatch]]="Yes", Table4[[#This Row],[SecondaryMatch]]="Yes"), "Yes", "")</f>
        <v/>
      </c>
    </row>
    <row r="1684" spans="1:18" hidden="1" x14ac:dyDescent="0.25">
      <c r="A1684" t="s">
        <v>776</v>
      </c>
      <c r="B1684" t="s">
        <v>3209</v>
      </c>
      <c r="C1684" t="s">
        <v>3226</v>
      </c>
      <c r="D1684" t="s">
        <v>3749</v>
      </c>
      <c r="E1684" s="1">
        <v>90.625</v>
      </c>
      <c r="F1684" s="1">
        <v>90</v>
      </c>
      <c r="K1684" s="39">
        <f>DefaultValues!$B$4</f>
        <v>5</v>
      </c>
      <c r="L1684" s="1">
        <f>DefaultValues!$C$4</f>
        <v>0.5</v>
      </c>
      <c r="M1684" s="1" t="str">
        <f>DefaultValues!$D$4</f>
        <v xml:space="preserve">- Within interchange - </v>
      </c>
      <c r="N1684" s="1">
        <v>909.375</v>
      </c>
      <c r="O1684" s="1">
        <f>ABS(Table4[[#This Row],[EndMP]]-Table4[[#This Row],[StartMP]])</f>
        <v>0.625</v>
      </c>
      <c r="P1684" s="1" t="str">
        <f>IF( AND( Table4[[#This Row],[Route]]=ClosureLocation!$B$3, ClosureLocation!$B$6 &gt;= Table4[[#This Row],[StartMP]], ClosureLocation!$B$6 &lt;= Table4[[#This Row],[EndMP]]), "Yes", "")</f>
        <v/>
      </c>
      <c r="Q1684" s="1" t="str">
        <f>IF( AND( Table4[[#This Row],[Route]]=ClosureLocation!$B$3, ClosureLocation!$B$6 &lt;= Table4[[#This Row],[StartMP]], ClosureLocation!$B$6 &gt;= Table4[[#This Row],[EndMP]]), "Yes", "")</f>
        <v/>
      </c>
      <c r="R1684" s="1" t="str">
        <f>IF( OR( Table4[[#This Row],[PrimaryMatch]]="Yes", Table4[[#This Row],[SecondaryMatch]]="Yes"), "Yes", "")</f>
        <v/>
      </c>
    </row>
    <row r="1685" spans="1:18" hidden="1" x14ac:dyDescent="0.25">
      <c r="A1685" t="s">
        <v>776</v>
      </c>
      <c r="B1685" t="s">
        <v>3209</v>
      </c>
      <c r="C1685" t="s">
        <v>3226</v>
      </c>
      <c r="D1685" t="s">
        <v>3749</v>
      </c>
      <c r="E1685" s="1">
        <v>87.013000000000005</v>
      </c>
      <c r="F1685" s="1">
        <v>86.696999000000005</v>
      </c>
      <c r="K1685" s="39">
        <f>DefaultValues!$B$4</f>
        <v>5</v>
      </c>
      <c r="L1685" s="1">
        <f>DefaultValues!$C$4</f>
        <v>0.5</v>
      </c>
      <c r="M1685" s="1" t="str">
        <f>DefaultValues!$D$4</f>
        <v xml:space="preserve">- Within interchange - </v>
      </c>
      <c r="N1685" s="1">
        <v>912.98699999999997</v>
      </c>
      <c r="O1685" s="1">
        <f>ABS(Table4[[#This Row],[EndMP]]-Table4[[#This Row],[StartMP]])</f>
        <v>0.31600099999999998</v>
      </c>
      <c r="P1685" s="1" t="str">
        <f>IF( AND( Table4[[#This Row],[Route]]=ClosureLocation!$B$3, ClosureLocation!$B$6 &gt;= Table4[[#This Row],[StartMP]], ClosureLocation!$B$6 &lt;= Table4[[#This Row],[EndMP]]), "Yes", "")</f>
        <v/>
      </c>
      <c r="Q1685" s="1" t="str">
        <f>IF( AND( Table4[[#This Row],[Route]]=ClosureLocation!$B$3, ClosureLocation!$B$6 &lt;= Table4[[#This Row],[StartMP]], ClosureLocation!$B$6 &gt;= Table4[[#This Row],[EndMP]]), "Yes", "")</f>
        <v/>
      </c>
      <c r="R1685" s="1" t="str">
        <f>IF( OR( Table4[[#This Row],[PrimaryMatch]]="Yes", Table4[[#This Row],[SecondaryMatch]]="Yes"), "Yes", "")</f>
        <v/>
      </c>
    </row>
    <row r="1686" spans="1:18" hidden="1" x14ac:dyDescent="0.25">
      <c r="A1686" t="s">
        <v>776</v>
      </c>
      <c r="B1686" t="s">
        <v>3209</v>
      </c>
      <c r="C1686" t="s">
        <v>3226</v>
      </c>
      <c r="D1686" t="s">
        <v>3749</v>
      </c>
      <c r="E1686" s="1">
        <v>81.617996000000005</v>
      </c>
      <c r="F1686" s="1">
        <v>81.110000999999997</v>
      </c>
      <c r="K1686" s="39">
        <f>DefaultValues!$B$4</f>
        <v>5</v>
      </c>
      <c r="L1686" s="1">
        <f>DefaultValues!$C$4</f>
        <v>0.5</v>
      </c>
      <c r="M1686" s="1" t="str">
        <f>DefaultValues!$D$4</f>
        <v xml:space="preserve">- Within interchange - </v>
      </c>
      <c r="N1686" s="1">
        <v>918.38201900000001</v>
      </c>
      <c r="O1686" s="1">
        <f>ABS(Table4[[#This Row],[EndMP]]-Table4[[#This Row],[StartMP]])</f>
        <v>0.50799500000000819</v>
      </c>
      <c r="P1686" s="1" t="str">
        <f>IF( AND( Table4[[#This Row],[Route]]=ClosureLocation!$B$3, ClosureLocation!$B$6 &gt;= Table4[[#This Row],[StartMP]], ClosureLocation!$B$6 &lt;= Table4[[#This Row],[EndMP]]), "Yes", "")</f>
        <v/>
      </c>
      <c r="Q1686" s="1" t="str">
        <f>IF( AND( Table4[[#This Row],[Route]]=ClosureLocation!$B$3, ClosureLocation!$B$6 &lt;= Table4[[#This Row],[StartMP]], ClosureLocation!$B$6 &gt;= Table4[[#This Row],[EndMP]]), "Yes", "")</f>
        <v/>
      </c>
      <c r="R1686" s="1" t="str">
        <f>IF( OR( Table4[[#This Row],[PrimaryMatch]]="Yes", Table4[[#This Row],[SecondaryMatch]]="Yes"), "Yes", "")</f>
        <v/>
      </c>
    </row>
    <row r="1687" spans="1:18" hidden="1" x14ac:dyDescent="0.25">
      <c r="A1687" t="s">
        <v>776</v>
      </c>
      <c r="B1687" t="s">
        <v>3209</v>
      </c>
      <c r="C1687" t="s">
        <v>3226</v>
      </c>
      <c r="D1687" t="s">
        <v>3749</v>
      </c>
      <c r="E1687" s="1">
        <v>74.930000000000007</v>
      </c>
      <c r="F1687" s="1">
        <v>74.429001</v>
      </c>
      <c r="K1687" s="39">
        <f>DefaultValues!$B$4</f>
        <v>5</v>
      </c>
      <c r="L1687" s="1">
        <f>DefaultValues!$C$4</f>
        <v>0.5</v>
      </c>
      <c r="M1687" s="1" t="str">
        <f>DefaultValues!$D$4</f>
        <v xml:space="preserve">- Within interchange - </v>
      </c>
      <c r="N1687" s="1">
        <v>925.07000700000003</v>
      </c>
      <c r="O1687" s="1">
        <f>ABS(Table4[[#This Row],[EndMP]]-Table4[[#This Row],[StartMP]])</f>
        <v>0.5009990000000073</v>
      </c>
      <c r="P1687" s="1" t="str">
        <f>IF( AND( Table4[[#This Row],[Route]]=ClosureLocation!$B$3, ClosureLocation!$B$6 &gt;= Table4[[#This Row],[StartMP]], ClosureLocation!$B$6 &lt;= Table4[[#This Row],[EndMP]]), "Yes", "")</f>
        <v/>
      </c>
      <c r="Q1687" s="1" t="str">
        <f>IF( AND( Table4[[#This Row],[Route]]=ClosureLocation!$B$3, ClosureLocation!$B$6 &lt;= Table4[[#This Row],[StartMP]], ClosureLocation!$B$6 &gt;= Table4[[#This Row],[EndMP]]), "Yes", "")</f>
        <v/>
      </c>
      <c r="R1687" s="1" t="str">
        <f>IF( OR( Table4[[#This Row],[PrimaryMatch]]="Yes", Table4[[#This Row],[SecondaryMatch]]="Yes"), "Yes", "")</f>
        <v/>
      </c>
    </row>
    <row r="1688" spans="1:18" hidden="1" x14ac:dyDescent="0.25">
      <c r="A1688" t="s">
        <v>776</v>
      </c>
      <c r="B1688" t="s">
        <v>3209</v>
      </c>
      <c r="C1688" t="s">
        <v>3226</v>
      </c>
      <c r="D1688" t="s">
        <v>3749</v>
      </c>
      <c r="E1688" s="1">
        <v>62</v>
      </c>
      <c r="F1688" s="1">
        <v>61.241000999999997</v>
      </c>
      <c r="K1688" s="39">
        <f>DefaultValues!$B$4</f>
        <v>5</v>
      </c>
      <c r="L1688" s="1">
        <f>DefaultValues!$C$4</f>
        <v>0.5</v>
      </c>
      <c r="M1688" s="1" t="str">
        <f>DefaultValues!$D$4</f>
        <v xml:space="preserve">- Within interchange - </v>
      </c>
      <c r="N1688" s="1">
        <v>938</v>
      </c>
      <c r="O1688" s="1">
        <f>ABS(Table4[[#This Row],[EndMP]]-Table4[[#This Row],[StartMP]])</f>
        <v>0.75899900000000287</v>
      </c>
      <c r="P1688" s="1" t="str">
        <f>IF( AND( Table4[[#This Row],[Route]]=ClosureLocation!$B$3, ClosureLocation!$B$6 &gt;= Table4[[#This Row],[StartMP]], ClosureLocation!$B$6 &lt;= Table4[[#This Row],[EndMP]]), "Yes", "")</f>
        <v/>
      </c>
      <c r="Q1688" s="1" t="str">
        <f>IF( AND( Table4[[#This Row],[Route]]=ClosureLocation!$B$3, ClosureLocation!$B$6 &lt;= Table4[[#This Row],[StartMP]], ClosureLocation!$B$6 &gt;= Table4[[#This Row],[EndMP]]), "Yes", "")</f>
        <v/>
      </c>
      <c r="R1688" s="1" t="str">
        <f>IF( OR( Table4[[#This Row],[PrimaryMatch]]="Yes", Table4[[#This Row],[SecondaryMatch]]="Yes"), "Yes", "")</f>
        <v/>
      </c>
    </row>
    <row r="1689" spans="1:18" hidden="1" x14ac:dyDescent="0.25">
      <c r="A1689" t="s">
        <v>776</v>
      </c>
      <c r="B1689" t="s">
        <v>3209</v>
      </c>
      <c r="C1689" t="s">
        <v>3226</v>
      </c>
      <c r="D1689" t="s">
        <v>3749</v>
      </c>
      <c r="E1689" s="1">
        <v>49.120998</v>
      </c>
      <c r="F1689" s="1">
        <v>48.828999000000003</v>
      </c>
      <c r="K1689" s="39">
        <f>DefaultValues!$B$4</f>
        <v>5</v>
      </c>
      <c r="L1689" s="1">
        <f>DefaultValues!$C$4</f>
        <v>0.5</v>
      </c>
      <c r="M1689" s="1" t="str">
        <f>DefaultValues!$D$4</f>
        <v xml:space="preserve">- Within interchange - </v>
      </c>
      <c r="N1689" s="1">
        <v>950.87902799999995</v>
      </c>
      <c r="O1689" s="1">
        <f>ABS(Table4[[#This Row],[EndMP]]-Table4[[#This Row],[StartMP]])</f>
        <v>0.29199899999999701</v>
      </c>
      <c r="P1689" s="1" t="str">
        <f>IF( AND( Table4[[#This Row],[Route]]=ClosureLocation!$B$3, ClosureLocation!$B$6 &gt;= Table4[[#This Row],[StartMP]], ClosureLocation!$B$6 &lt;= Table4[[#This Row],[EndMP]]), "Yes", "")</f>
        <v/>
      </c>
      <c r="Q1689" s="1" t="str">
        <f>IF( AND( Table4[[#This Row],[Route]]=ClosureLocation!$B$3, ClosureLocation!$B$6 &lt;= Table4[[#This Row],[StartMP]], ClosureLocation!$B$6 &gt;= Table4[[#This Row],[EndMP]]), "Yes", "")</f>
        <v/>
      </c>
      <c r="R1689" s="1" t="str">
        <f>IF( OR( Table4[[#This Row],[PrimaryMatch]]="Yes", Table4[[#This Row],[SecondaryMatch]]="Yes"), "Yes", "")</f>
        <v/>
      </c>
    </row>
    <row r="1690" spans="1:18" hidden="1" x14ac:dyDescent="0.25">
      <c r="A1690" t="s">
        <v>776</v>
      </c>
      <c r="B1690" t="s">
        <v>3209</v>
      </c>
      <c r="C1690" t="s">
        <v>3226</v>
      </c>
      <c r="D1690" t="s">
        <v>3749</v>
      </c>
      <c r="E1690" s="1">
        <v>45.391998000000001</v>
      </c>
      <c r="F1690" s="1">
        <v>45.112000000000002</v>
      </c>
      <c r="K1690" s="39">
        <f>DefaultValues!$B$4</f>
        <v>5</v>
      </c>
      <c r="L1690" s="1">
        <f>DefaultValues!$C$4</f>
        <v>0.5</v>
      </c>
      <c r="M1690" s="1" t="str">
        <f>DefaultValues!$D$4</f>
        <v xml:space="preserve">- Within interchange - </v>
      </c>
      <c r="N1690" s="1">
        <v>954.60797100000002</v>
      </c>
      <c r="O1690" s="1">
        <f>ABS(Table4[[#This Row],[EndMP]]-Table4[[#This Row],[StartMP]])</f>
        <v>0.27999799999999908</v>
      </c>
      <c r="P1690" s="1" t="str">
        <f>IF( AND( Table4[[#This Row],[Route]]=ClosureLocation!$B$3, ClosureLocation!$B$6 &gt;= Table4[[#This Row],[StartMP]], ClosureLocation!$B$6 &lt;= Table4[[#This Row],[EndMP]]), "Yes", "")</f>
        <v/>
      </c>
      <c r="Q1690" s="1" t="str">
        <f>IF( AND( Table4[[#This Row],[Route]]=ClosureLocation!$B$3, ClosureLocation!$B$6 &lt;= Table4[[#This Row],[StartMP]], ClosureLocation!$B$6 &gt;= Table4[[#This Row],[EndMP]]), "Yes", "")</f>
        <v/>
      </c>
      <c r="R1690" s="1" t="str">
        <f>IF( OR( Table4[[#This Row],[PrimaryMatch]]="Yes", Table4[[#This Row],[SecondaryMatch]]="Yes"), "Yes", "")</f>
        <v/>
      </c>
    </row>
    <row r="1691" spans="1:18" hidden="1" x14ac:dyDescent="0.25">
      <c r="A1691" t="s">
        <v>776</v>
      </c>
      <c r="B1691" t="s">
        <v>3209</v>
      </c>
      <c r="C1691" t="s">
        <v>3226</v>
      </c>
      <c r="D1691" t="s">
        <v>3749</v>
      </c>
      <c r="E1691" s="1">
        <v>41.771999000000001</v>
      </c>
      <c r="F1691" s="1">
        <v>41.353000999999999</v>
      </c>
      <c r="K1691" s="39">
        <f>DefaultValues!$B$4</f>
        <v>5</v>
      </c>
      <c r="L1691" s="1">
        <f>DefaultValues!$C$4</f>
        <v>0.5</v>
      </c>
      <c r="M1691" s="1" t="str">
        <f>DefaultValues!$D$4</f>
        <v xml:space="preserve">- Within interchange - </v>
      </c>
      <c r="N1691" s="1">
        <v>958.228027</v>
      </c>
      <c r="O1691" s="1">
        <f>ABS(Table4[[#This Row],[EndMP]]-Table4[[#This Row],[StartMP]])</f>
        <v>0.41899800000000198</v>
      </c>
      <c r="P1691" s="1" t="str">
        <f>IF( AND( Table4[[#This Row],[Route]]=ClosureLocation!$B$3, ClosureLocation!$B$6 &gt;= Table4[[#This Row],[StartMP]], ClosureLocation!$B$6 &lt;= Table4[[#This Row],[EndMP]]), "Yes", "")</f>
        <v/>
      </c>
      <c r="Q1691" s="1" t="str">
        <f>IF( AND( Table4[[#This Row],[Route]]=ClosureLocation!$B$3, ClosureLocation!$B$6 &lt;= Table4[[#This Row],[StartMP]], ClosureLocation!$B$6 &gt;= Table4[[#This Row],[EndMP]]), "Yes", "")</f>
        <v/>
      </c>
      <c r="R1691" s="1" t="str">
        <f>IF( OR( Table4[[#This Row],[PrimaryMatch]]="Yes", Table4[[#This Row],[SecondaryMatch]]="Yes"), "Yes", "")</f>
        <v/>
      </c>
    </row>
    <row r="1692" spans="1:18" hidden="1" x14ac:dyDescent="0.25">
      <c r="A1692" t="s">
        <v>776</v>
      </c>
      <c r="B1692" t="s">
        <v>3209</v>
      </c>
      <c r="C1692" t="s">
        <v>3226</v>
      </c>
      <c r="D1692" t="s">
        <v>3749</v>
      </c>
      <c r="E1692" s="1">
        <v>37.042999000000002</v>
      </c>
      <c r="F1692" s="1">
        <v>36.693001000000002</v>
      </c>
      <c r="K1692" s="39">
        <f>DefaultValues!$B$4</f>
        <v>5</v>
      </c>
      <c r="L1692" s="1">
        <f>DefaultValues!$C$4</f>
        <v>0.5</v>
      </c>
      <c r="M1692" s="1" t="str">
        <f>DefaultValues!$D$4</f>
        <v xml:space="preserve">- Within interchange - </v>
      </c>
      <c r="N1692" s="1">
        <v>962.95696999999996</v>
      </c>
      <c r="O1692" s="1">
        <f>ABS(Table4[[#This Row],[EndMP]]-Table4[[#This Row],[StartMP]])</f>
        <v>0.34999799999999937</v>
      </c>
      <c r="P1692" s="1" t="str">
        <f>IF( AND( Table4[[#This Row],[Route]]=ClosureLocation!$B$3, ClosureLocation!$B$6 &gt;= Table4[[#This Row],[StartMP]], ClosureLocation!$B$6 &lt;= Table4[[#This Row],[EndMP]]), "Yes", "")</f>
        <v/>
      </c>
      <c r="Q1692" s="1" t="str">
        <f>IF( AND( Table4[[#This Row],[Route]]=ClosureLocation!$B$3, ClosureLocation!$B$6 &lt;= Table4[[#This Row],[StartMP]], ClosureLocation!$B$6 &gt;= Table4[[#This Row],[EndMP]]), "Yes", "")</f>
        <v/>
      </c>
      <c r="R1692" s="1" t="str">
        <f>IF( OR( Table4[[#This Row],[PrimaryMatch]]="Yes", Table4[[#This Row],[SecondaryMatch]]="Yes"), "Yes", "")</f>
        <v/>
      </c>
    </row>
    <row r="1693" spans="1:18" hidden="1" x14ac:dyDescent="0.25">
      <c r="A1693" t="s">
        <v>776</v>
      </c>
      <c r="B1693" t="s">
        <v>3209</v>
      </c>
      <c r="C1693" t="s">
        <v>3226</v>
      </c>
      <c r="D1693" t="s">
        <v>3749</v>
      </c>
      <c r="E1693" s="1">
        <v>33</v>
      </c>
      <c r="F1693" s="1">
        <v>32.709000000000003</v>
      </c>
      <c r="K1693" s="39">
        <f>DefaultValues!$B$4</f>
        <v>5</v>
      </c>
      <c r="L1693" s="1">
        <f>DefaultValues!$C$4</f>
        <v>0.5</v>
      </c>
      <c r="M1693" s="1" t="str">
        <f>DefaultValues!$D$4</f>
        <v xml:space="preserve">- Within interchange - </v>
      </c>
      <c r="N1693" s="1">
        <v>967</v>
      </c>
      <c r="O1693" s="1">
        <f>ABS(Table4[[#This Row],[EndMP]]-Table4[[#This Row],[StartMP]])</f>
        <v>0.29099999999999682</v>
      </c>
      <c r="P1693" s="1" t="str">
        <f>IF( AND( Table4[[#This Row],[Route]]=ClosureLocation!$B$3, ClosureLocation!$B$6 &gt;= Table4[[#This Row],[StartMP]], ClosureLocation!$B$6 &lt;= Table4[[#This Row],[EndMP]]), "Yes", "")</f>
        <v/>
      </c>
      <c r="Q1693" s="1" t="str">
        <f>IF( AND( Table4[[#This Row],[Route]]=ClosureLocation!$B$3, ClosureLocation!$B$6 &lt;= Table4[[#This Row],[StartMP]], ClosureLocation!$B$6 &gt;= Table4[[#This Row],[EndMP]]), "Yes", "")</f>
        <v/>
      </c>
      <c r="R1693" s="1" t="str">
        <f>IF( OR( Table4[[#This Row],[PrimaryMatch]]="Yes", Table4[[#This Row],[SecondaryMatch]]="Yes"), "Yes", "")</f>
        <v/>
      </c>
    </row>
    <row r="1694" spans="1:18" hidden="1" x14ac:dyDescent="0.25">
      <c r="A1694" t="s">
        <v>776</v>
      </c>
      <c r="B1694" t="s">
        <v>3209</v>
      </c>
      <c r="C1694" t="s">
        <v>3226</v>
      </c>
      <c r="D1694" t="s">
        <v>3749</v>
      </c>
      <c r="E1694" s="1">
        <v>31.582001000000002</v>
      </c>
      <c r="F1694" s="1">
        <v>31.145</v>
      </c>
      <c r="K1694" s="39">
        <f>DefaultValues!$B$4</f>
        <v>5</v>
      </c>
      <c r="L1694" s="1">
        <f>DefaultValues!$C$4</f>
        <v>0.5</v>
      </c>
      <c r="M1694" s="1" t="str">
        <f>DefaultValues!$D$4</f>
        <v xml:space="preserve">- Within interchange - </v>
      </c>
      <c r="N1694" s="1">
        <v>968.41803000000004</v>
      </c>
      <c r="O1694" s="1">
        <f>ABS(Table4[[#This Row],[EndMP]]-Table4[[#This Row],[StartMP]])</f>
        <v>0.43700100000000219</v>
      </c>
      <c r="P1694" s="1" t="str">
        <f>IF( AND( Table4[[#This Row],[Route]]=ClosureLocation!$B$3, ClosureLocation!$B$6 &gt;= Table4[[#This Row],[StartMP]], ClosureLocation!$B$6 &lt;= Table4[[#This Row],[EndMP]]), "Yes", "")</f>
        <v/>
      </c>
      <c r="Q1694" s="1" t="str">
        <f>IF( AND( Table4[[#This Row],[Route]]=ClosureLocation!$B$3, ClosureLocation!$B$6 &lt;= Table4[[#This Row],[StartMP]], ClosureLocation!$B$6 &gt;= Table4[[#This Row],[EndMP]]), "Yes", "")</f>
        <v/>
      </c>
      <c r="R1694" s="1" t="str">
        <f>IF( OR( Table4[[#This Row],[PrimaryMatch]]="Yes", Table4[[#This Row],[SecondaryMatch]]="Yes"), "Yes", "")</f>
        <v/>
      </c>
    </row>
    <row r="1695" spans="1:18" hidden="1" x14ac:dyDescent="0.25">
      <c r="A1695" t="s">
        <v>776</v>
      </c>
      <c r="B1695" t="s">
        <v>3209</v>
      </c>
      <c r="C1695" t="s">
        <v>3226</v>
      </c>
      <c r="D1695" t="s">
        <v>3749</v>
      </c>
      <c r="E1695" s="1">
        <v>27.709999</v>
      </c>
      <c r="F1695" s="1">
        <v>27.353000999999999</v>
      </c>
      <c r="K1695" s="39">
        <f>DefaultValues!$B$4</f>
        <v>5</v>
      </c>
      <c r="L1695" s="1">
        <f>DefaultValues!$C$4</f>
        <v>0.5</v>
      </c>
      <c r="M1695" s="1" t="str">
        <f>DefaultValues!$D$4</f>
        <v xml:space="preserve">- Within interchange - </v>
      </c>
      <c r="N1695" s="1">
        <v>972.28997800000002</v>
      </c>
      <c r="O1695" s="1">
        <f>ABS(Table4[[#This Row],[EndMP]]-Table4[[#This Row],[StartMP]])</f>
        <v>0.35699800000000081</v>
      </c>
      <c r="P1695" s="1" t="str">
        <f>IF( AND( Table4[[#This Row],[Route]]=ClosureLocation!$B$3, ClosureLocation!$B$6 &gt;= Table4[[#This Row],[StartMP]], ClosureLocation!$B$6 &lt;= Table4[[#This Row],[EndMP]]), "Yes", "")</f>
        <v/>
      </c>
      <c r="Q1695" s="1" t="str">
        <f>IF( AND( Table4[[#This Row],[Route]]=ClosureLocation!$B$3, ClosureLocation!$B$6 &lt;= Table4[[#This Row],[StartMP]], ClosureLocation!$B$6 &gt;= Table4[[#This Row],[EndMP]]), "Yes", "")</f>
        <v/>
      </c>
      <c r="R1695" s="1" t="str">
        <f>IF( OR( Table4[[#This Row],[PrimaryMatch]]="Yes", Table4[[#This Row],[SecondaryMatch]]="Yes"), "Yes", "")</f>
        <v/>
      </c>
    </row>
    <row r="1696" spans="1:18" hidden="1" x14ac:dyDescent="0.25">
      <c r="A1696" t="s">
        <v>776</v>
      </c>
      <c r="B1696" t="s">
        <v>3209</v>
      </c>
      <c r="C1696" t="s">
        <v>3226</v>
      </c>
      <c r="D1696" t="s">
        <v>3749</v>
      </c>
      <c r="E1696" s="1">
        <v>25.872</v>
      </c>
      <c r="F1696" s="1">
        <v>25.358000000000001</v>
      </c>
      <c r="K1696" s="39">
        <f>DefaultValues!$B$4</f>
        <v>5</v>
      </c>
      <c r="L1696" s="1">
        <f>DefaultValues!$C$4</f>
        <v>0.5</v>
      </c>
      <c r="M1696" s="1" t="str">
        <f>DefaultValues!$D$4</f>
        <v xml:space="preserve">- Within interchange - </v>
      </c>
      <c r="N1696" s="1">
        <v>974.12799099999995</v>
      </c>
      <c r="O1696" s="1">
        <f>ABS(Table4[[#This Row],[EndMP]]-Table4[[#This Row],[StartMP]])</f>
        <v>0.51399999999999935</v>
      </c>
      <c r="P1696" s="1" t="str">
        <f>IF( AND( Table4[[#This Row],[Route]]=ClosureLocation!$B$3, ClosureLocation!$B$6 &gt;= Table4[[#This Row],[StartMP]], ClosureLocation!$B$6 &lt;= Table4[[#This Row],[EndMP]]), "Yes", "")</f>
        <v/>
      </c>
      <c r="Q1696" s="1" t="str">
        <f>IF( AND( Table4[[#This Row],[Route]]=ClosureLocation!$B$3, ClosureLocation!$B$6 &lt;= Table4[[#This Row],[StartMP]], ClosureLocation!$B$6 &gt;= Table4[[#This Row],[EndMP]]), "Yes", "")</f>
        <v/>
      </c>
      <c r="R1696" s="1" t="str">
        <f>IF( OR( Table4[[#This Row],[PrimaryMatch]]="Yes", Table4[[#This Row],[SecondaryMatch]]="Yes"), "Yes", "")</f>
        <v/>
      </c>
    </row>
    <row r="1697" spans="1:18" hidden="1" x14ac:dyDescent="0.25">
      <c r="A1697" t="s">
        <v>776</v>
      </c>
      <c r="B1697" t="s">
        <v>3209</v>
      </c>
      <c r="C1697" t="s">
        <v>3226</v>
      </c>
      <c r="D1697" t="s">
        <v>3749</v>
      </c>
      <c r="E1697" s="1">
        <v>19.704000000000001</v>
      </c>
      <c r="F1697" s="1">
        <v>19.149000000000001</v>
      </c>
      <c r="K1697" s="39">
        <f>DefaultValues!$B$4</f>
        <v>5</v>
      </c>
      <c r="L1697" s="1">
        <f>DefaultValues!$C$4</f>
        <v>0.5</v>
      </c>
      <c r="M1697" s="1" t="str">
        <f>DefaultValues!$D$4</f>
        <v xml:space="preserve">- Within interchange - </v>
      </c>
      <c r="N1697" s="1">
        <v>980.296021</v>
      </c>
      <c r="O1697" s="1">
        <f>ABS(Table4[[#This Row],[EndMP]]-Table4[[#This Row],[StartMP]])</f>
        <v>0.55499999999999972</v>
      </c>
      <c r="P1697" s="1" t="str">
        <f>IF( AND( Table4[[#This Row],[Route]]=ClosureLocation!$B$3, ClosureLocation!$B$6 &gt;= Table4[[#This Row],[StartMP]], ClosureLocation!$B$6 &lt;= Table4[[#This Row],[EndMP]]), "Yes", "")</f>
        <v/>
      </c>
      <c r="Q1697" s="1" t="str">
        <f>IF( AND( Table4[[#This Row],[Route]]=ClosureLocation!$B$3, ClosureLocation!$B$6 &lt;= Table4[[#This Row],[StartMP]], ClosureLocation!$B$6 &gt;= Table4[[#This Row],[EndMP]]), "Yes", "")</f>
        <v/>
      </c>
      <c r="R1697" s="1" t="str">
        <f>IF( OR( Table4[[#This Row],[PrimaryMatch]]="Yes", Table4[[#This Row],[SecondaryMatch]]="Yes"), "Yes", "")</f>
        <v/>
      </c>
    </row>
    <row r="1698" spans="1:18" hidden="1" x14ac:dyDescent="0.25">
      <c r="A1698" t="s">
        <v>776</v>
      </c>
      <c r="B1698" t="s">
        <v>3209</v>
      </c>
      <c r="C1698" t="s">
        <v>3226</v>
      </c>
      <c r="D1698" t="s">
        <v>3749</v>
      </c>
      <c r="E1698" s="1">
        <v>15.180999999999999</v>
      </c>
      <c r="F1698" s="1">
        <v>14.936999999999999</v>
      </c>
      <c r="K1698" s="39">
        <f>DefaultValues!$B$4</f>
        <v>5</v>
      </c>
      <c r="L1698" s="1">
        <f>DefaultValues!$C$4</f>
        <v>0.5</v>
      </c>
      <c r="M1698" s="1" t="str">
        <f>DefaultValues!$D$4</f>
        <v xml:space="preserve">- Within interchange - </v>
      </c>
      <c r="N1698" s="1">
        <v>984.81897000000004</v>
      </c>
      <c r="O1698" s="1">
        <f>ABS(Table4[[#This Row],[EndMP]]-Table4[[#This Row],[StartMP]])</f>
        <v>0.24399999999999977</v>
      </c>
      <c r="P1698" s="1" t="str">
        <f>IF( AND( Table4[[#This Row],[Route]]=ClosureLocation!$B$3, ClosureLocation!$B$6 &gt;= Table4[[#This Row],[StartMP]], ClosureLocation!$B$6 &lt;= Table4[[#This Row],[EndMP]]), "Yes", "")</f>
        <v/>
      </c>
      <c r="Q1698" s="1" t="str">
        <f>IF( AND( Table4[[#This Row],[Route]]=ClosureLocation!$B$3, ClosureLocation!$B$6 &lt;= Table4[[#This Row],[StartMP]], ClosureLocation!$B$6 &gt;= Table4[[#This Row],[EndMP]]), "Yes", "")</f>
        <v/>
      </c>
      <c r="R1698" s="1" t="str">
        <f>IF( OR( Table4[[#This Row],[PrimaryMatch]]="Yes", Table4[[#This Row],[SecondaryMatch]]="Yes"), "Yes", "")</f>
        <v/>
      </c>
    </row>
    <row r="1699" spans="1:18" hidden="1" x14ac:dyDescent="0.25">
      <c r="A1699" t="s">
        <v>776</v>
      </c>
      <c r="B1699" t="s">
        <v>3209</v>
      </c>
      <c r="C1699" t="s">
        <v>3226</v>
      </c>
      <c r="D1699" t="s">
        <v>3749</v>
      </c>
      <c r="E1699" s="1">
        <v>11.271000000000001</v>
      </c>
      <c r="F1699" s="1">
        <v>10.819000000000001</v>
      </c>
      <c r="K1699" s="39">
        <f>DefaultValues!$B$4</f>
        <v>5</v>
      </c>
      <c r="L1699" s="1">
        <f>DefaultValues!$C$4</f>
        <v>0.5</v>
      </c>
      <c r="M1699" s="1" t="str">
        <f>DefaultValues!$D$4</f>
        <v xml:space="preserve">- Within interchange - </v>
      </c>
      <c r="N1699" s="1">
        <v>988.72900400000003</v>
      </c>
      <c r="O1699" s="1">
        <f>ABS(Table4[[#This Row],[EndMP]]-Table4[[#This Row],[StartMP]])</f>
        <v>0.45199999999999996</v>
      </c>
      <c r="P1699" s="1" t="str">
        <f>IF( AND( Table4[[#This Row],[Route]]=ClosureLocation!$B$3, ClosureLocation!$B$6 &gt;= Table4[[#This Row],[StartMP]], ClosureLocation!$B$6 &lt;= Table4[[#This Row],[EndMP]]), "Yes", "")</f>
        <v/>
      </c>
      <c r="Q1699" s="1" t="str">
        <f>IF( AND( Table4[[#This Row],[Route]]=ClosureLocation!$B$3, ClosureLocation!$B$6 &lt;= Table4[[#This Row],[StartMP]], ClosureLocation!$B$6 &gt;= Table4[[#This Row],[EndMP]]), "Yes", "")</f>
        <v/>
      </c>
      <c r="R1699" s="1" t="str">
        <f>IF( OR( Table4[[#This Row],[PrimaryMatch]]="Yes", Table4[[#This Row],[SecondaryMatch]]="Yes"), "Yes", "")</f>
        <v/>
      </c>
    </row>
    <row r="1700" spans="1:18" hidden="1" x14ac:dyDescent="0.25">
      <c r="A1700" t="s">
        <v>776</v>
      </c>
      <c r="B1700" t="s">
        <v>3209</v>
      </c>
      <c r="C1700" t="s">
        <v>3226</v>
      </c>
      <c r="D1700" t="s">
        <v>3749</v>
      </c>
      <c r="E1700" s="1">
        <v>2.194</v>
      </c>
      <c r="F1700" s="1">
        <v>1.5409999999999999</v>
      </c>
      <c r="K1700" s="39">
        <f>DefaultValues!$B$4</f>
        <v>5</v>
      </c>
      <c r="L1700" s="1">
        <f>DefaultValues!$C$4</f>
        <v>0.5</v>
      </c>
      <c r="M1700" s="1" t="str">
        <f>DefaultValues!$D$4</f>
        <v xml:space="preserve">- Within interchange - </v>
      </c>
      <c r="N1700" s="1">
        <v>997.80602999999996</v>
      </c>
      <c r="O1700" s="1">
        <f>ABS(Table4[[#This Row],[EndMP]]-Table4[[#This Row],[StartMP]])</f>
        <v>0.65300000000000002</v>
      </c>
      <c r="P1700" s="1" t="str">
        <f>IF( AND( Table4[[#This Row],[Route]]=ClosureLocation!$B$3, ClosureLocation!$B$6 &gt;= Table4[[#This Row],[StartMP]], ClosureLocation!$B$6 &lt;= Table4[[#This Row],[EndMP]]), "Yes", "")</f>
        <v/>
      </c>
      <c r="Q1700" s="1" t="str">
        <f>IF( AND( Table4[[#This Row],[Route]]=ClosureLocation!$B$3, ClosureLocation!$B$6 &lt;= Table4[[#This Row],[StartMP]], ClosureLocation!$B$6 &gt;= Table4[[#This Row],[EndMP]]), "Yes", "")</f>
        <v/>
      </c>
      <c r="R1700" s="1" t="str">
        <f>IF( OR( Table4[[#This Row],[PrimaryMatch]]="Yes", Table4[[#This Row],[SecondaryMatch]]="Yes"), "Yes", "")</f>
        <v/>
      </c>
    </row>
    <row r="1701" spans="1:18" hidden="1" x14ac:dyDescent="0.25">
      <c r="A1701" t="s">
        <v>836</v>
      </c>
      <c r="B1701" t="s">
        <v>3205</v>
      </c>
      <c r="C1701" t="s">
        <v>3222</v>
      </c>
      <c r="D1701" t="s">
        <v>3750</v>
      </c>
      <c r="E1701" s="1">
        <v>9.1999999999999998E-2</v>
      </c>
      <c r="F1701" s="1">
        <v>0.155</v>
      </c>
      <c r="K1701" s="39">
        <f>DefaultValues!$B$4</f>
        <v>5</v>
      </c>
      <c r="L1701" s="1">
        <f>DefaultValues!$C$4</f>
        <v>0.5</v>
      </c>
      <c r="M1701" s="1" t="str">
        <f>DefaultValues!$D$4</f>
        <v xml:space="preserve">- Within interchange - </v>
      </c>
      <c r="N1701" s="1">
        <v>9.1999999999999998E-2</v>
      </c>
      <c r="O1701" s="1">
        <f>ABS(Table4[[#This Row],[EndMP]]-Table4[[#This Row],[StartMP]])</f>
        <v>6.3E-2</v>
      </c>
      <c r="P1701" s="1" t="str">
        <f>IF( AND( Table4[[#This Row],[Route]]=ClosureLocation!$B$3, ClosureLocation!$B$6 &gt;= Table4[[#This Row],[StartMP]], ClosureLocation!$B$6 &lt;= Table4[[#This Row],[EndMP]]), "Yes", "")</f>
        <v/>
      </c>
      <c r="Q1701" s="1" t="str">
        <f>IF( AND( Table4[[#This Row],[Route]]=ClosureLocation!$B$3, ClosureLocation!$B$6 &lt;= Table4[[#This Row],[StartMP]], ClosureLocation!$B$6 &gt;= Table4[[#This Row],[EndMP]]), "Yes", "")</f>
        <v/>
      </c>
      <c r="R1701" s="1" t="str">
        <f>IF( OR( Table4[[#This Row],[PrimaryMatch]]="Yes", Table4[[#This Row],[SecondaryMatch]]="Yes"), "Yes", "")</f>
        <v/>
      </c>
    </row>
    <row r="1702" spans="1:18" hidden="1" x14ac:dyDescent="0.25">
      <c r="A1702" t="s">
        <v>836</v>
      </c>
      <c r="B1702" t="s">
        <v>3205</v>
      </c>
      <c r="C1702" t="s">
        <v>3222</v>
      </c>
      <c r="D1702" t="s">
        <v>3750</v>
      </c>
      <c r="E1702" s="1">
        <v>2.1</v>
      </c>
      <c r="F1702" s="1">
        <v>2.673</v>
      </c>
      <c r="K1702" s="39">
        <f>DefaultValues!$B$4</f>
        <v>5</v>
      </c>
      <c r="L1702" s="1">
        <f>DefaultValues!$C$4</f>
        <v>0.5</v>
      </c>
      <c r="M1702" s="1" t="str">
        <f>DefaultValues!$D$4</f>
        <v xml:space="preserve">- Within interchange - </v>
      </c>
      <c r="N1702" s="1">
        <v>2.1</v>
      </c>
      <c r="O1702" s="1">
        <f>ABS(Table4[[#This Row],[EndMP]]-Table4[[#This Row],[StartMP]])</f>
        <v>0.57299999999999995</v>
      </c>
      <c r="P1702" s="1" t="str">
        <f>IF( AND( Table4[[#This Row],[Route]]=ClosureLocation!$B$3, ClosureLocation!$B$6 &gt;= Table4[[#This Row],[StartMP]], ClosureLocation!$B$6 &lt;= Table4[[#This Row],[EndMP]]), "Yes", "")</f>
        <v/>
      </c>
      <c r="Q1702" s="1" t="str">
        <f>IF( AND( Table4[[#This Row],[Route]]=ClosureLocation!$B$3, ClosureLocation!$B$6 &lt;= Table4[[#This Row],[StartMP]], ClosureLocation!$B$6 &gt;= Table4[[#This Row],[EndMP]]), "Yes", "")</f>
        <v/>
      </c>
      <c r="R1702" s="1" t="str">
        <f>IF( OR( Table4[[#This Row],[PrimaryMatch]]="Yes", Table4[[#This Row],[SecondaryMatch]]="Yes"), "Yes", "")</f>
        <v/>
      </c>
    </row>
    <row r="1703" spans="1:18" hidden="1" x14ac:dyDescent="0.25">
      <c r="A1703" t="s">
        <v>836</v>
      </c>
      <c r="B1703" t="s">
        <v>3205</v>
      </c>
      <c r="C1703" t="s">
        <v>3222</v>
      </c>
      <c r="D1703" t="s">
        <v>3750</v>
      </c>
      <c r="E1703" s="1">
        <v>12.869</v>
      </c>
      <c r="F1703" s="1">
        <v>13.265000000000001</v>
      </c>
      <c r="K1703" s="39">
        <f>DefaultValues!$B$4</f>
        <v>5</v>
      </c>
      <c r="L1703" s="1">
        <f>DefaultValues!$C$4</f>
        <v>0.5</v>
      </c>
      <c r="M1703" s="1" t="str">
        <f>DefaultValues!$D$4</f>
        <v xml:space="preserve">- Within interchange - </v>
      </c>
      <c r="N1703" s="1">
        <v>12.869</v>
      </c>
      <c r="O1703" s="1">
        <f>ABS(Table4[[#This Row],[EndMP]]-Table4[[#This Row],[StartMP]])</f>
        <v>0.3960000000000008</v>
      </c>
      <c r="P1703" s="1" t="str">
        <f>IF( AND( Table4[[#This Row],[Route]]=ClosureLocation!$B$3, ClosureLocation!$B$6 &gt;= Table4[[#This Row],[StartMP]], ClosureLocation!$B$6 &lt;= Table4[[#This Row],[EndMP]]), "Yes", "")</f>
        <v/>
      </c>
      <c r="Q1703" s="1" t="str">
        <f>IF( AND( Table4[[#This Row],[Route]]=ClosureLocation!$B$3, ClosureLocation!$B$6 &lt;= Table4[[#This Row],[StartMP]], ClosureLocation!$B$6 &gt;= Table4[[#This Row],[EndMP]]), "Yes", "")</f>
        <v/>
      </c>
      <c r="R1703" s="1" t="str">
        <f>IF( OR( Table4[[#This Row],[PrimaryMatch]]="Yes", Table4[[#This Row],[SecondaryMatch]]="Yes"), "Yes", "")</f>
        <v/>
      </c>
    </row>
    <row r="1704" spans="1:18" hidden="1" x14ac:dyDescent="0.25">
      <c r="A1704" t="s">
        <v>836</v>
      </c>
      <c r="B1704" t="s">
        <v>3209</v>
      </c>
      <c r="C1704" t="s">
        <v>3226</v>
      </c>
      <c r="D1704" t="s">
        <v>3756</v>
      </c>
      <c r="E1704" s="1">
        <v>4.5519999999999996</v>
      </c>
      <c r="F1704" s="1">
        <v>4.367</v>
      </c>
      <c r="K1704" s="39">
        <f>DefaultValues!$B$4</f>
        <v>5</v>
      </c>
      <c r="L1704" s="1">
        <f>DefaultValues!$C$4</f>
        <v>0.5</v>
      </c>
      <c r="M1704" s="1" t="str">
        <f>DefaultValues!$D$4</f>
        <v xml:space="preserve">- Within interchange - </v>
      </c>
      <c r="N1704" s="1">
        <v>995.44799799999998</v>
      </c>
      <c r="O1704" s="1">
        <f>ABS(Table4[[#This Row],[EndMP]]-Table4[[#This Row],[StartMP]])</f>
        <v>0.18499999999999961</v>
      </c>
      <c r="P1704" s="1" t="str">
        <f>IF( AND( Table4[[#This Row],[Route]]=ClosureLocation!$B$3, ClosureLocation!$B$6 &gt;= Table4[[#This Row],[StartMP]], ClosureLocation!$B$6 &lt;= Table4[[#This Row],[EndMP]]), "Yes", "")</f>
        <v/>
      </c>
      <c r="Q1704" s="1" t="str">
        <f>IF( AND( Table4[[#This Row],[Route]]=ClosureLocation!$B$3, ClosureLocation!$B$6 &lt;= Table4[[#This Row],[StartMP]], ClosureLocation!$B$6 &gt;= Table4[[#This Row],[EndMP]]), "Yes", "")</f>
        <v/>
      </c>
      <c r="R1704" s="1" t="str">
        <f>IF( OR( Table4[[#This Row],[PrimaryMatch]]="Yes", Table4[[#This Row],[SecondaryMatch]]="Yes"), "Yes", "")</f>
        <v/>
      </c>
    </row>
    <row r="1705" spans="1:18" hidden="1" x14ac:dyDescent="0.25">
      <c r="A1705" t="s">
        <v>836</v>
      </c>
      <c r="B1705" t="s">
        <v>3209</v>
      </c>
      <c r="C1705" t="s">
        <v>3226</v>
      </c>
      <c r="D1705" t="s">
        <v>3756</v>
      </c>
      <c r="E1705" s="1">
        <v>2.673</v>
      </c>
      <c r="F1705" s="1">
        <v>2.4710000000000001</v>
      </c>
      <c r="K1705" s="39">
        <f>DefaultValues!$B$4</f>
        <v>5</v>
      </c>
      <c r="L1705" s="1">
        <f>DefaultValues!$C$4</f>
        <v>0.5</v>
      </c>
      <c r="M1705" s="1" t="str">
        <f>DefaultValues!$D$4</f>
        <v xml:space="preserve">- Within interchange - </v>
      </c>
      <c r="N1705" s="1">
        <v>997.32702600000005</v>
      </c>
      <c r="O1705" s="1">
        <f>ABS(Table4[[#This Row],[EndMP]]-Table4[[#This Row],[StartMP]])</f>
        <v>0.20199999999999996</v>
      </c>
      <c r="P1705" s="1" t="str">
        <f>IF( AND( Table4[[#This Row],[Route]]=ClosureLocation!$B$3, ClosureLocation!$B$6 &gt;= Table4[[#This Row],[StartMP]], ClosureLocation!$B$6 &lt;= Table4[[#This Row],[EndMP]]), "Yes", "")</f>
        <v/>
      </c>
      <c r="Q1705" s="1" t="str">
        <f>IF( AND( Table4[[#This Row],[Route]]=ClosureLocation!$B$3, ClosureLocation!$B$6 &lt;= Table4[[#This Row],[StartMP]], ClosureLocation!$B$6 &gt;= Table4[[#This Row],[EndMP]]), "Yes", "")</f>
        <v/>
      </c>
      <c r="R1705" s="1" t="str">
        <f>IF( OR( Table4[[#This Row],[PrimaryMatch]]="Yes", Table4[[#This Row],[SecondaryMatch]]="Yes"), "Yes", "")</f>
        <v/>
      </c>
    </row>
    <row r="1706" spans="1:18" hidden="1" x14ac:dyDescent="0.25">
      <c r="A1706" t="s">
        <v>836</v>
      </c>
      <c r="B1706" t="s">
        <v>3209</v>
      </c>
      <c r="C1706" t="s">
        <v>3226</v>
      </c>
      <c r="D1706" t="s">
        <v>3756</v>
      </c>
      <c r="E1706" s="1">
        <v>0.155</v>
      </c>
      <c r="F1706" s="1">
        <v>9.1999999999999998E-2</v>
      </c>
      <c r="K1706" s="39">
        <f>DefaultValues!$B$4</f>
        <v>5</v>
      </c>
      <c r="L1706" s="1">
        <f>DefaultValues!$C$4</f>
        <v>0.5</v>
      </c>
      <c r="M1706" s="1" t="str">
        <f>DefaultValues!$D$4</f>
        <v xml:space="preserve">- Within interchange - </v>
      </c>
      <c r="N1706" s="1">
        <v>999.84497099999999</v>
      </c>
      <c r="O1706" s="1">
        <f>ABS(Table4[[#This Row],[EndMP]]-Table4[[#This Row],[StartMP]])</f>
        <v>6.3E-2</v>
      </c>
      <c r="P1706" s="1" t="str">
        <f>IF( AND( Table4[[#This Row],[Route]]=ClosureLocation!$B$3, ClosureLocation!$B$6 &gt;= Table4[[#This Row],[StartMP]], ClosureLocation!$B$6 &lt;= Table4[[#This Row],[EndMP]]), "Yes", "")</f>
        <v/>
      </c>
      <c r="Q1706" s="1" t="str">
        <f>IF( AND( Table4[[#This Row],[Route]]=ClosureLocation!$B$3, ClosureLocation!$B$6 &lt;= Table4[[#This Row],[StartMP]], ClosureLocation!$B$6 &gt;= Table4[[#This Row],[EndMP]]), "Yes", "")</f>
        <v/>
      </c>
      <c r="R1706" s="1" t="str">
        <f>IF( OR( Table4[[#This Row],[PrimaryMatch]]="Yes", Table4[[#This Row],[SecondaryMatch]]="Yes"), "Yes", "")</f>
        <v/>
      </c>
    </row>
    <row r="1707" spans="1:18" hidden="1" x14ac:dyDescent="0.25">
      <c r="A1707" t="s">
        <v>846</v>
      </c>
      <c r="B1707" t="s">
        <v>3205</v>
      </c>
      <c r="C1707" t="s">
        <v>3206</v>
      </c>
      <c r="D1707" t="s">
        <v>3761</v>
      </c>
      <c r="E1707" s="1">
        <v>0</v>
      </c>
      <c r="F1707" s="1">
        <v>9.9000000000000005E-2</v>
      </c>
      <c r="K1707" s="39">
        <f>DefaultValues!$B$4</f>
        <v>5</v>
      </c>
      <c r="L1707" s="1">
        <f>DefaultValues!$C$4</f>
        <v>0.5</v>
      </c>
      <c r="M1707" s="1" t="str">
        <f>DefaultValues!$D$4</f>
        <v xml:space="preserve">- Within interchange - </v>
      </c>
      <c r="N1707" s="1">
        <v>0</v>
      </c>
      <c r="O1707" s="1">
        <f>ABS(Table4[[#This Row],[EndMP]]-Table4[[#This Row],[StartMP]])</f>
        <v>9.9000000000000005E-2</v>
      </c>
      <c r="P1707" s="1" t="str">
        <f>IF( AND( Table4[[#This Row],[Route]]=ClosureLocation!$B$3, ClosureLocation!$B$6 &gt;= Table4[[#This Row],[StartMP]], ClosureLocation!$B$6 &lt;= Table4[[#This Row],[EndMP]]), "Yes", "")</f>
        <v/>
      </c>
      <c r="Q1707" s="1" t="str">
        <f>IF( AND( Table4[[#This Row],[Route]]=ClosureLocation!$B$3, ClosureLocation!$B$6 &lt;= Table4[[#This Row],[StartMP]], ClosureLocation!$B$6 &gt;= Table4[[#This Row],[EndMP]]), "Yes", "")</f>
        <v/>
      </c>
      <c r="R1707" s="1" t="str">
        <f>IF( OR( Table4[[#This Row],[PrimaryMatch]]="Yes", Table4[[#This Row],[SecondaryMatch]]="Yes"), "Yes", "")</f>
        <v/>
      </c>
    </row>
    <row r="1708" spans="1:18" hidden="1" x14ac:dyDescent="0.25">
      <c r="A1708" t="s">
        <v>846</v>
      </c>
      <c r="B1708" t="s">
        <v>3209</v>
      </c>
      <c r="C1708" t="s">
        <v>3210</v>
      </c>
      <c r="D1708" t="s">
        <v>3763</v>
      </c>
      <c r="E1708" s="1">
        <v>9.9000000000000005E-2</v>
      </c>
      <c r="F1708" s="1">
        <v>0</v>
      </c>
      <c r="K1708" s="39">
        <f>DefaultValues!$B$4</f>
        <v>5</v>
      </c>
      <c r="L1708" s="1">
        <f>DefaultValues!$C$4</f>
        <v>0.5</v>
      </c>
      <c r="M1708" s="1" t="str">
        <f>DefaultValues!$D$4</f>
        <v xml:space="preserve">- Within interchange - </v>
      </c>
      <c r="N1708" s="1">
        <v>999.90100099999995</v>
      </c>
      <c r="O1708" s="1">
        <f>ABS(Table4[[#This Row],[EndMP]]-Table4[[#This Row],[StartMP]])</f>
        <v>9.9000000000000005E-2</v>
      </c>
      <c r="P1708" s="1" t="str">
        <f>IF( AND( Table4[[#This Row],[Route]]=ClosureLocation!$B$3, ClosureLocation!$B$6 &gt;= Table4[[#This Row],[StartMP]], ClosureLocation!$B$6 &lt;= Table4[[#This Row],[EndMP]]), "Yes", "")</f>
        <v/>
      </c>
      <c r="Q1708" s="1" t="str">
        <f>IF( AND( Table4[[#This Row],[Route]]=ClosureLocation!$B$3, ClosureLocation!$B$6 &lt;= Table4[[#This Row],[StartMP]], ClosureLocation!$B$6 &gt;= Table4[[#This Row],[EndMP]]), "Yes", "")</f>
        <v/>
      </c>
      <c r="R1708" s="1" t="str">
        <f>IF( OR( Table4[[#This Row],[PrimaryMatch]]="Yes", Table4[[#This Row],[SecondaryMatch]]="Yes"), "Yes", "")</f>
        <v/>
      </c>
    </row>
    <row r="1709" spans="1:18" hidden="1" x14ac:dyDescent="0.25">
      <c r="A1709" t="s">
        <v>849</v>
      </c>
      <c r="B1709" t="s">
        <v>3205</v>
      </c>
      <c r="C1709" t="s">
        <v>3206</v>
      </c>
      <c r="D1709" t="s">
        <v>3765</v>
      </c>
      <c r="E1709" s="1">
        <v>0.26400000000000001</v>
      </c>
      <c r="F1709" s="1">
        <v>0.34599999999999997</v>
      </c>
      <c r="K1709" s="39">
        <f>DefaultValues!$B$4</f>
        <v>5</v>
      </c>
      <c r="L1709" s="1">
        <f>DefaultValues!$C$4</f>
        <v>0.5</v>
      </c>
      <c r="M1709" s="1" t="str">
        <f>DefaultValues!$D$4</f>
        <v xml:space="preserve">- Within interchange - </v>
      </c>
      <c r="N1709" s="1">
        <v>0.26400000000000001</v>
      </c>
      <c r="O1709" s="1">
        <f>ABS(Table4[[#This Row],[EndMP]]-Table4[[#This Row],[StartMP]])</f>
        <v>8.1999999999999962E-2</v>
      </c>
      <c r="P1709" s="1" t="str">
        <f>IF( AND( Table4[[#This Row],[Route]]=ClosureLocation!$B$3, ClosureLocation!$B$6 &gt;= Table4[[#This Row],[StartMP]], ClosureLocation!$B$6 &lt;= Table4[[#This Row],[EndMP]]), "Yes", "")</f>
        <v/>
      </c>
      <c r="Q1709" s="1" t="str">
        <f>IF( AND( Table4[[#This Row],[Route]]=ClosureLocation!$B$3, ClosureLocation!$B$6 &lt;= Table4[[#This Row],[StartMP]], ClosureLocation!$B$6 &gt;= Table4[[#This Row],[EndMP]]), "Yes", "")</f>
        <v/>
      </c>
      <c r="R1709" s="1" t="str">
        <f>IF( OR( Table4[[#This Row],[PrimaryMatch]]="Yes", Table4[[#This Row],[SecondaryMatch]]="Yes"), "Yes", "")</f>
        <v/>
      </c>
    </row>
    <row r="1710" spans="1:18" hidden="1" x14ac:dyDescent="0.25">
      <c r="A1710" t="s">
        <v>849</v>
      </c>
      <c r="B1710" t="s">
        <v>3209</v>
      </c>
      <c r="C1710" t="s">
        <v>3210</v>
      </c>
      <c r="D1710" t="s">
        <v>3767</v>
      </c>
      <c r="E1710" s="1">
        <v>0.34599999999999997</v>
      </c>
      <c r="F1710" s="1">
        <v>0.26400000000000001</v>
      </c>
      <c r="K1710" s="39">
        <f>DefaultValues!$B$4</f>
        <v>5</v>
      </c>
      <c r="L1710" s="1">
        <f>DefaultValues!$C$4</f>
        <v>0.5</v>
      </c>
      <c r="M1710" s="1" t="str">
        <f>DefaultValues!$D$4</f>
        <v xml:space="preserve">- Within interchange - </v>
      </c>
      <c r="N1710" s="1">
        <v>999.65399200000002</v>
      </c>
      <c r="O1710" s="1">
        <f>ABS(Table4[[#This Row],[EndMP]]-Table4[[#This Row],[StartMP]])</f>
        <v>8.1999999999999962E-2</v>
      </c>
      <c r="P1710" s="1" t="str">
        <f>IF( AND( Table4[[#This Row],[Route]]=ClosureLocation!$B$3, ClosureLocation!$B$6 &gt;= Table4[[#This Row],[StartMP]], ClosureLocation!$B$6 &lt;= Table4[[#This Row],[EndMP]]), "Yes", "")</f>
        <v/>
      </c>
      <c r="Q1710" s="1" t="str">
        <f>IF( AND( Table4[[#This Row],[Route]]=ClosureLocation!$B$3, ClosureLocation!$B$6 &lt;= Table4[[#This Row],[StartMP]], ClosureLocation!$B$6 &gt;= Table4[[#This Row],[EndMP]]), "Yes", "")</f>
        <v/>
      </c>
      <c r="R1710" s="1" t="str">
        <f>IF( OR( Table4[[#This Row],[PrimaryMatch]]="Yes", Table4[[#This Row],[SecondaryMatch]]="Yes"), "Yes", "")</f>
        <v/>
      </c>
    </row>
    <row r="1711" spans="1:18" hidden="1" x14ac:dyDescent="0.25">
      <c r="A1711" t="s">
        <v>852</v>
      </c>
      <c r="B1711" t="s">
        <v>3205</v>
      </c>
      <c r="C1711" t="s">
        <v>3210</v>
      </c>
      <c r="D1711" t="s">
        <v>3771</v>
      </c>
      <c r="E1711" s="1">
        <v>0</v>
      </c>
      <c r="F1711" s="1">
        <v>0.14899999999999999</v>
      </c>
      <c r="K1711" s="39">
        <f>DefaultValues!$B$4</f>
        <v>5</v>
      </c>
      <c r="L1711" s="1">
        <f>DefaultValues!$C$4</f>
        <v>0.5</v>
      </c>
      <c r="M1711" s="1" t="str">
        <f>DefaultValues!$D$4</f>
        <v xml:space="preserve">- Within interchange - </v>
      </c>
      <c r="N1711" s="1">
        <v>0</v>
      </c>
      <c r="O1711" s="1">
        <f>ABS(Table4[[#This Row],[EndMP]]-Table4[[#This Row],[StartMP]])</f>
        <v>0.14899999999999999</v>
      </c>
      <c r="P1711" s="1" t="str">
        <f>IF( AND( Table4[[#This Row],[Route]]=ClosureLocation!$B$3, ClosureLocation!$B$6 &gt;= Table4[[#This Row],[StartMP]], ClosureLocation!$B$6 &lt;= Table4[[#This Row],[EndMP]]), "Yes", "")</f>
        <v/>
      </c>
      <c r="Q1711" s="1" t="str">
        <f>IF( AND( Table4[[#This Row],[Route]]=ClosureLocation!$B$3, ClosureLocation!$B$6 &lt;= Table4[[#This Row],[StartMP]], ClosureLocation!$B$6 &gt;= Table4[[#This Row],[EndMP]]), "Yes", "")</f>
        <v/>
      </c>
      <c r="R1711" s="1" t="str">
        <f>IF( OR( Table4[[#This Row],[PrimaryMatch]]="Yes", Table4[[#This Row],[SecondaryMatch]]="Yes"), "Yes", "")</f>
        <v/>
      </c>
    </row>
    <row r="1712" spans="1:18" hidden="1" x14ac:dyDescent="0.25">
      <c r="A1712" t="s">
        <v>852</v>
      </c>
      <c r="B1712" t="s">
        <v>3209</v>
      </c>
      <c r="C1712" t="s">
        <v>3206</v>
      </c>
      <c r="D1712" t="s">
        <v>3769</v>
      </c>
      <c r="E1712" s="1">
        <v>0.14899999999999999</v>
      </c>
      <c r="F1712" s="1">
        <v>0</v>
      </c>
      <c r="K1712" s="39">
        <f>DefaultValues!$B$4</f>
        <v>5</v>
      </c>
      <c r="L1712" s="1">
        <f>DefaultValues!$C$4</f>
        <v>0.5</v>
      </c>
      <c r="M1712" s="1" t="str">
        <f>DefaultValues!$D$4</f>
        <v xml:space="preserve">- Within interchange - </v>
      </c>
      <c r="N1712" s="1">
        <v>999.85101299999997</v>
      </c>
      <c r="O1712" s="1">
        <f>ABS(Table4[[#This Row],[EndMP]]-Table4[[#This Row],[StartMP]])</f>
        <v>0.14899999999999999</v>
      </c>
      <c r="P1712" s="1" t="str">
        <f>IF( AND( Table4[[#This Row],[Route]]=ClosureLocation!$B$3, ClosureLocation!$B$6 &gt;= Table4[[#This Row],[StartMP]], ClosureLocation!$B$6 &lt;= Table4[[#This Row],[EndMP]]), "Yes", "")</f>
        <v/>
      </c>
      <c r="Q1712" s="1" t="str">
        <f>IF( AND( Table4[[#This Row],[Route]]=ClosureLocation!$B$3, ClosureLocation!$B$6 &lt;= Table4[[#This Row],[StartMP]], ClosureLocation!$B$6 &gt;= Table4[[#This Row],[EndMP]]), "Yes", "")</f>
        <v/>
      </c>
      <c r="R1712" s="1" t="str">
        <f>IF( OR( Table4[[#This Row],[PrimaryMatch]]="Yes", Table4[[#This Row],[SecondaryMatch]]="Yes"), "Yes", "")</f>
        <v/>
      </c>
    </row>
    <row r="1713" spans="1:18" hidden="1" x14ac:dyDescent="0.25">
      <c r="A1713" t="s">
        <v>855</v>
      </c>
      <c r="B1713" t="s">
        <v>3205</v>
      </c>
      <c r="C1713" t="s">
        <v>3222</v>
      </c>
      <c r="D1713" t="s">
        <v>4664</v>
      </c>
      <c r="E1713" s="1">
        <v>0</v>
      </c>
      <c r="F1713" s="1">
        <v>0.21199999999999999</v>
      </c>
      <c r="K1713" s="39">
        <f>DefaultValues!$B$4</f>
        <v>5</v>
      </c>
      <c r="L1713" s="1">
        <f>DefaultValues!$C$4</f>
        <v>0.5</v>
      </c>
      <c r="M1713" s="1" t="str">
        <f>DefaultValues!$D$4</f>
        <v xml:space="preserve">- Within interchange - </v>
      </c>
      <c r="N1713" s="1">
        <v>0</v>
      </c>
      <c r="O1713" s="1">
        <f>ABS(Table4[[#This Row],[EndMP]]-Table4[[#This Row],[StartMP]])</f>
        <v>0.21199999999999999</v>
      </c>
      <c r="P1713" s="1" t="str">
        <f>IF( AND( Table4[[#This Row],[Route]]=ClosureLocation!$B$3, ClosureLocation!$B$6 &gt;= Table4[[#This Row],[StartMP]], ClosureLocation!$B$6 &lt;= Table4[[#This Row],[EndMP]]), "Yes", "")</f>
        <v/>
      </c>
      <c r="Q1713" s="1" t="str">
        <f>IF( AND( Table4[[#This Row],[Route]]=ClosureLocation!$B$3, ClosureLocation!$B$6 &lt;= Table4[[#This Row],[StartMP]], ClosureLocation!$B$6 &gt;= Table4[[#This Row],[EndMP]]), "Yes", "")</f>
        <v/>
      </c>
      <c r="R1713" s="1" t="str">
        <f>IF( OR( Table4[[#This Row],[PrimaryMatch]]="Yes", Table4[[#This Row],[SecondaryMatch]]="Yes"), "Yes", "")</f>
        <v/>
      </c>
    </row>
    <row r="1714" spans="1:18" hidden="1" x14ac:dyDescent="0.25">
      <c r="A1714" t="s">
        <v>855</v>
      </c>
      <c r="B1714" t="s">
        <v>3209</v>
      </c>
      <c r="C1714" t="s">
        <v>3226</v>
      </c>
      <c r="D1714" t="s">
        <v>4665</v>
      </c>
      <c r="E1714" s="1">
        <v>0.21199999999999999</v>
      </c>
      <c r="F1714" s="1">
        <v>0</v>
      </c>
      <c r="K1714" s="39">
        <f>DefaultValues!$B$4</f>
        <v>5</v>
      </c>
      <c r="L1714" s="1">
        <f>DefaultValues!$C$4</f>
        <v>0.5</v>
      </c>
      <c r="M1714" s="1" t="str">
        <f>DefaultValues!$D$4</f>
        <v xml:space="preserve">- Within interchange - </v>
      </c>
      <c r="N1714" s="1">
        <v>999.78802499999995</v>
      </c>
      <c r="O1714" s="1">
        <f>ABS(Table4[[#This Row],[EndMP]]-Table4[[#This Row],[StartMP]])</f>
        <v>0.21199999999999999</v>
      </c>
      <c r="P1714" s="1" t="str">
        <f>IF( AND( Table4[[#This Row],[Route]]=ClosureLocation!$B$3, ClosureLocation!$B$6 &gt;= Table4[[#This Row],[StartMP]], ClosureLocation!$B$6 &lt;= Table4[[#This Row],[EndMP]]), "Yes", "")</f>
        <v/>
      </c>
      <c r="Q1714" s="1" t="str">
        <f>IF( AND( Table4[[#This Row],[Route]]=ClosureLocation!$B$3, ClosureLocation!$B$6 &lt;= Table4[[#This Row],[StartMP]], ClosureLocation!$B$6 &gt;= Table4[[#This Row],[EndMP]]), "Yes", "")</f>
        <v/>
      </c>
      <c r="R1714" s="1" t="str">
        <f>IF( OR( Table4[[#This Row],[PrimaryMatch]]="Yes", Table4[[#This Row],[SecondaryMatch]]="Yes"), "Yes", "")</f>
        <v/>
      </c>
    </row>
    <row r="1715" spans="1:18" hidden="1" x14ac:dyDescent="0.25">
      <c r="A1715" t="s">
        <v>858</v>
      </c>
      <c r="B1715" t="s">
        <v>3205</v>
      </c>
      <c r="C1715" t="s">
        <v>3206</v>
      </c>
      <c r="D1715" t="s">
        <v>3773</v>
      </c>
      <c r="E1715" s="1">
        <v>6.8000000000000005E-2</v>
      </c>
      <c r="F1715" s="1">
        <v>0.14499999999999999</v>
      </c>
      <c r="K1715" s="39">
        <f>DefaultValues!$B$4</f>
        <v>5</v>
      </c>
      <c r="L1715" s="1">
        <f>DefaultValues!$C$4</f>
        <v>0.5</v>
      </c>
      <c r="M1715" s="1" t="str">
        <f>DefaultValues!$D$4</f>
        <v xml:space="preserve">- Within interchange - </v>
      </c>
      <c r="N1715" s="1">
        <v>6.8000000000000005E-2</v>
      </c>
      <c r="O1715" s="1">
        <f>ABS(Table4[[#This Row],[EndMP]]-Table4[[#This Row],[StartMP]])</f>
        <v>7.6999999999999985E-2</v>
      </c>
      <c r="P1715" s="1" t="str">
        <f>IF( AND( Table4[[#This Row],[Route]]=ClosureLocation!$B$3, ClosureLocation!$B$6 &gt;= Table4[[#This Row],[StartMP]], ClosureLocation!$B$6 &lt;= Table4[[#This Row],[EndMP]]), "Yes", "")</f>
        <v/>
      </c>
      <c r="Q1715" s="1" t="str">
        <f>IF( AND( Table4[[#This Row],[Route]]=ClosureLocation!$B$3, ClosureLocation!$B$6 &lt;= Table4[[#This Row],[StartMP]], ClosureLocation!$B$6 &gt;= Table4[[#This Row],[EndMP]]), "Yes", "")</f>
        <v/>
      </c>
      <c r="R1715" s="1" t="str">
        <f>IF( OR( Table4[[#This Row],[PrimaryMatch]]="Yes", Table4[[#This Row],[SecondaryMatch]]="Yes"), "Yes", "")</f>
        <v/>
      </c>
    </row>
    <row r="1716" spans="1:18" hidden="1" x14ac:dyDescent="0.25">
      <c r="A1716" t="s">
        <v>858</v>
      </c>
      <c r="B1716" t="s">
        <v>3209</v>
      </c>
      <c r="C1716" t="s">
        <v>3210</v>
      </c>
      <c r="D1716" t="s">
        <v>3775</v>
      </c>
      <c r="E1716" s="1">
        <v>0.14499999999999999</v>
      </c>
      <c r="F1716" s="1">
        <v>6.8000000000000005E-2</v>
      </c>
      <c r="K1716" s="39">
        <f>DefaultValues!$B$4</f>
        <v>5</v>
      </c>
      <c r="L1716" s="1">
        <f>DefaultValues!$C$4</f>
        <v>0.5</v>
      </c>
      <c r="M1716" s="1" t="str">
        <f>DefaultValues!$D$4</f>
        <v xml:space="preserve">- Within interchange - </v>
      </c>
      <c r="N1716" s="1">
        <v>999.85497999999995</v>
      </c>
      <c r="O1716" s="1">
        <f>ABS(Table4[[#This Row],[EndMP]]-Table4[[#This Row],[StartMP]])</f>
        <v>7.6999999999999985E-2</v>
      </c>
      <c r="P1716" s="1" t="str">
        <f>IF( AND( Table4[[#This Row],[Route]]=ClosureLocation!$B$3, ClosureLocation!$B$6 &gt;= Table4[[#This Row],[StartMP]], ClosureLocation!$B$6 &lt;= Table4[[#This Row],[EndMP]]), "Yes", "")</f>
        <v/>
      </c>
      <c r="Q1716" s="1" t="str">
        <f>IF( AND( Table4[[#This Row],[Route]]=ClosureLocation!$B$3, ClosureLocation!$B$6 &lt;= Table4[[#This Row],[StartMP]], ClosureLocation!$B$6 &gt;= Table4[[#This Row],[EndMP]]), "Yes", "")</f>
        <v/>
      </c>
      <c r="R1716" s="1" t="str">
        <f>IF( OR( Table4[[#This Row],[PrimaryMatch]]="Yes", Table4[[#This Row],[SecondaryMatch]]="Yes"), "Yes", "")</f>
        <v/>
      </c>
    </row>
    <row r="1717" spans="1:18" hidden="1" x14ac:dyDescent="0.25">
      <c r="A1717" t="s">
        <v>861</v>
      </c>
      <c r="B1717" t="s">
        <v>3205</v>
      </c>
      <c r="C1717" t="s">
        <v>3206</v>
      </c>
      <c r="D1717" t="s">
        <v>3777</v>
      </c>
      <c r="E1717" s="1">
        <v>2.1000000000000001E-2</v>
      </c>
      <c r="F1717" s="1">
        <v>0.106</v>
      </c>
      <c r="K1717" s="39">
        <f>DefaultValues!$B$4</f>
        <v>5</v>
      </c>
      <c r="L1717" s="1">
        <f>DefaultValues!$C$4</f>
        <v>0.5</v>
      </c>
      <c r="M1717" s="1" t="str">
        <f>DefaultValues!$D$4</f>
        <v xml:space="preserve">- Within interchange - </v>
      </c>
      <c r="N1717" s="1">
        <v>2.1000000000000001E-2</v>
      </c>
      <c r="O1717" s="1">
        <f>ABS(Table4[[#This Row],[EndMP]]-Table4[[#This Row],[StartMP]])</f>
        <v>8.4999999999999992E-2</v>
      </c>
      <c r="P1717" s="1" t="str">
        <f>IF( AND( Table4[[#This Row],[Route]]=ClosureLocation!$B$3, ClosureLocation!$B$6 &gt;= Table4[[#This Row],[StartMP]], ClosureLocation!$B$6 &lt;= Table4[[#This Row],[EndMP]]), "Yes", "")</f>
        <v/>
      </c>
      <c r="Q1717" s="1" t="str">
        <f>IF( AND( Table4[[#This Row],[Route]]=ClosureLocation!$B$3, ClosureLocation!$B$6 &lt;= Table4[[#This Row],[StartMP]], ClosureLocation!$B$6 &gt;= Table4[[#This Row],[EndMP]]), "Yes", "")</f>
        <v/>
      </c>
      <c r="R1717" s="1" t="str">
        <f>IF( OR( Table4[[#This Row],[PrimaryMatch]]="Yes", Table4[[#This Row],[SecondaryMatch]]="Yes"), "Yes", "")</f>
        <v/>
      </c>
    </row>
    <row r="1718" spans="1:18" hidden="1" x14ac:dyDescent="0.25">
      <c r="A1718" t="s">
        <v>861</v>
      </c>
      <c r="B1718" t="s">
        <v>3209</v>
      </c>
      <c r="C1718" t="s">
        <v>3210</v>
      </c>
      <c r="D1718" t="s">
        <v>3779</v>
      </c>
      <c r="E1718" s="1">
        <v>0.106</v>
      </c>
      <c r="F1718" s="1">
        <v>2.1000000000000001E-2</v>
      </c>
      <c r="K1718" s="39">
        <f>DefaultValues!$B$4</f>
        <v>5</v>
      </c>
      <c r="L1718" s="1">
        <f>DefaultValues!$C$4</f>
        <v>0.5</v>
      </c>
      <c r="M1718" s="1" t="str">
        <f>DefaultValues!$D$4</f>
        <v xml:space="preserve">- Within interchange - </v>
      </c>
      <c r="N1718" s="1">
        <v>999.89398200000005</v>
      </c>
      <c r="O1718" s="1">
        <f>ABS(Table4[[#This Row],[EndMP]]-Table4[[#This Row],[StartMP]])</f>
        <v>8.4999999999999992E-2</v>
      </c>
      <c r="P1718" s="1" t="str">
        <f>IF( AND( Table4[[#This Row],[Route]]=ClosureLocation!$B$3, ClosureLocation!$B$6 &gt;= Table4[[#This Row],[StartMP]], ClosureLocation!$B$6 &lt;= Table4[[#This Row],[EndMP]]), "Yes", "")</f>
        <v/>
      </c>
      <c r="Q1718" s="1" t="str">
        <f>IF( AND( Table4[[#This Row],[Route]]=ClosureLocation!$B$3, ClosureLocation!$B$6 &lt;= Table4[[#This Row],[StartMP]], ClosureLocation!$B$6 &gt;= Table4[[#This Row],[EndMP]]), "Yes", "")</f>
        <v/>
      </c>
      <c r="R1718" s="1" t="str">
        <f>IF( OR( Table4[[#This Row],[PrimaryMatch]]="Yes", Table4[[#This Row],[SecondaryMatch]]="Yes"), "Yes", "")</f>
        <v/>
      </c>
    </row>
    <row r="1719" spans="1:18" hidden="1" x14ac:dyDescent="0.25">
      <c r="A1719" t="s">
        <v>864</v>
      </c>
      <c r="B1719" t="s">
        <v>3205</v>
      </c>
      <c r="C1719" t="s">
        <v>3222</v>
      </c>
      <c r="D1719" t="s">
        <v>3781</v>
      </c>
      <c r="E1719" s="1">
        <v>0.28599999999999998</v>
      </c>
      <c r="F1719" s="1">
        <v>0.39600000000000002</v>
      </c>
      <c r="K1719" s="39">
        <f>DefaultValues!$B$4</f>
        <v>5</v>
      </c>
      <c r="L1719" s="1">
        <f>DefaultValues!$C$4</f>
        <v>0.5</v>
      </c>
      <c r="M1719" s="1" t="str">
        <f>DefaultValues!$D$4</f>
        <v xml:space="preserve">- Within interchange - </v>
      </c>
      <c r="N1719" s="1">
        <v>0.28599999999999998</v>
      </c>
      <c r="O1719" s="1">
        <f>ABS(Table4[[#This Row],[EndMP]]-Table4[[#This Row],[StartMP]])</f>
        <v>0.11000000000000004</v>
      </c>
      <c r="P1719" s="1" t="str">
        <f>IF( AND( Table4[[#This Row],[Route]]=ClosureLocation!$B$3, ClosureLocation!$B$6 &gt;= Table4[[#This Row],[StartMP]], ClosureLocation!$B$6 &lt;= Table4[[#This Row],[EndMP]]), "Yes", "")</f>
        <v/>
      </c>
      <c r="Q1719" s="1" t="str">
        <f>IF( AND( Table4[[#This Row],[Route]]=ClosureLocation!$B$3, ClosureLocation!$B$6 &lt;= Table4[[#This Row],[StartMP]], ClosureLocation!$B$6 &gt;= Table4[[#This Row],[EndMP]]), "Yes", "")</f>
        <v/>
      </c>
      <c r="R1719" s="1" t="str">
        <f>IF( OR( Table4[[#This Row],[PrimaryMatch]]="Yes", Table4[[#This Row],[SecondaryMatch]]="Yes"), "Yes", "")</f>
        <v/>
      </c>
    </row>
    <row r="1720" spans="1:18" hidden="1" x14ac:dyDescent="0.25">
      <c r="A1720" t="s">
        <v>864</v>
      </c>
      <c r="B1720" t="s">
        <v>3209</v>
      </c>
      <c r="C1720" t="s">
        <v>3226</v>
      </c>
      <c r="D1720" t="s">
        <v>3784</v>
      </c>
      <c r="E1720" s="1">
        <v>0.39600000000000002</v>
      </c>
      <c r="F1720" s="1">
        <v>0.28599999999999998</v>
      </c>
      <c r="K1720" s="39">
        <f>DefaultValues!$B$4</f>
        <v>5</v>
      </c>
      <c r="L1720" s="1">
        <f>DefaultValues!$C$4</f>
        <v>0.5</v>
      </c>
      <c r="M1720" s="1" t="str">
        <f>DefaultValues!$D$4</f>
        <v xml:space="preserve">- Within interchange - </v>
      </c>
      <c r="N1720" s="1">
        <v>999.60400400000003</v>
      </c>
      <c r="O1720" s="1">
        <f>ABS(Table4[[#This Row],[EndMP]]-Table4[[#This Row],[StartMP]])</f>
        <v>0.11000000000000004</v>
      </c>
      <c r="P1720" s="1" t="str">
        <f>IF( AND( Table4[[#This Row],[Route]]=ClosureLocation!$B$3, ClosureLocation!$B$6 &gt;= Table4[[#This Row],[StartMP]], ClosureLocation!$B$6 &lt;= Table4[[#This Row],[EndMP]]), "Yes", "")</f>
        <v/>
      </c>
      <c r="Q1720" s="1" t="str">
        <f>IF( AND( Table4[[#This Row],[Route]]=ClosureLocation!$B$3, ClosureLocation!$B$6 &lt;= Table4[[#This Row],[StartMP]], ClosureLocation!$B$6 &gt;= Table4[[#This Row],[EndMP]]), "Yes", "")</f>
        <v/>
      </c>
      <c r="R1720" s="1" t="str">
        <f>IF( OR( Table4[[#This Row],[PrimaryMatch]]="Yes", Table4[[#This Row],[SecondaryMatch]]="Yes"), "Yes", "")</f>
        <v/>
      </c>
    </row>
    <row r="1721" spans="1:18" hidden="1" x14ac:dyDescent="0.25">
      <c r="A1721" t="s">
        <v>867</v>
      </c>
      <c r="B1721" t="s">
        <v>3205</v>
      </c>
      <c r="C1721" t="s">
        <v>3222</v>
      </c>
      <c r="D1721" t="s">
        <v>4666</v>
      </c>
      <c r="E1721" s="1">
        <v>0.26600000000000001</v>
      </c>
      <c r="F1721" s="1">
        <v>0.33600000000000002</v>
      </c>
      <c r="K1721" s="39">
        <f>DefaultValues!$B$4</f>
        <v>5</v>
      </c>
      <c r="L1721" s="1">
        <f>DefaultValues!$C$4</f>
        <v>0.5</v>
      </c>
      <c r="M1721" s="1" t="str">
        <f>DefaultValues!$D$4</f>
        <v xml:space="preserve">- Within interchange - </v>
      </c>
      <c r="N1721" s="1">
        <v>0.26600000000000001</v>
      </c>
      <c r="O1721" s="1">
        <f>ABS(Table4[[#This Row],[EndMP]]-Table4[[#This Row],[StartMP]])</f>
        <v>7.0000000000000007E-2</v>
      </c>
      <c r="P1721" s="1" t="str">
        <f>IF( AND( Table4[[#This Row],[Route]]=ClosureLocation!$B$3, ClosureLocation!$B$6 &gt;= Table4[[#This Row],[StartMP]], ClosureLocation!$B$6 &lt;= Table4[[#This Row],[EndMP]]), "Yes", "")</f>
        <v/>
      </c>
      <c r="Q1721" s="1" t="str">
        <f>IF( AND( Table4[[#This Row],[Route]]=ClosureLocation!$B$3, ClosureLocation!$B$6 &lt;= Table4[[#This Row],[StartMP]], ClosureLocation!$B$6 &gt;= Table4[[#This Row],[EndMP]]), "Yes", "")</f>
        <v/>
      </c>
      <c r="R1721" s="1" t="str">
        <f>IF( OR( Table4[[#This Row],[PrimaryMatch]]="Yes", Table4[[#This Row],[SecondaryMatch]]="Yes"), "Yes", "")</f>
        <v/>
      </c>
    </row>
    <row r="1722" spans="1:18" hidden="1" x14ac:dyDescent="0.25">
      <c r="A1722" t="s">
        <v>867</v>
      </c>
      <c r="B1722" t="s">
        <v>3209</v>
      </c>
      <c r="C1722" t="s">
        <v>3226</v>
      </c>
      <c r="D1722" t="s">
        <v>4667</v>
      </c>
      <c r="E1722" s="1">
        <v>0.33600000000000002</v>
      </c>
      <c r="F1722" s="1">
        <v>0.26600000000000001</v>
      </c>
      <c r="K1722" s="39">
        <f>DefaultValues!$B$4</f>
        <v>5</v>
      </c>
      <c r="L1722" s="1">
        <f>DefaultValues!$C$4</f>
        <v>0.5</v>
      </c>
      <c r="M1722" s="1" t="str">
        <f>DefaultValues!$D$4</f>
        <v xml:space="preserve">- Within interchange - </v>
      </c>
      <c r="N1722" s="1">
        <v>999.66400099999998</v>
      </c>
      <c r="O1722" s="1">
        <f>ABS(Table4[[#This Row],[EndMP]]-Table4[[#This Row],[StartMP]])</f>
        <v>7.0000000000000007E-2</v>
      </c>
      <c r="P1722" s="1" t="str">
        <f>IF( AND( Table4[[#This Row],[Route]]=ClosureLocation!$B$3, ClosureLocation!$B$6 &gt;= Table4[[#This Row],[StartMP]], ClosureLocation!$B$6 &lt;= Table4[[#This Row],[EndMP]]), "Yes", "")</f>
        <v/>
      </c>
      <c r="Q1722" s="1" t="str">
        <f>IF( AND( Table4[[#This Row],[Route]]=ClosureLocation!$B$3, ClosureLocation!$B$6 &lt;= Table4[[#This Row],[StartMP]], ClosureLocation!$B$6 &gt;= Table4[[#This Row],[EndMP]]), "Yes", "")</f>
        <v/>
      </c>
      <c r="R1722" s="1" t="str">
        <f>IF( OR( Table4[[#This Row],[PrimaryMatch]]="Yes", Table4[[#This Row],[SecondaryMatch]]="Yes"), "Yes", "")</f>
        <v/>
      </c>
    </row>
    <row r="1723" spans="1:18" hidden="1" x14ac:dyDescent="0.25">
      <c r="A1723" t="s">
        <v>870</v>
      </c>
      <c r="B1723" t="s">
        <v>3205</v>
      </c>
      <c r="C1723" t="s">
        <v>3206</v>
      </c>
      <c r="D1723" t="s">
        <v>3787</v>
      </c>
      <c r="E1723" s="1">
        <v>0</v>
      </c>
      <c r="F1723" s="1">
        <v>8.5000000000000006E-2</v>
      </c>
      <c r="K1723" s="39">
        <f>DefaultValues!$B$4</f>
        <v>5</v>
      </c>
      <c r="L1723" s="1">
        <f>DefaultValues!$C$4</f>
        <v>0.5</v>
      </c>
      <c r="M1723" s="1" t="str">
        <f>DefaultValues!$D$4</f>
        <v xml:space="preserve">- Within interchange - </v>
      </c>
      <c r="N1723" s="1">
        <v>0</v>
      </c>
      <c r="O1723" s="1">
        <f>ABS(Table4[[#This Row],[EndMP]]-Table4[[#This Row],[StartMP]])</f>
        <v>8.5000000000000006E-2</v>
      </c>
      <c r="P1723" s="1" t="str">
        <f>IF( AND( Table4[[#This Row],[Route]]=ClosureLocation!$B$3, ClosureLocation!$B$6 &gt;= Table4[[#This Row],[StartMP]], ClosureLocation!$B$6 &lt;= Table4[[#This Row],[EndMP]]), "Yes", "")</f>
        <v/>
      </c>
      <c r="Q1723" s="1" t="str">
        <f>IF( AND( Table4[[#This Row],[Route]]=ClosureLocation!$B$3, ClosureLocation!$B$6 &lt;= Table4[[#This Row],[StartMP]], ClosureLocation!$B$6 &gt;= Table4[[#This Row],[EndMP]]), "Yes", "")</f>
        <v/>
      </c>
      <c r="R1723" s="1" t="str">
        <f>IF( OR( Table4[[#This Row],[PrimaryMatch]]="Yes", Table4[[#This Row],[SecondaryMatch]]="Yes"), "Yes", "")</f>
        <v/>
      </c>
    </row>
    <row r="1724" spans="1:18" hidden="1" x14ac:dyDescent="0.25">
      <c r="A1724" t="s">
        <v>870</v>
      </c>
      <c r="B1724" t="s">
        <v>3209</v>
      </c>
      <c r="C1724" t="s">
        <v>3210</v>
      </c>
      <c r="D1724" t="s">
        <v>3789</v>
      </c>
      <c r="E1724" s="1">
        <v>8.5000000000000006E-2</v>
      </c>
      <c r="F1724" s="1">
        <v>0</v>
      </c>
      <c r="K1724" s="39">
        <f>DefaultValues!$B$4</f>
        <v>5</v>
      </c>
      <c r="L1724" s="1">
        <f>DefaultValues!$C$4</f>
        <v>0.5</v>
      </c>
      <c r="M1724" s="1" t="str">
        <f>DefaultValues!$D$4</f>
        <v xml:space="preserve">- Within interchange - </v>
      </c>
      <c r="N1724" s="1">
        <v>999.91497800000002</v>
      </c>
      <c r="O1724" s="1">
        <f>ABS(Table4[[#This Row],[EndMP]]-Table4[[#This Row],[StartMP]])</f>
        <v>8.5000000000000006E-2</v>
      </c>
      <c r="P1724" s="1" t="str">
        <f>IF( AND( Table4[[#This Row],[Route]]=ClosureLocation!$B$3, ClosureLocation!$B$6 &gt;= Table4[[#This Row],[StartMP]], ClosureLocation!$B$6 &lt;= Table4[[#This Row],[EndMP]]), "Yes", "")</f>
        <v/>
      </c>
      <c r="Q1724" s="1" t="str">
        <f>IF( AND( Table4[[#This Row],[Route]]=ClosureLocation!$B$3, ClosureLocation!$B$6 &lt;= Table4[[#This Row],[StartMP]], ClosureLocation!$B$6 &gt;= Table4[[#This Row],[EndMP]]), "Yes", "")</f>
        <v/>
      </c>
      <c r="R1724" s="1" t="str">
        <f>IF( OR( Table4[[#This Row],[PrimaryMatch]]="Yes", Table4[[#This Row],[SecondaryMatch]]="Yes"), "Yes", "")</f>
        <v/>
      </c>
    </row>
    <row r="1725" spans="1:18" hidden="1" x14ac:dyDescent="0.25">
      <c r="A1725" t="s">
        <v>873</v>
      </c>
      <c r="B1725" t="s">
        <v>3205</v>
      </c>
      <c r="C1725" t="s">
        <v>3222</v>
      </c>
      <c r="D1725" t="s">
        <v>3791</v>
      </c>
      <c r="E1725" s="1">
        <v>0.217</v>
      </c>
      <c r="F1725" s="1">
        <v>0.377</v>
      </c>
      <c r="K1725" s="39">
        <f>DefaultValues!$B$4</f>
        <v>5</v>
      </c>
      <c r="L1725" s="1">
        <f>DefaultValues!$C$4</f>
        <v>0.5</v>
      </c>
      <c r="M1725" s="1" t="str">
        <f>DefaultValues!$D$4</f>
        <v xml:space="preserve">- Within interchange - </v>
      </c>
      <c r="N1725" s="1">
        <v>0.217</v>
      </c>
      <c r="O1725" s="1">
        <f>ABS(Table4[[#This Row],[EndMP]]-Table4[[#This Row],[StartMP]])</f>
        <v>0.16</v>
      </c>
      <c r="P1725" s="1" t="str">
        <f>IF( AND( Table4[[#This Row],[Route]]=ClosureLocation!$B$3, ClosureLocation!$B$6 &gt;= Table4[[#This Row],[StartMP]], ClosureLocation!$B$6 &lt;= Table4[[#This Row],[EndMP]]), "Yes", "")</f>
        <v/>
      </c>
      <c r="Q1725" s="1" t="str">
        <f>IF( AND( Table4[[#This Row],[Route]]=ClosureLocation!$B$3, ClosureLocation!$B$6 &lt;= Table4[[#This Row],[StartMP]], ClosureLocation!$B$6 &gt;= Table4[[#This Row],[EndMP]]), "Yes", "")</f>
        <v/>
      </c>
      <c r="R1725" s="1" t="str">
        <f>IF( OR( Table4[[#This Row],[PrimaryMatch]]="Yes", Table4[[#This Row],[SecondaryMatch]]="Yes"), "Yes", "")</f>
        <v/>
      </c>
    </row>
    <row r="1726" spans="1:18" hidden="1" x14ac:dyDescent="0.25">
      <c r="A1726" t="s">
        <v>873</v>
      </c>
      <c r="B1726" t="s">
        <v>3209</v>
      </c>
      <c r="C1726" t="s">
        <v>3226</v>
      </c>
      <c r="D1726" t="s">
        <v>3793</v>
      </c>
      <c r="E1726" s="1">
        <v>0.377</v>
      </c>
      <c r="F1726" s="1">
        <v>0.217</v>
      </c>
      <c r="K1726" s="39">
        <f>DefaultValues!$B$4</f>
        <v>5</v>
      </c>
      <c r="L1726" s="1">
        <f>DefaultValues!$C$4</f>
        <v>0.5</v>
      </c>
      <c r="M1726" s="1" t="str">
        <f>DefaultValues!$D$4</f>
        <v xml:space="preserve">- Within interchange - </v>
      </c>
      <c r="N1726" s="1">
        <v>999.62298599999997</v>
      </c>
      <c r="O1726" s="1">
        <f>ABS(Table4[[#This Row],[EndMP]]-Table4[[#This Row],[StartMP]])</f>
        <v>0.16</v>
      </c>
      <c r="P1726" s="1" t="str">
        <f>IF( AND( Table4[[#This Row],[Route]]=ClosureLocation!$B$3, ClosureLocation!$B$6 &gt;= Table4[[#This Row],[StartMP]], ClosureLocation!$B$6 &lt;= Table4[[#This Row],[EndMP]]), "Yes", "")</f>
        <v/>
      </c>
      <c r="Q1726" s="1" t="str">
        <f>IF( AND( Table4[[#This Row],[Route]]=ClosureLocation!$B$3, ClosureLocation!$B$6 &lt;= Table4[[#This Row],[StartMP]], ClosureLocation!$B$6 &gt;= Table4[[#This Row],[EndMP]]), "Yes", "")</f>
        <v/>
      </c>
      <c r="R1726" s="1" t="str">
        <f>IF( OR( Table4[[#This Row],[PrimaryMatch]]="Yes", Table4[[#This Row],[SecondaryMatch]]="Yes"), "Yes", "")</f>
        <v/>
      </c>
    </row>
    <row r="1727" spans="1:18" hidden="1" x14ac:dyDescent="0.25">
      <c r="A1727" t="s">
        <v>876</v>
      </c>
      <c r="B1727" t="s">
        <v>3205</v>
      </c>
      <c r="C1727" t="s">
        <v>3222</v>
      </c>
      <c r="D1727" t="s">
        <v>4668</v>
      </c>
      <c r="E1727" s="1">
        <v>2.194</v>
      </c>
      <c r="F1727" s="1">
        <v>2.7109999999999999</v>
      </c>
      <c r="K1727" s="39">
        <f>DefaultValues!$B$4</f>
        <v>5</v>
      </c>
      <c r="L1727" s="1">
        <f>DefaultValues!$C$4</f>
        <v>0.5</v>
      </c>
      <c r="M1727" s="1" t="str">
        <f>DefaultValues!$D$4</f>
        <v xml:space="preserve">- Within interchange - </v>
      </c>
      <c r="N1727" s="1">
        <v>2.194</v>
      </c>
      <c r="O1727" s="1">
        <f>ABS(Table4[[#This Row],[EndMP]]-Table4[[#This Row],[StartMP]])</f>
        <v>0.5169999999999999</v>
      </c>
      <c r="P1727" s="1" t="str">
        <f>IF( AND( Table4[[#This Row],[Route]]=ClosureLocation!$B$3, ClosureLocation!$B$6 &gt;= Table4[[#This Row],[StartMP]], ClosureLocation!$B$6 &lt;= Table4[[#This Row],[EndMP]]), "Yes", "")</f>
        <v/>
      </c>
      <c r="Q1727" s="1" t="str">
        <f>IF( AND( Table4[[#This Row],[Route]]=ClosureLocation!$B$3, ClosureLocation!$B$6 &lt;= Table4[[#This Row],[StartMP]], ClosureLocation!$B$6 &gt;= Table4[[#This Row],[EndMP]]), "Yes", "")</f>
        <v/>
      </c>
      <c r="R1727" s="1" t="str">
        <f>IF( OR( Table4[[#This Row],[PrimaryMatch]]="Yes", Table4[[#This Row],[SecondaryMatch]]="Yes"), "Yes", "")</f>
        <v/>
      </c>
    </row>
    <row r="1728" spans="1:18" hidden="1" x14ac:dyDescent="0.25">
      <c r="A1728" t="s">
        <v>876</v>
      </c>
      <c r="B1728" t="s">
        <v>3209</v>
      </c>
      <c r="C1728" t="s">
        <v>3226</v>
      </c>
      <c r="D1728" t="s">
        <v>4669</v>
      </c>
      <c r="E1728" s="1">
        <v>2.4380000000000002</v>
      </c>
      <c r="F1728" s="1">
        <v>2.194</v>
      </c>
      <c r="K1728" s="39">
        <f>DefaultValues!$B$4</f>
        <v>5</v>
      </c>
      <c r="L1728" s="1">
        <f>DefaultValues!$C$4</f>
        <v>0.5</v>
      </c>
      <c r="M1728" s="1" t="str">
        <f>DefaultValues!$D$4</f>
        <v xml:space="preserve">- Within interchange - </v>
      </c>
      <c r="N1728" s="1">
        <v>997.56201199999998</v>
      </c>
      <c r="O1728" s="1">
        <f>ABS(Table4[[#This Row],[EndMP]]-Table4[[#This Row],[StartMP]])</f>
        <v>0.24400000000000022</v>
      </c>
      <c r="P1728" s="1" t="str">
        <f>IF( AND( Table4[[#This Row],[Route]]=ClosureLocation!$B$3, ClosureLocation!$B$6 &gt;= Table4[[#This Row],[StartMP]], ClosureLocation!$B$6 &lt;= Table4[[#This Row],[EndMP]]), "Yes", "")</f>
        <v/>
      </c>
      <c r="Q1728" s="1" t="str">
        <f>IF( AND( Table4[[#This Row],[Route]]=ClosureLocation!$B$3, ClosureLocation!$B$6 &lt;= Table4[[#This Row],[StartMP]], ClosureLocation!$B$6 &gt;= Table4[[#This Row],[EndMP]]), "Yes", "")</f>
        <v/>
      </c>
      <c r="R1728" s="1" t="str">
        <f>IF( OR( Table4[[#This Row],[PrimaryMatch]]="Yes", Table4[[#This Row],[SecondaryMatch]]="Yes"), "Yes", "")</f>
        <v/>
      </c>
    </row>
    <row r="1729" spans="1:18" hidden="1" x14ac:dyDescent="0.25">
      <c r="A1729" t="s">
        <v>897</v>
      </c>
      <c r="B1729" t="s">
        <v>3205</v>
      </c>
      <c r="C1729" t="s">
        <v>3206</v>
      </c>
      <c r="D1729" t="s">
        <v>3817</v>
      </c>
      <c r="E1729" s="1">
        <v>176.371994</v>
      </c>
      <c r="F1729" s="1">
        <v>176.63999899999999</v>
      </c>
      <c r="K1729" s="39">
        <f>DefaultValues!$B$4</f>
        <v>5</v>
      </c>
      <c r="L1729" s="1">
        <f>DefaultValues!$C$4</f>
        <v>0.5</v>
      </c>
      <c r="M1729" s="1" t="str">
        <f>DefaultValues!$D$4</f>
        <v xml:space="preserve">- Within interchange - </v>
      </c>
      <c r="N1729" s="1">
        <v>176.371994</v>
      </c>
      <c r="O1729" s="1">
        <f>ABS(Table4[[#This Row],[EndMP]]-Table4[[#This Row],[StartMP]])</f>
        <v>0.26800499999998806</v>
      </c>
      <c r="P1729" s="1" t="str">
        <f>IF( AND( Table4[[#This Row],[Route]]=ClosureLocation!$B$3, ClosureLocation!$B$6 &gt;= Table4[[#This Row],[StartMP]], ClosureLocation!$B$6 &lt;= Table4[[#This Row],[EndMP]]), "Yes", "")</f>
        <v/>
      </c>
      <c r="Q1729" s="1" t="str">
        <f>IF( AND( Table4[[#This Row],[Route]]=ClosureLocation!$B$3, ClosureLocation!$B$6 &lt;= Table4[[#This Row],[StartMP]], ClosureLocation!$B$6 &gt;= Table4[[#This Row],[EndMP]]), "Yes", "")</f>
        <v/>
      </c>
      <c r="R1729" s="1" t="str">
        <f>IF( OR( Table4[[#This Row],[PrimaryMatch]]="Yes", Table4[[#This Row],[SecondaryMatch]]="Yes"), "Yes", "")</f>
        <v/>
      </c>
    </row>
    <row r="1730" spans="1:18" hidden="1" x14ac:dyDescent="0.25">
      <c r="A1730" t="s">
        <v>897</v>
      </c>
      <c r="B1730" t="s">
        <v>3209</v>
      </c>
      <c r="C1730" t="s">
        <v>3210</v>
      </c>
      <c r="D1730" t="s">
        <v>3820</v>
      </c>
      <c r="E1730" s="1">
        <v>176.63999899999999</v>
      </c>
      <c r="F1730" s="1">
        <v>176.371994</v>
      </c>
      <c r="K1730" s="39">
        <f>DefaultValues!$B$4</f>
        <v>5</v>
      </c>
      <c r="L1730" s="1">
        <f>DefaultValues!$C$4</f>
        <v>0.5</v>
      </c>
      <c r="M1730" s="1" t="str">
        <f>DefaultValues!$D$4</f>
        <v xml:space="preserve">- Within interchange - </v>
      </c>
      <c r="N1730" s="1">
        <v>823.35998500000005</v>
      </c>
      <c r="O1730" s="1">
        <f>ABS(Table4[[#This Row],[EndMP]]-Table4[[#This Row],[StartMP]])</f>
        <v>0.26800499999998806</v>
      </c>
      <c r="P1730" s="1" t="str">
        <f>IF( AND( Table4[[#This Row],[Route]]=ClosureLocation!$B$3, ClosureLocation!$B$6 &gt;= Table4[[#This Row],[StartMP]], ClosureLocation!$B$6 &lt;= Table4[[#This Row],[EndMP]]), "Yes", "")</f>
        <v/>
      </c>
      <c r="Q1730" s="1" t="str">
        <f>IF( AND( Table4[[#This Row],[Route]]=ClosureLocation!$B$3, ClosureLocation!$B$6 &lt;= Table4[[#This Row],[StartMP]], ClosureLocation!$B$6 &gt;= Table4[[#This Row],[EndMP]]), "Yes", "")</f>
        <v/>
      </c>
      <c r="R1730" s="1" t="str">
        <f>IF( OR( Table4[[#This Row],[PrimaryMatch]]="Yes", Table4[[#This Row],[SecondaryMatch]]="Yes"), "Yes", "")</f>
        <v/>
      </c>
    </row>
    <row r="1731" spans="1:18" hidden="1" x14ac:dyDescent="0.25">
      <c r="A1731" t="s">
        <v>902</v>
      </c>
      <c r="B1731" t="s">
        <v>3205</v>
      </c>
      <c r="C1731" t="s">
        <v>3226</v>
      </c>
      <c r="D1731" t="s">
        <v>3830</v>
      </c>
      <c r="E1731" s="1">
        <v>0</v>
      </c>
      <c r="F1731" s="1">
        <v>0.11</v>
      </c>
      <c r="K1731" s="39">
        <f>DefaultValues!$B$4</f>
        <v>5</v>
      </c>
      <c r="L1731" s="1">
        <f>DefaultValues!$C$4</f>
        <v>0.5</v>
      </c>
      <c r="M1731" s="1" t="str">
        <f>DefaultValues!$D$4</f>
        <v xml:space="preserve">- Within interchange - </v>
      </c>
      <c r="N1731" s="1">
        <v>0</v>
      </c>
      <c r="O1731" s="1">
        <f>ABS(Table4[[#This Row],[EndMP]]-Table4[[#This Row],[StartMP]])</f>
        <v>0.11</v>
      </c>
      <c r="P1731" s="1" t="str">
        <f>IF( AND( Table4[[#This Row],[Route]]=ClosureLocation!$B$3, ClosureLocation!$B$6 &gt;= Table4[[#This Row],[StartMP]], ClosureLocation!$B$6 &lt;= Table4[[#This Row],[EndMP]]), "Yes", "")</f>
        <v/>
      </c>
      <c r="Q1731" s="1" t="str">
        <f>IF( AND( Table4[[#This Row],[Route]]=ClosureLocation!$B$3, ClosureLocation!$B$6 &lt;= Table4[[#This Row],[StartMP]], ClosureLocation!$B$6 &gt;= Table4[[#This Row],[EndMP]]), "Yes", "")</f>
        <v/>
      </c>
      <c r="R1731" s="1" t="str">
        <f>IF( OR( Table4[[#This Row],[PrimaryMatch]]="Yes", Table4[[#This Row],[SecondaryMatch]]="Yes"), "Yes", "")</f>
        <v/>
      </c>
    </row>
    <row r="1732" spans="1:18" hidden="1" x14ac:dyDescent="0.25">
      <c r="A1732" t="s">
        <v>902</v>
      </c>
      <c r="B1732" t="s">
        <v>3209</v>
      </c>
      <c r="C1732" t="s">
        <v>3222</v>
      </c>
      <c r="D1732" t="s">
        <v>3827</v>
      </c>
      <c r="E1732" s="1">
        <v>0.11</v>
      </c>
      <c r="F1732" s="1">
        <v>0</v>
      </c>
      <c r="K1732" s="39">
        <f>DefaultValues!$B$4</f>
        <v>5</v>
      </c>
      <c r="L1732" s="1">
        <f>DefaultValues!$C$4</f>
        <v>0.5</v>
      </c>
      <c r="M1732" s="1" t="str">
        <f>DefaultValues!$D$4</f>
        <v xml:space="preserve">- Within interchange - </v>
      </c>
      <c r="N1732" s="1">
        <v>999.89001499999995</v>
      </c>
      <c r="O1732" s="1">
        <f>ABS(Table4[[#This Row],[EndMP]]-Table4[[#This Row],[StartMP]])</f>
        <v>0.11</v>
      </c>
      <c r="P1732" s="1" t="str">
        <f>IF( AND( Table4[[#This Row],[Route]]=ClosureLocation!$B$3, ClosureLocation!$B$6 &gt;= Table4[[#This Row],[StartMP]], ClosureLocation!$B$6 &lt;= Table4[[#This Row],[EndMP]]), "Yes", "")</f>
        <v/>
      </c>
      <c r="Q1732" s="1" t="str">
        <f>IF( AND( Table4[[#This Row],[Route]]=ClosureLocation!$B$3, ClosureLocation!$B$6 &lt;= Table4[[#This Row],[StartMP]], ClosureLocation!$B$6 &gt;= Table4[[#This Row],[EndMP]]), "Yes", "")</f>
        <v/>
      </c>
      <c r="R1732" s="1" t="str">
        <f>IF( OR( Table4[[#This Row],[PrimaryMatch]]="Yes", Table4[[#This Row],[SecondaryMatch]]="Yes"), "Yes", "")</f>
        <v/>
      </c>
    </row>
    <row r="1733" spans="1:18" hidden="1" x14ac:dyDescent="0.25">
      <c r="A1733" t="s">
        <v>910</v>
      </c>
      <c r="B1733" t="s">
        <v>3205</v>
      </c>
      <c r="C1733" t="s">
        <v>3222</v>
      </c>
      <c r="D1733" t="s">
        <v>4670</v>
      </c>
      <c r="E1733" s="1">
        <v>0</v>
      </c>
      <c r="F1733" s="1">
        <v>0.374</v>
      </c>
      <c r="K1733" s="39">
        <f>DefaultValues!$B$4</f>
        <v>5</v>
      </c>
      <c r="L1733" s="1">
        <f>DefaultValues!$C$4</f>
        <v>0.5</v>
      </c>
      <c r="M1733" s="1" t="str">
        <f>DefaultValues!$D$4</f>
        <v xml:space="preserve">- Within interchange - </v>
      </c>
      <c r="N1733" s="1">
        <v>0</v>
      </c>
      <c r="O1733" s="1">
        <f>ABS(Table4[[#This Row],[EndMP]]-Table4[[#This Row],[StartMP]])</f>
        <v>0.374</v>
      </c>
      <c r="P1733" s="1" t="str">
        <f>IF( AND( Table4[[#This Row],[Route]]=ClosureLocation!$B$3, ClosureLocation!$B$6 &gt;= Table4[[#This Row],[StartMP]], ClosureLocation!$B$6 &lt;= Table4[[#This Row],[EndMP]]), "Yes", "")</f>
        <v/>
      </c>
      <c r="Q1733" s="1" t="str">
        <f>IF( AND( Table4[[#This Row],[Route]]=ClosureLocation!$B$3, ClosureLocation!$B$6 &lt;= Table4[[#This Row],[StartMP]], ClosureLocation!$B$6 &gt;= Table4[[#This Row],[EndMP]]), "Yes", "")</f>
        <v/>
      </c>
      <c r="R1733" s="1" t="str">
        <f>IF( OR( Table4[[#This Row],[PrimaryMatch]]="Yes", Table4[[#This Row],[SecondaryMatch]]="Yes"), "Yes", "")</f>
        <v/>
      </c>
    </row>
    <row r="1734" spans="1:18" hidden="1" x14ac:dyDescent="0.25">
      <c r="A1734" t="s">
        <v>917</v>
      </c>
      <c r="B1734" t="s">
        <v>3205</v>
      </c>
      <c r="C1734" t="s">
        <v>3222</v>
      </c>
      <c r="D1734" t="s">
        <v>3837</v>
      </c>
      <c r="E1734" s="1">
        <v>0</v>
      </c>
      <c r="F1734" s="1">
        <v>0.495</v>
      </c>
      <c r="K1734" s="39">
        <f>DefaultValues!$B$4</f>
        <v>5</v>
      </c>
      <c r="L1734" s="1">
        <f>DefaultValues!$C$4</f>
        <v>0.5</v>
      </c>
      <c r="M1734" s="1" t="str">
        <f>DefaultValues!$D$4</f>
        <v xml:space="preserve">- Within interchange - </v>
      </c>
      <c r="N1734" s="1">
        <v>0</v>
      </c>
      <c r="O1734" s="1">
        <f>ABS(Table4[[#This Row],[EndMP]]-Table4[[#This Row],[StartMP]])</f>
        <v>0.495</v>
      </c>
      <c r="P1734" s="1" t="str">
        <f>IF( AND( Table4[[#This Row],[Route]]=ClosureLocation!$B$3, ClosureLocation!$B$6 &gt;= Table4[[#This Row],[StartMP]], ClosureLocation!$B$6 &lt;= Table4[[#This Row],[EndMP]]), "Yes", "")</f>
        <v/>
      </c>
      <c r="Q1734" s="1" t="str">
        <f>IF( AND( Table4[[#This Row],[Route]]=ClosureLocation!$B$3, ClosureLocation!$B$6 &lt;= Table4[[#This Row],[StartMP]], ClosureLocation!$B$6 &gt;= Table4[[#This Row],[EndMP]]), "Yes", "")</f>
        <v/>
      </c>
      <c r="R1734" s="1" t="str">
        <f>IF( OR( Table4[[#This Row],[PrimaryMatch]]="Yes", Table4[[#This Row],[SecondaryMatch]]="Yes"), "Yes", "")</f>
        <v/>
      </c>
    </row>
    <row r="1735" spans="1:18" hidden="1" x14ac:dyDescent="0.25">
      <c r="A1735" t="s">
        <v>917</v>
      </c>
      <c r="B1735" t="s">
        <v>3205</v>
      </c>
      <c r="C1735" t="s">
        <v>3222</v>
      </c>
      <c r="D1735" t="s">
        <v>3837</v>
      </c>
      <c r="E1735" s="1">
        <v>1.44</v>
      </c>
      <c r="F1735" s="1">
        <v>2</v>
      </c>
      <c r="K1735" s="39">
        <f>DefaultValues!$B$4</f>
        <v>5</v>
      </c>
      <c r="L1735" s="1">
        <f>DefaultValues!$C$4</f>
        <v>0.5</v>
      </c>
      <c r="M1735" s="1" t="str">
        <f>DefaultValues!$D$4</f>
        <v xml:space="preserve">- Within interchange - </v>
      </c>
      <c r="N1735" s="1">
        <v>1.44</v>
      </c>
      <c r="O1735" s="1">
        <f>ABS(Table4[[#This Row],[EndMP]]-Table4[[#This Row],[StartMP]])</f>
        <v>0.56000000000000005</v>
      </c>
      <c r="P1735" s="1" t="str">
        <f>IF( AND( Table4[[#This Row],[Route]]=ClosureLocation!$B$3, ClosureLocation!$B$6 &gt;= Table4[[#This Row],[StartMP]], ClosureLocation!$B$6 &lt;= Table4[[#This Row],[EndMP]]), "Yes", "")</f>
        <v/>
      </c>
      <c r="Q1735" s="1" t="str">
        <f>IF( AND( Table4[[#This Row],[Route]]=ClosureLocation!$B$3, ClosureLocation!$B$6 &lt;= Table4[[#This Row],[StartMP]], ClosureLocation!$B$6 &gt;= Table4[[#This Row],[EndMP]]), "Yes", "")</f>
        <v/>
      </c>
      <c r="R1735" s="1" t="str">
        <f>IF( OR( Table4[[#This Row],[PrimaryMatch]]="Yes", Table4[[#This Row],[SecondaryMatch]]="Yes"), "Yes", "")</f>
        <v/>
      </c>
    </row>
    <row r="1736" spans="1:18" hidden="1" x14ac:dyDescent="0.25">
      <c r="A1736" t="s">
        <v>917</v>
      </c>
      <c r="B1736" t="s">
        <v>3205</v>
      </c>
      <c r="C1736" t="s">
        <v>3222</v>
      </c>
      <c r="D1736" t="s">
        <v>3837</v>
      </c>
      <c r="E1736" s="1">
        <v>2.9510000000000001</v>
      </c>
      <c r="F1736" s="1">
        <v>3.5750000000000002</v>
      </c>
      <c r="K1736" s="39">
        <f>DefaultValues!$B$4</f>
        <v>5</v>
      </c>
      <c r="L1736" s="1">
        <f>DefaultValues!$C$4</f>
        <v>0.5</v>
      </c>
      <c r="M1736" s="1" t="str">
        <f>DefaultValues!$D$4</f>
        <v xml:space="preserve">- Within interchange - </v>
      </c>
      <c r="N1736" s="1">
        <v>2.9510000000000001</v>
      </c>
      <c r="O1736" s="1">
        <f>ABS(Table4[[#This Row],[EndMP]]-Table4[[#This Row],[StartMP]])</f>
        <v>0.62400000000000011</v>
      </c>
      <c r="P1736" s="1" t="str">
        <f>IF( AND( Table4[[#This Row],[Route]]=ClosureLocation!$B$3, ClosureLocation!$B$6 &gt;= Table4[[#This Row],[StartMP]], ClosureLocation!$B$6 &lt;= Table4[[#This Row],[EndMP]]), "Yes", "")</f>
        <v/>
      </c>
      <c r="Q1736" s="1" t="str">
        <f>IF( AND( Table4[[#This Row],[Route]]=ClosureLocation!$B$3, ClosureLocation!$B$6 &lt;= Table4[[#This Row],[StartMP]], ClosureLocation!$B$6 &gt;= Table4[[#This Row],[EndMP]]), "Yes", "")</f>
        <v/>
      </c>
      <c r="R1736" s="1" t="str">
        <f>IF( OR( Table4[[#This Row],[PrimaryMatch]]="Yes", Table4[[#This Row],[SecondaryMatch]]="Yes"), "Yes", "")</f>
        <v/>
      </c>
    </row>
    <row r="1737" spans="1:18" hidden="1" x14ac:dyDescent="0.25">
      <c r="A1737" t="s">
        <v>917</v>
      </c>
      <c r="B1737" t="s">
        <v>3205</v>
      </c>
      <c r="C1737" t="s">
        <v>3222</v>
      </c>
      <c r="D1737" t="s">
        <v>3837</v>
      </c>
      <c r="E1737" s="1">
        <v>4.0789999999999997</v>
      </c>
      <c r="F1737" s="1">
        <v>4.7469999999999999</v>
      </c>
      <c r="K1737" s="39">
        <f>DefaultValues!$B$4</f>
        <v>5</v>
      </c>
      <c r="L1737" s="1">
        <f>DefaultValues!$C$4</f>
        <v>0.5</v>
      </c>
      <c r="M1737" s="1" t="str">
        <f>DefaultValues!$D$4</f>
        <v xml:space="preserve">- Within interchange - </v>
      </c>
      <c r="N1737" s="1">
        <v>4.0789999999999997</v>
      </c>
      <c r="O1737" s="1">
        <f>ABS(Table4[[#This Row],[EndMP]]-Table4[[#This Row],[StartMP]])</f>
        <v>0.66800000000000015</v>
      </c>
      <c r="P1737" s="1" t="str">
        <f>IF( AND( Table4[[#This Row],[Route]]=ClosureLocation!$B$3, ClosureLocation!$B$6 &gt;= Table4[[#This Row],[StartMP]], ClosureLocation!$B$6 &lt;= Table4[[#This Row],[EndMP]]), "Yes", "")</f>
        <v/>
      </c>
      <c r="Q1737" s="1" t="str">
        <f>IF( AND( Table4[[#This Row],[Route]]=ClosureLocation!$B$3, ClosureLocation!$B$6 &lt;= Table4[[#This Row],[StartMP]], ClosureLocation!$B$6 &gt;= Table4[[#This Row],[EndMP]]), "Yes", "")</f>
        <v/>
      </c>
      <c r="R1737" s="1" t="str">
        <f>IF( OR( Table4[[#This Row],[PrimaryMatch]]="Yes", Table4[[#This Row],[SecondaryMatch]]="Yes"), "Yes", "")</f>
        <v/>
      </c>
    </row>
    <row r="1738" spans="1:18" hidden="1" x14ac:dyDescent="0.25">
      <c r="A1738" t="s">
        <v>917</v>
      </c>
      <c r="B1738" t="s">
        <v>3205</v>
      </c>
      <c r="C1738" t="s">
        <v>3222</v>
      </c>
      <c r="D1738" t="s">
        <v>3837</v>
      </c>
      <c r="E1738" s="1">
        <v>5.1779999999999999</v>
      </c>
      <c r="F1738" s="1">
        <v>6.0229999999999997</v>
      </c>
      <c r="K1738" s="39">
        <f>DefaultValues!$B$4</f>
        <v>5</v>
      </c>
      <c r="L1738" s="1">
        <f>DefaultValues!$C$4</f>
        <v>0.5</v>
      </c>
      <c r="M1738" s="1" t="str">
        <f>DefaultValues!$D$4</f>
        <v xml:space="preserve">- Within interchange - </v>
      </c>
      <c r="N1738" s="1">
        <v>5.1779999999999999</v>
      </c>
      <c r="O1738" s="1">
        <f>ABS(Table4[[#This Row],[EndMP]]-Table4[[#This Row],[StartMP]])</f>
        <v>0.84499999999999975</v>
      </c>
      <c r="P1738" s="1" t="str">
        <f>IF( AND( Table4[[#This Row],[Route]]=ClosureLocation!$B$3, ClosureLocation!$B$6 &gt;= Table4[[#This Row],[StartMP]], ClosureLocation!$B$6 &lt;= Table4[[#This Row],[EndMP]]), "Yes", "")</f>
        <v/>
      </c>
      <c r="Q1738" s="1" t="str">
        <f>IF( AND( Table4[[#This Row],[Route]]=ClosureLocation!$B$3, ClosureLocation!$B$6 &lt;= Table4[[#This Row],[StartMP]], ClosureLocation!$B$6 &gt;= Table4[[#This Row],[EndMP]]), "Yes", "")</f>
        <v/>
      </c>
      <c r="R1738" s="1" t="str">
        <f>IF( OR( Table4[[#This Row],[PrimaryMatch]]="Yes", Table4[[#This Row],[SecondaryMatch]]="Yes"), "Yes", "")</f>
        <v/>
      </c>
    </row>
    <row r="1739" spans="1:18" hidden="1" x14ac:dyDescent="0.25">
      <c r="A1739" t="s">
        <v>917</v>
      </c>
      <c r="B1739" t="s">
        <v>3205</v>
      </c>
      <c r="C1739" t="s">
        <v>3222</v>
      </c>
      <c r="D1739" t="s">
        <v>3837</v>
      </c>
      <c r="E1739" s="1">
        <v>6.4359999999999999</v>
      </c>
      <c r="F1739" s="1">
        <v>7.5469999999999997</v>
      </c>
      <c r="K1739" s="39">
        <f>DefaultValues!$B$4</f>
        <v>5</v>
      </c>
      <c r="L1739" s="1">
        <f>DefaultValues!$C$4</f>
        <v>0.5</v>
      </c>
      <c r="M1739" s="1" t="str">
        <f>DefaultValues!$D$4</f>
        <v xml:space="preserve">- Within interchange - </v>
      </c>
      <c r="N1739" s="1">
        <v>6.4359999999999999</v>
      </c>
      <c r="O1739" s="1">
        <f>ABS(Table4[[#This Row],[EndMP]]-Table4[[#This Row],[StartMP]])</f>
        <v>1.1109999999999998</v>
      </c>
      <c r="P1739" s="1" t="str">
        <f>IF( AND( Table4[[#This Row],[Route]]=ClosureLocation!$B$3, ClosureLocation!$B$6 &gt;= Table4[[#This Row],[StartMP]], ClosureLocation!$B$6 &lt;= Table4[[#This Row],[EndMP]]), "Yes", "")</f>
        <v/>
      </c>
      <c r="Q1739" s="1" t="str">
        <f>IF( AND( Table4[[#This Row],[Route]]=ClosureLocation!$B$3, ClosureLocation!$B$6 &lt;= Table4[[#This Row],[StartMP]], ClosureLocation!$B$6 &gt;= Table4[[#This Row],[EndMP]]), "Yes", "")</f>
        <v/>
      </c>
      <c r="R1739" s="1" t="str">
        <f>IF( OR( Table4[[#This Row],[PrimaryMatch]]="Yes", Table4[[#This Row],[SecondaryMatch]]="Yes"), "Yes", "")</f>
        <v/>
      </c>
    </row>
    <row r="1740" spans="1:18" hidden="1" x14ac:dyDescent="0.25">
      <c r="A1740" t="s">
        <v>917</v>
      </c>
      <c r="B1740" t="s">
        <v>3205</v>
      </c>
      <c r="C1740" t="s">
        <v>3222</v>
      </c>
      <c r="D1740" t="s">
        <v>3837</v>
      </c>
      <c r="E1740" s="1">
        <v>10.295</v>
      </c>
      <c r="F1740" s="1">
        <v>10.59</v>
      </c>
      <c r="K1740" s="39">
        <f>DefaultValues!$B$4</f>
        <v>5</v>
      </c>
      <c r="L1740" s="1">
        <f>DefaultValues!$C$4</f>
        <v>0.5</v>
      </c>
      <c r="M1740" s="1" t="str">
        <f>DefaultValues!$D$4</f>
        <v xml:space="preserve">- Within interchange - </v>
      </c>
      <c r="N1740" s="1">
        <v>10.295</v>
      </c>
      <c r="O1740" s="1">
        <f>ABS(Table4[[#This Row],[EndMP]]-Table4[[#This Row],[StartMP]])</f>
        <v>0.29499999999999993</v>
      </c>
      <c r="P1740" s="1" t="str">
        <f>IF( AND( Table4[[#This Row],[Route]]=ClosureLocation!$B$3, ClosureLocation!$B$6 &gt;= Table4[[#This Row],[StartMP]], ClosureLocation!$B$6 &lt;= Table4[[#This Row],[EndMP]]), "Yes", "")</f>
        <v/>
      </c>
      <c r="Q1740" s="1" t="str">
        <f>IF( AND( Table4[[#This Row],[Route]]=ClosureLocation!$B$3, ClosureLocation!$B$6 &lt;= Table4[[#This Row],[StartMP]], ClosureLocation!$B$6 &gt;= Table4[[#This Row],[EndMP]]), "Yes", "")</f>
        <v/>
      </c>
      <c r="R1740" s="1" t="str">
        <f>IF( OR( Table4[[#This Row],[PrimaryMatch]]="Yes", Table4[[#This Row],[SecondaryMatch]]="Yes"), "Yes", "")</f>
        <v/>
      </c>
    </row>
    <row r="1741" spans="1:18" hidden="1" x14ac:dyDescent="0.25">
      <c r="A1741" t="s">
        <v>917</v>
      </c>
      <c r="B1741" t="s">
        <v>3205</v>
      </c>
      <c r="C1741" t="s">
        <v>3222</v>
      </c>
      <c r="D1741" t="s">
        <v>3837</v>
      </c>
      <c r="E1741" s="1">
        <v>11.368</v>
      </c>
      <c r="F1741" s="1">
        <v>11.776999999999999</v>
      </c>
      <c r="K1741" s="39">
        <f>DefaultValues!$B$4</f>
        <v>5</v>
      </c>
      <c r="L1741" s="1">
        <f>DefaultValues!$C$4</f>
        <v>0.5</v>
      </c>
      <c r="M1741" s="1" t="str">
        <f>DefaultValues!$D$4</f>
        <v xml:space="preserve">- Within interchange - </v>
      </c>
      <c r="N1741" s="1">
        <v>11.368</v>
      </c>
      <c r="O1741" s="1">
        <f>ABS(Table4[[#This Row],[EndMP]]-Table4[[#This Row],[StartMP]])</f>
        <v>0.40899999999999892</v>
      </c>
      <c r="P1741" s="1" t="str">
        <f>IF( AND( Table4[[#This Row],[Route]]=ClosureLocation!$B$3, ClosureLocation!$B$6 &gt;= Table4[[#This Row],[StartMP]], ClosureLocation!$B$6 &lt;= Table4[[#This Row],[EndMP]]), "Yes", "")</f>
        <v/>
      </c>
      <c r="Q1741" s="1" t="str">
        <f>IF( AND( Table4[[#This Row],[Route]]=ClosureLocation!$B$3, ClosureLocation!$B$6 &lt;= Table4[[#This Row],[StartMP]], ClosureLocation!$B$6 &gt;= Table4[[#This Row],[EndMP]]), "Yes", "")</f>
        <v/>
      </c>
      <c r="R1741" s="1" t="str">
        <f>IF( OR( Table4[[#This Row],[PrimaryMatch]]="Yes", Table4[[#This Row],[SecondaryMatch]]="Yes"), "Yes", "")</f>
        <v/>
      </c>
    </row>
    <row r="1742" spans="1:18" hidden="1" x14ac:dyDescent="0.25">
      <c r="A1742" t="s">
        <v>917</v>
      </c>
      <c r="B1742" t="s">
        <v>3205</v>
      </c>
      <c r="C1742" t="s">
        <v>3222</v>
      </c>
      <c r="D1742" t="s">
        <v>3837</v>
      </c>
      <c r="E1742" s="1">
        <v>16.150998999999999</v>
      </c>
      <c r="F1742" s="1">
        <v>16.870999999999999</v>
      </c>
      <c r="K1742" s="39">
        <f>DefaultValues!$B$4</f>
        <v>5</v>
      </c>
      <c r="L1742" s="1">
        <f>DefaultValues!$C$4</f>
        <v>0.5</v>
      </c>
      <c r="M1742" s="1" t="str">
        <f>DefaultValues!$D$4</f>
        <v xml:space="preserve">- Within interchange - </v>
      </c>
      <c r="N1742" s="1">
        <v>16.150998999999999</v>
      </c>
      <c r="O1742" s="1">
        <f>ABS(Table4[[#This Row],[EndMP]]-Table4[[#This Row],[StartMP]])</f>
        <v>0.72000099999999989</v>
      </c>
      <c r="P1742" s="1" t="str">
        <f>IF( AND( Table4[[#This Row],[Route]]=ClosureLocation!$B$3, ClosureLocation!$B$6 &gt;= Table4[[#This Row],[StartMP]], ClosureLocation!$B$6 &lt;= Table4[[#This Row],[EndMP]]), "Yes", "")</f>
        <v/>
      </c>
      <c r="Q1742" s="1" t="str">
        <f>IF( AND( Table4[[#This Row],[Route]]=ClosureLocation!$B$3, ClosureLocation!$B$6 &lt;= Table4[[#This Row],[StartMP]], ClosureLocation!$B$6 &gt;= Table4[[#This Row],[EndMP]]), "Yes", "")</f>
        <v/>
      </c>
      <c r="R1742" s="1" t="str">
        <f>IF( OR( Table4[[#This Row],[PrimaryMatch]]="Yes", Table4[[#This Row],[SecondaryMatch]]="Yes"), "Yes", "")</f>
        <v/>
      </c>
    </row>
    <row r="1743" spans="1:18" hidden="1" x14ac:dyDescent="0.25">
      <c r="A1743" t="s">
        <v>917</v>
      </c>
      <c r="B1743" t="s">
        <v>3205</v>
      </c>
      <c r="C1743" t="s">
        <v>3222</v>
      </c>
      <c r="D1743" t="s">
        <v>3837</v>
      </c>
      <c r="E1743" s="1">
        <v>19.327998999999998</v>
      </c>
      <c r="F1743" s="1">
        <v>20</v>
      </c>
      <c r="K1743" s="39">
        <f>DefaultValues!$B$4</f>
        <v>5</v>
      </c>
      <c r="L1743" s="1">
        <f>DefaultValues!$C$4</f>
        <v>0.5</v>
      </c>
      <c r="M1743" s="1" t="str">
        <f>DefaultValues!$D$4</f>
        <v xml:space="preserve">- Within interchange - </v>
      </c>
      <c r="N1743" s="1">
        <v>19.327998999999998</v>
      </c>
      <c r="O1743" s="1">
        <f>ABS(Table4[[#This Row],[EndMP]]-Table4[[#This Row],[StartMP]])</f>
        <v>0.67200100000000162</v>
      </c>
      <c r="P1743" s="1" t="str">
        <f>IF( AND( Table4[[#This Row],[Route]]=ClosureLocation!$B$3, ClosureLocation!$B$6 &gt;= Table4[[#This Row],[StartMP]], ClosureLocation!$B$6 &lt;= Table4[[#This Row],[EndMP]]), "Yes", "")</f>
        <v/>
      </c>
      <c r="Q1743" s="1" t="str">
        <f>IF( AND( Table4[[#This Row],[Route]]=ClosureLocation!$B$3, ClosureLocation!$B$6 &lt;= Table4[[#This Row],[StartMP]], ClosureLocation!$B$6 &gt;= Table4[[#This Row],[EndMP]]), "Yes", "")</f>
        <v/>
      </c>
      <c r="R1743" s="1" t="str">
        <f>IF( OR( Table4[[#This Row],[PrimaryMatch]]="Yes", Table4[[#This Row],[SecondaryMatch]]="Yes"), "Yes", "")</f>
        <v/>
      </c>
    </row>
    <row r="1744" spans="1:18" hidden="1" x14ac:dyDescent="0.25">
      <c r="A1744" t="s">
        <v>917</v>
      </c>
      <c r="B1744" t="s">
        <v>3205</v>
      </c>
      <c r="C1744" t="s">
        <v>3222</v>
      </c>
      <c r="D1744" t="s">
        <v>3837</v>
      </c>
      <c r="E1744" s="1">
        <v>20.603000999999999</v>
      </c>
      <c r="F1744" s="1">
        <v>21.186001000000001</v>
      </c>
      <c r="K1744" s="39">
        <f>DefaultValues!$B$4</f>
        <v>5</v>
      </c>
      <c r="L1744" s="1">
        <f>DefaultValues!$C$4</f>
        <v>0.5</v>
      </c>
      <c r="M1744" s="1" t="str">
        <f>DefaultValues!$D$4</f>
        <v xml:space="preserve">- Within interchange - </v>
      </c>
      <c r="N1744" s="1">
        <v>20.603000999999999</v>
      </c>
      <c r="O1744" s="1">
        <f>ABS(Table4[[#This Row],[EndMP]]-Table4[[#This Row],[StartMP]])</f>
        <v>0.58300000000000196</v>
      </c>
      <c r="P1744" s="1" t="str">
        <f>IF( AND( Table4[[#This Row],[Route]]=ClosureLocation!$B$3, ClosureLocation!$B$6 &gt;= Table4[[#This Row],[StartMP]], ClosureLocation!$B$6 &lt;= Table4[[#This Row],[EndMP]]), "Yes", "")</f>
        <v/>
      </c>
      <c r="Q1744" s="1" t="str">
        <f>IF( AND( Table4[[#This Row],[Route]]=ClosureLocation!$B$3, ClosureLocation!$B$6 &lt;= Table4[[#This Row],[StartMP]], ClosureLocation!$B$6 &gt;= Table4[[#This Row],[EndMP]]), "Yes", "")</f>
        <v/>
      </c>
      <c r="R1744" s="1" t="str">
        <f>IF( OR( Table4[[#This Row],[PrimaryMatch]]="Yes", Table4[[#This Row],[SecondaryMatch]]="Yes"), "Yes", "")</f>
        <v/>
      </c>
    </row>
    <row r="1745" spans="1:18" hidden="1" x14ac:dyDescent="0.25">
      <c r="A1745" t="s">
        <v>917</v>
      </c>
      <c r="B1745" t="s">
        <v>3205</v>
      </c>
      <c r="C1745" t="s">
        <v>3222</v>
      </c>
      <c r="D1745" t="s">
        <v>3837</v>
      </c>
      <c r="E1745" s="1">
        <v>22.209</v>
      </c>
      <c r="F1745" s="1">
        <v>22.742000999999998</v>
      </c>
      <c r="K1745" s="39">
        <f>DefaultValues!$B$4</f>
        <v>5</v>
      </c>
      <c r="L1745" s="1">
        <f>DefaultValues!$C$4</f>
        <v>0.5</v>
      </c>
      <c r="M1745" s="1" t="str">
        <f>DefaultValues!$D$4</f>
        <v xml:space="preserve">- Within interchange - </v>
      </c>
      <c r="N1745" s="1">
        <v>22.209</v>
      </c>
      <c r="O1745" s="1">
        <f>ABS(Table4[[#This Row],[EndMP]]-Table4[[#This Row],[StartMP]])</f>
        <v>0.53300099999999873</v>
      </c>
      <c r="P1745" s="1" t="str">
        <f>IF( AND( Table4[[#This Row],[Route]]=ClosureLocation!$B$3, ClosureLocation!$B$6 &gt;= Table4[[#This Row],[StartMP]], ClosureLocation!$B$6 &lt;= Table4[[#This Row],[EndMP]]), "Yes", "")</f>
        <v/>
      </c>
      <c r="Q1745" s="1" t="str">
        <f>IF( AND( Table4[[#This Row],[Route]]=ClosureLocation!$B$3, ClosureLocation!$B$6 &lt;= Table4[[#This Row],[StartMP]], ClosureLocation!$B$6 &gt;= Table4[[#This Row],[EndMP]]), "Yes", "")</f>
        <v/>
      </c>
      <c r="R1745" s="1" t="str">
        <f>IF( OR( Table4[[#This Row],[PrimaryMatch]]="Yes", Table4[[#This Row],[SecondaryMatch]]="Yes"), "Yes", "")</f>
        <v/>
      </c>
    </row>
    <row r="1746" spans="1:18" hidden="1" x14ac:dyDescent="0.25">
      <c r="A1746" t="s">
        <v>917</v>
      </c>
      <c r="B1746" t="s">
        <v>3205</v>
      </c>
      <c r="C1746" t="s">
        <v>3222</v>
      </c>
      <c r="D1746" t="s">
        <v>3837</v>
      </c>
      <c r="E1746" s="1">
        <v>24.931999000000001</v>
      </c>
      <c r="F1746" s="1">
        <v>25.492999999999999</v>
      </c>
      <c r="K1746" s="39">
        <f>DefaultValues!$B$4</f>
        <v>5</v>
      </c>
      <c r="L1746" s="1">
        <f>DefaultValues!$C$4</f>
        <v>0.5</v>
      </c>
      <c r="M1746" s="1" t="str">
        <f>DefaultValues!$D$4</f>
        <v xml:space="preserve">- Within interchange - </v>
      </c>
      <c r="N1746" s="1">
        <v>24.931999000000001</v>
      </c>
      <c r="O1746" s="1">
        <f>ABS(Table4[[#This Row],[EndMP]]-Table4[[#This Row],[StartMP]])</f>
        <v>0.56100099999999742</v>
      </c>
      <c r="P1746" s="1" t="str">
        <f>IF( AND( Table4[[#This Row],[Route]]=ClosureLocation!$B$3, ClosureLocation!$B$6 &gt;= Table4[[#This Row],[StartMP]], ClosureLocation!$B$6 &lt;= Table4[[#This Row],[EndMP]]), "Yes", "")</f>
        <v/>
      </c>
      <c r="Q1746" s="1" t="str">
        <f>IF( AND( Table4[[#This Row],[Route]]=ClosureLocation!$B$3, ClosureLocation!$B$6 &lt;= Table4[[#This Row],[StartMP]], ClosureLocation!$B$6 &gt;= Table4[[#This Row],[EndMP]]), "Yes", "")</f>
        <v/>
      </c>
      <c r="R1746" s="1" t="str">
        <f>IF( OR( Table4[[#This Row],[PrimaryMatch]]="Yes", Table4[[#This Row],[SecondaryMatch]]="Yes"), "Yes", "")</f>
        <v/>
      </c>
    </row>
    <row r="1747" spans="1:18" hidden="1" x14ac:dyDescent="0.25">
      <c r="A1747" t="s">
        <v>917</v>
      </c>
      <c r="B1747" t="s">
        <v>3205</v>
      </c>
      <c r="C1747" t="s">
        <v>3222</v>
      </c>
      <c r="D1747" t="s">
        <v>3837</v>
      </c>
      <c r="E1747" s="1">
        <v>31.372</v>
      </c>
      <c r="F1747" s="1">
        <v>31.636998999999999</v>
      </c>
      <c r="K1747" s="39">
        <f>DefaultValues!$B$4</f>
        <v>5</v>
      </c>
      <c r="L1747" s="1">
        <f>DefaultValues!$C$4</f>
        <v>0.5</v>
      </c>
      <c r="M1747" s="1" t="str">
        <f>DefaultValues!$D$4</f>
        <v xml:space="preserve">- Within interchange - </v>
      </c>
      <c r="N1747" s="1">
        <v>31.372</v>
      </c>
      <c r="O1747" s="1">
        <f>ABS(Table4[[#This Row],[EndMP]]-Table4[[#This Row],[StartMP]])</f>
        <v>0.26499899999999954</v>
      </c>
      <c r="P1747" s="1" t="str">
        <f>IF( AND( Table4[[#This Row],[Route]]=ClosureLocation!$B$3, ClosureLocation!$B$6 &gt;= Table4[[#This Row],[StartMP]], ClosureLocation!$B$6 &lt;= Table4[[#This Row],[EndMP]]), "Yes", "")</f>
        <v/>
      </c>
      <c r="Q1747" s="1" t="str">
        <f>IF( AND( Table4[[#This Row],[Route]]=ClosureLocation!$B$3, ClosureLocation!$B$6 &lt;= Table4[[#This Row],[StartMP]], ClosureLocation!$B$6 &gt;= Table4[[#This Row],[EndMP]]), "Yes", "")</f>
        <v/>
      </c>
      <c r="R1747" s="1" t="str">
        <f>IF( OR( Table4[[#This Row],[PrimaryMatch]]="Yes", Table4[[#This Row],[SecondaryMatch]]="Yes"), "Yes", "")</f>
        <v/>
      </c>
    </row>
    <row r="1748" spans="1:18" hidden="1" x14ac:dyDescent="0.25">
      <c r="A1748" t="s">
        <v>917</v>
      </c>
      <c r="B1748" t="s">
        <v>3205</v>
      </c>
      <c r="C1748" t="s">
        <v>3222</v>
      </c>
      <c r="D1748" t="s">
        <v>3837</v>
      </c>
      <c r="E1748" s="1">
        <v>34.200001</v>
      </c>
      <c r="F1748" s="1">
        <v>34.609000999999999</v>
      </c>
      <c r="K1748" s="39">
        <f>DefaultValues!$B$4</f>
        <v>5</v>
      </c>
      <c r="L1748" s="1">
        <f>DefaultValues!$C$4</f>
        <v>0.5</v>
      </c>
      <c r="M1748" s="1" t="str">
        <f>DefaultValues!$D$4</f>
        <v xml:space="preserve">- Within interchange - </v>
      </c>
      <c r="N1748" s="1">
        <v>34.200001</v>
      </c>
      <c r="O1748" s="1">
        <f>ABS(Table4[[#This Row],[EndMP]]-Table4[[#This Row],[StartMP]])</f>
        <v>0.40899999999999892</v>
      </c>
      <c r="P1748" s="1" t="str">
        <f>IF( AND( Table4[[#This Row],[Route]]=ClosureLocation!$B$3, ClosureLocation!$B$6 &gt;= Table4[[#This Row],[StartMP]], ClosureLocation!$B$6 &lt;= Table4[[#This Row],[EndMP]]), "Yes", "")</f>
        <v/>
      </c>
      <c r="Q1748" s="1" t="str">
        <f>IF( AND( Table4[[#This Row],[Route]]=ClosureLocation!$B$3, ClosureLocation!$B$6 &lt;= Table4[[#This Row],[StartMP]], ClosureLocation!$B$6 &gt;= Table4[[#This Row],[EndMP]]), "Yes", "")</f>
        <v/>
      </c>
      <c r="R1748" s="1" t="str">
        <f>IF( OR( Table4[[#This Row],[PrimaryMatch]]="Yes", Table4[[#This Row],[SecondaryMatch]]="Yes"), "Yes", "")</f>
        <v/>
      </c>
    </row>
    <row r="1749" spans="1:18" hidden="1" x14ac:dyDescent="0.25">
      <c r="A1749" t="s">
        <v>917</v>
      </c>
      <c r="B1749" t="s">
        <v>3205</v>
      </c>
      <c r="C1749" t="s">
        <v>3222</v>
      </c>
      <c r="D1749" t="s">
        <v>3837</v>
      </c>
      <c r="E1749" s="1">
        <v>38.693001000000002</v>
      </c>
      <c r="F1749" s="1">
        <v>39.151001000000001</v>
      </c>
      <c r="K1749" s="39">
        <f>DefaultValues!$B$4</f>
        <v>5</v>
      </c>
      <c r="L1749" s="1">
        <f>DefaultValues!$C$4</f>
        <v>0.5</v>
      </c>
      <c r="M1749" s="1" t="str">
        <f>DefaultValues!$D$4</f>
        <v xml:space="preserve">- Within interchange - </v>
      </c>
      <c r="N1749" s="1">
        <v>38.693001000000002</v>
      </c>
      <c r="O1749" s="1">
        <f>ABS(Table4[[#This Row],[EndMP]]-Table4[[#This Row],[StartMP]])</f>
        <v>0.45799999999999841</v>
      </c>
      <c r="P1749" s="1" t="str">
        <f>IF( AND( Table4[[#This Row],[Route]]=ClosureLocation!$B$3, ClosureLocation!$B$6 &gt;= Table4[[#This Row],[StartMP]], ClosureLocation!$B$6 &lt;= Table4[[#This Row],[EndMP]]), "Yes", "")</f>
        <v/>
      </c>
      <c r="Q1749" s="1" t="str">
        <f>IF( AND( Table4[[#This Row],[Route]]=ClosureLocation!$B$3, ClosureLocation!$B$6 &lt;= Table4[[#This Row],[StartMP]], ClosureLocation!$B$6 &gt;= Table4[[#This Row],[EndMP]]), "Yes", "")</f>
        <v/>
      </c>
      <c r="R1749" s="1" t="str">
        <f>IF( OR( Table4[[#This Row],[PrimaryMatch]]="Yes", Table4[[#This Row],[SecondaryMatch]]="Yes"), "Yes", "")</f>
        <v/>
      </c>
    </row>
    <row r="1750" spans="1:18" hidden="1" x14ac:dyDescent="0.25">
      <c r="A1750" t="s">
        <v>917</v>
      </c>
      <c r="B1750" t="s">
        <v>3205</v>
      </c>
      <c r="C1750" t="s">
        <v>3222</v>
      </c>
      <c r="D1750" t="s">
        <v>3837</v>
      </c>
      <c r="E1750" s="1">
        <v>47.721001000000001</v>
      </c>
      <c r="F1750" s="1">
        <v>48.231997999999997</v>
      </c>
      <c r="K1750" s="39">
        <f>DefaultValues!$B$4</f>
        <v>5</v>
      </c>
      <c r="L1750" s="1">
        <f>DefaultValues!$C$4</f>
        <v>0.5</v>
      </c>
      <c r="M1750" s="1" t="str">
        <f>DefaultValues!$D$4</f>
        <v xml:space="preserve">- Within interchange - </v>
      </c>
      <c r="N1750" s="1">
        <v>47.721001000000001</v>
      </c>
      <c r="O1750" s="1">
        <f>ABS(Table4[[#This Row],[EndMP]]-Table4[[#This Row],[StartMP]])</f>
        <v>0.51099699999999615</v>
      </c>
      <c r="P1750" s="1" t="str">
        <f>IF( AND( Table4[[#This Row],[Route]]=ClosureLocation!$B$3, ClosureLocation!$B$6 &gt;= Table4[[#This Row],[StartMP]], ClosureLocation!$B$6 &lt;= Table4[[#This Row],[EndMP]]), "Yes", "")</f>
        <v/>
      </c>
      <c r="Q1750" s="1" t="str">
        <f>IF( AND( Table4[[#This Row],[Route]]=ClosureLocation!$B$3, ClosureLocation!$B$6 &lt;= Table4[[#This Row],[StartMP]], ClosureLocation!$B$6 &gt;= Table4[[#This Row],[EndMP]]), "Yes", "")</f>
        <v/>
      </c>
      <c r="R1750" s="1" t="str">
        <f>IF( OR( Table4[[#This Row],[PrimaryMatch]]="Yes", Table4[[#This Row],[SecondaryMatch]]="Yes"), "Yes", "")</f>
        <v/>
      </c>
    </row>
    <row r="1751" spans="1:18" hidden="1" x14ac:dyDescent="0.25">
      <c r="A1751" t="s">
        <v>917</v>
      </c>
      <c r="B1751" t="s">
        <v>3205</v>
      </c>
      <c r="C1751" t="s">
        <v>3222</v>
      </c>
      <c r="D1751" t="s">
        <v>3837</v>
      </c>
      <c r="E1751" s="1">
        <v>65.944000000000003</v>
      </c>
      <c r="F1751" s="1">
        <v>66.639999000000003</v>
      </c>
      <c r="K1751" s="39">
        <f>DefaultValues!$B$4</f>
        <v>5</v>
      </c>
      <c r="L1751" s="1">
        <f>DefaultValues!$C$4</f>
        <v>0.5</v>
      </c>
      <c r="M1751" s="1" t="str">
        <f>DefaultValues!$D$4</f>
        <v xml:space="preserve">- Within interchange - </v>
      </c>
      <c r="N1751" s="1">
        <v>65.944000000000003</v>
      </c>
      <c r="O1751" s="1">
        <f>ABS(Table4[[#This Row],[EndMP]]-Table4[[#This Row],[StartMP]])</f>
        <v>0.69599900000000048</v>
      </c>
      <c r="P1751" s="1" t="str">
        <f>IF( AND( Table4[[#This Row],[Route]]=ClosureLocation!$B$3, ClosureLocation!$B$6 &gt;= Table4[[#This Row],[StartMP]], ClosureLocation!$B$6 &lt;= Table4[[#This Row],[EndMP]]), "Yes", "")</f>
        <v/>
      </c>
      <c r="Q1751" s="1" t="str">
        <f>IF( AND( Table4[[#This Row],[Route]]=ClosureLocation!$B$3, ClosureLocation!$B$6 &lt;= Table4[[#This Row],[StartMP]], ClosureLocation!$B$6 &gt;= Table4[[#This Row],[EndMP]]), "Yes", "")</f>
        <v/>
      </c>
      <c r="R1751" s="1" t="str">
        <f>IF( OR( Table4[[#This Row],[PrimaryMatch]]="Yes", Table4[[#This Row],[SecondaryMatch]]="Yes"), "Yes", "")</f>
        <v/>
      </c>
    </row>
    <row r="1752" spans="1:18" hidden="1" x14ac:dyDescent="0.25">
      <c r="A1752" t="s">
        <v>917</v>
      </c>
      <c r="B1752" t="s">
        <v>3205</v>
      </c>
      <c r="C1752" t="s">
        <v>3222</v>
      </c>
      <c r="D1752" t="s">
        <v>3837</v>
      </c>
      <c r="E1752" s="1">
        <v>72.785004000000001</v>
      </c>
      <c r="F1752" s="1">
        <v>73.419998000000007</v>
      </c>
      <c r="K1752" s="39">
        <f>DefaultValues!$B$4</f>
        <v>5</v>
      </c>
      <c r="L1752" s="1">
        <f>DefaultValues!$C$4</f>
        <v>0.5</v>
      </c>
      <c r="M1752" s="1" t="str">
        <f>DefaultValues!$D$4</f>
        <v xml:space="preserve">- Within interchange - </v>
      </c>
      <c r="N1752" s="1">
        <v>72.785004000000001</v>
      </c>
      <c r="O1752" s="1">
        <f>ABS(Table4[[#This Row],[EndMP]]-Table4[[#This Row],[StartMP]])</f>
        <v>0.63499400000000605</v>
      </c>
      <c r="P1752" s="1" t="str">
        <f>IF( AND( Table4[[#This Row],[Route]]=ClosureLocation!$B$3, ClosureLocation!$B$6 &gt;= Table4[[#This Row],[StartMP]], ClosureLocation!$B$6 &lt;= Table4[[#This Row],[EndMP]]), "Yes", "")</f>
        <v/>
      </c>
      <c r="Q1752" s="1" t="str">
        <f>IF( AND( Table4[[#This Row],[Route]]=ClosureLocation!$B$3, ClosureLocation!$B$6 &lt;= Table4[[#This Row],[StartMP]], ClosureLocation!$B$6 &gt;= Table4[[#This Row],[EndMP]]), "Yes", "")</f>
        <v/>
      </c>
      <c r="R1752" s="1" t="str">
        <f>IF( OR( Table4[[#This Row],[PrimaryMatch]]="Yes", Table4[[#This Row],[SecondaryMatch]]="Yes"), "Yes", "")</f>
        <v/>
      </c>
    </row>
    <row r="1753" spans="1:18" hidden="1" x14ac:dyDescent="0.25">
      <c r="A1753" t="s">
        <v>917</v>
      </c>
      <c r="B1753" t="s">
        <v>3205</v>
      </c>
      <c r="C1753" t="s">
        <v>3222</v>
      </c>
      <c r="D1753" t="s">
        <v>3837</v>
      </c>
      <c r="E1753" s="1">
        <v>74.106003000000001</v>
      </c>
      <c r="F1753" s="1">
        <v>75</v>
      </c>
      <c r="K1753" s="39">
        <f>DefaultValues!$B$4</f>
        <v>5</v>
      </c>
      <c r="L1753" s="1">
        <f>DefaultValues!$C$4</f>
        <v>0.5</v>
      </c>
      <c r="M1753" s="1" t="str">
        <f>DefaultValues!$D$4</f>
        <v xml:space="preserve">- Within interchange - </v>
      </c>
      <c r="N1753" s="1">
        <v>74.106003000000001</v>
      </c>
      <c r="O1753" s="1">
        <f>ABS(Table4[[#This Row],[EndMP]]-Table4[[#This Row],[StartMP]])</f>
        <v>0.89399699999999882</v>
      </c>
      <c r="P1753" s="1" t="str">
        <f>IF( AND( Table4[[#This Row],[Route]]=ClosureLocation!$B$3, ClosureLocation!$B$6 &gt;= Table4[[#This Row],[StartMP]], ClosureLocation!$B$6 &lt;= Table4[[#This Row],[EndMP]]), "Yes", "")</f>
        <v/>
      </c>
      <c r="Q1753" s="1" t="str">
        <f>IF( AND( Table4[[#This Row],[Route]]=ClosureLocation!$B$3, ClosureLocation!$B$6 &lt;= Table4[[#This Row],[StartMP]], ClosureLocation!$B$6 &gt;= Table4[[#This Row],[EndMP]]), "Yes", "")</f>
        <v/>
      </c>
      <c r="R1753" s="1" t="str">
        <f>IF( OR( Table4[[#This Row],[PrimaryMatch]]="Yes", Table4[[#This Row],[SecondaryMatch]]="Yes"), "Yes", "")</f>
        <v/>
      </c>
    </row>
    <row r="1754" spans="1:18" hidden="1" x14ac:dyDescent="0.25">
      <c r="A1754" t="s">
        <v>917</v>
      </c>
      <c r="B1754" t="s">
        <v>3205</v>
      </c>
      <c r="C1754" t="s">
        <v>3222</v>
      </c>
      <c r="D1754" t="s">
        <v>3837</v>
      </c>
      <c r="E1754" s="1">
        <v>75.461997999999994</v>
      </c>
      <c r="F1754" s="1">
        <v>76</v>
      </c>
      <c r="K1754" s="39">
        <f>DefaultValues!$B$4</f>
        <v>5</v>
      </c>
      <c r="L1754" s="1">
        <f>DefaultValues!$C$4</f>
        <v>0.5</v>
      </c>
      <c r="M1754" s="1" t="str">
        <f>DefaultValues!$D$4</f>
        <v xml:space="preserve">- Within interchange - </v>
      </c>
      <c r="N1754" s="1">
        <v>75.461997999999994</v>
      </c>
      <c r="O1754" s="1">
        <f>ABS(Table4[[#This Row],[EndMP]]-Table4[[#This Row],[StartMP]])</f>
        <v>0.53800200000000586</v>
      </c>
      <c r="P1754" s="1" t="str">
        <f>IF( AND( Table4[[#This Row],[Route]]=ClosureLocation!$B$3, ClosureLocation!$B$6 &gt;= Table4[[#This Row],[StartMP]], ClosureLocation!$B$6 &lt;= Table4[[#This Row],[EndMP]]), "Yes", "")</f>
        <v/>
      </c>
      <c r="Q1754" s="1" t="str">
        <f>IF( AND( Table4[[#This Row],[Route]]=ClosureLocation!$B$3, ClosureLocation!$B$6 &lt;= Table4[[#This Row],[StartMP]], ClosureLocation!$B$6 &gt;= Table4[[#This Row],[EndMP]]), "Yes", "")</f>
        <v/>
      </c>
      <c r="R1754" s="1" t="str">
        <f>IF( OR( Table4[[#This Row],[PrimaryMatch]]="Yes", Table4[[#This Row],[SecondaryMatch]]="Yes"), "Yes", "")</f>
        <v/>
      </c>
    </row>
    <row r="1755" spans="1:18" hidden="1" x14ac:dyDescent="0.25">
      <c r="A1755" t="s">
        <v>917</v>
      </c>
      <c r="B1755" t="s">
        <v>3205</v>
      </c>
      <c r="C1755" t="s">
        <v>3222</v>
      </c>
      <c r="D1755" t="s">
        <v>3837</v>
      </c>
      <c r="E1755" s="1">
        <v>79.045997999999997</v>
      </c>
      <c r="F1755" s="1">
        <v>79.209998999999996</v>
      </c>
      <c r="K1755" s="39">
        <f>DefaultValues!$B$4</f>
        <v>5</v>
      </c>
      <c r="L1755" s="1">
        <f>DefaultValues!$C$4</f>
        <v>0.5</v>
      </c>
      <c r="M1755" s="1" t="str">
        <f>DefaultValues!$D$4</f>
        <v xml:space="preserve">- Within interchange - </v>
      </c>
      <c r="N1755" s="1">
        <v>79.045997999999997</v>
      </c>
      <c r="O1755" s="1">
        <f>ABS(Table4[[#This Row],[EndMP]]-Table4[[#This Row],[StartMP]])</f>
        <v>0.16400099999999895</v>
      </c>
      <c r="P1755" s="1" t="str">
        <f>IF( AND( Table4[[#This Row],[Route]]=ClosureLocation!$B$3, ClosureLocation!$B$6 &gt;= Table4[[#This Row],[StartMP]], ClosureLocation!$B$6 &lt;= Table4[[#This Row],[EndMP]]), "Yes", "")</f>
        <v/>
      </c>
      <c r="Q1755" s="1" t="str">
        <f>IF( AND( Table4[[#This Row],[Route]]=ClosureLocation!$B$3, ClosureLocation!$B$6 &lt;= Table4[[#This Row],[StartMP]], ClosureLocation!$B$6 &gt;= Table4[[#This Row],[EndMP]]), "Yes", "")</f>
        <v/>
      </c>
      <c r="R1755" s="1" t="str">
        <f>IF( OR( Table4[[#This Row],[PrimaryMatch]]="Yes", Table4[[#This Row],[SecondaryMatch]]="Yes"), "Yes", "")</f>
        <v/>
      </c>
    </row>
    <row r="1756" spans="1:18" hidden="1" x14ac:dyDescent="0.25">
      <c r="A1756" t="s">
        <v>917</v>
      </c>
      <c r="B1756" t="s">
        <v>3205</v>
      </c>
      <c r="C1756" t="s">
        <v>3222</v>
      </c>
      <c r="D1756" t="s">
        <v>3837</v>
      </c>
      <c r="E1756" s="1">
        <v>79.983001999999999</v>
      </c>
      <c r="F1756" s="1">
        <v>80.390998999999994</v>
      </c>
      <c r="K1756" s="39">
        <f>DefaultValues!$B$4</f>
        <v>5</v>
      </c>
      <c r="L1756" s="1">
        <f>DefaultValues!$C$4</f>
        <v>0.5</v>
      </c>
      <c r="M1756" s="1" t="str">
        <f>DefaultValues!$D$4</f>
        <v xml:space="preserve">- Within interchange - </v>
      </c>
      <c r="N1756" s="1">
        <v>79.983001999999999</v>
      </c>
      <c r="O1756" s="1">
        <f>ABS(Table4[[#This Row],[EndMP]]-Table4[[#This Row],[StartMP]])</f>
        <v>0.40799699999999461</v>
      </c>
      <c r="P1756" s="1" t="str">
        <f>IF( AND( Table4[[#This Row],[Route]]=ClosureLocation!$B$3, ClosureLocation!$B$6 &gt;= Table4[[#This Row],[StartMP]], ClosureLocation!$B$6 &lt;= Table4[[#This Row],[EndMP]]), "Yes", "")</f>
        <v/>
      </c>
      <c r="Q1756" s="1" t="str">
        <f>IF( AND( Table4[[#This Row],[Route]]=ClosureLocation!$B$3, ClosureLocation!$B$6 &lt;= Table4[[#This Row],[StartMP]], ClosureLocation!$B$6 &gt;= Table4[[#This Row],[EndMP]]), "Yes", "")</f>
        <v/>
      </c>
      <c r="R1756" s="1" t="str">
        <f>IF( OR( Table4[[#This Row],[PrimaryMatch]]="Yes", Table4[[#This Row],[SecondaryMatch]]="Yes"), "Yes", "")</f>
        <v/>
      </c>
    </row>
    <row r="1757" spans="1:18" hidden="1" x14ac:dyDescent="0.25">
      <c r="A1757" t="s">
        <v>917</v>
      </c>
      <c r="B1757" t="s">
        <v>3205</v>
      </c>
      <c r="C1757" t="s">
        <v>3222</v>
      </c>
      <c r="D1757" t="s">
        <v>3837</v>
      </c>
      <c r="E1757" s="1">
        <v>81.456001000000001</v>
      </c>
      <c r="F1757" s="1">
        <v>81.843001999999998</v>
      </c>
      <c r="K1757" s="39">
        <f>DefaultValues!$B$4</f>
        <v>5</v>
      </c>
      <c r="L1757" s="1">
        <f>DefaultValues!$C$4</f>
        <v>0.5</v>
      </c>
      <c r="M1757" s="1" t="str">
        <f>DefaultValues!$D$4</f>
        <v xml:space="preserve">- Within interchange - </v>
      </c>
      <c r="N1757" s="1">
        <v>81.456001000000001</v>
      </c>
      <c r="O1757" s="1">
        <f>ABS(Table4[[#This Row],[EndMP]]-Table4[[#This Row],[StartMP]])</f>
        <v>0.38700099999999793</v>
      </c>
      <c r="P1757" s="1" t="str">
        <f>IF( AND( Table4[[#This Row],[Route]]=ClosureLocation!$B$3, ClosureLocation!$B$6 &gt;= Table4[[#This Row],[StartMP]], ClosureLocation!$B$6 &lt;= Table4[[#This Row],[EndMP]]), "Yes", "")</f>
        <v/>
      </c>
      <c r="Q1757" s="1" t="str">
        <f>IF( AND( Table4[[#This Row],[Route]]=ClosureLocation!$B$3, ClosureLocation!$B$6 &lt;= Table4[[#This Row],[StartMP]], ClosureLocation!$B$6 &gt;= Table4[[#This Row],[EndMP]]), "Yes", "")</f>
        <v/>
      </c>
      <c r="R1757" s="1" t="str">
        <f>IF( OR( Table4[[#This Row],[PrimaryMatch]]="Yes", Table4[[#This Row],[SecondaryMatch]]="Yes"), "Yes", "")</f>
        <v/>
      </c>
    </row>
    <row r="1758" spans="1:18" hidden="1" x14ac:dyDescent="0.25">
      <c r="A1758" t="s">
        <v>917</v>
      </c>
      <c r="B1758" t="s">
        <v>3205</v>
      </c>
      <c r="C1758" t="s">
        <v>3222</v>
      </c>
      <c r="D1758" t="s">
        <v>3837</v>
      </c>
      <c r="E1758" s="1">
        <v>85.440002000000007</v>
      </c>
      <c r="F1758" s="1">
        <v>85.635002</v>
      </c>
      <c r="K1758" s="39">
        <f>DefaultValues!$B$4</f>
        <v>5</v>
      </c>
      <c r="L1758" s="1">
        <f>DefaultValues!$C$4</f>
        <v>0.5</v>
      </c>
      <c r="M1758" s="1" t="str">
        <f>DefaultValues!$D$4</f>
        <v xml:space="preserve">- Within interchange - </v>
      </c>
      <c r="N1758" s="1">
        <v>85.440002000000007</v>
      </c>
      <c r="O1758" s="1">
        <f>ABS(Table4[[#This Row],[EndMP]]-Table4[[#This Row],[StartMP]])</f>
        <v>0.19499999999999318</v>
      </c>
      <c r="P1758" s="1" t="str">
        <f>IF( AND( Table4[[#This Row],[Route]]=ClosureLocation!$B$3, ClosureLocation!$B$6 &gt;= Table4[[#This Row],[StartMP]], ClosureLocation!$B$6 &lt;= Table4[[#This Row],[EndMP]]), "Yes", "")</f>
        <v/>
      </c>
      <c r="Q1758" s="1" t="str">
        <f>IF( AND( Table4[[#This Row],[Route]]=ClosureLocation!$B$3, ClosureLocation!$B$6 &lt;= Table4[[#This Row],[StartMP]], ClosureLocation!$B$6 &gt;= Table4[[#This Row],[EndMP]]), "Yes", "")</f>
        <v/>
      </c>
      <c r="R1758" s="1" t="str">
        <f>IF( OR( Table4[[#This Row],[PrimaryMatch]]="Yes", Table4[[#This Row],[SecondaryMatch]]="Yes"), "Yes", "")</f>
        <v/>
      </c>
    </row>
    <row r="1759" spans="1:18" hidden="1" x14ac:dyDescent="0.25">
      <c r="A1759" t="s">
        <v>917</v>
      </c>
      <c r="B1759" t="s">
        <v>3205</v>
      </c>
      <c r="C1759" t="s">
        <v>3222</v>
      </c>
      <c r="D1759" t="s">
        <v>3837</v>
      </c>
      <c r="E1759" s="1">
        <v>88.538002000000006</v>
      </c>
      <c r="F1759" s="1">
        <v>88.875</v>
      </c>
      <c r="K1759" s="39">
        <f>DefaultValues!$B$4</f>
        <v>5</v>
      </c>
      <c r="L1759" s="1">
        <f>DefaultValues!$C$4</f>
        <v>0.5</v>
      </c>
      <c r="M1759" s="1" t="str">
        <f>DefaultValues!$D$4</f>
        <v xml:space="preserve">- Within interchange - </v>
      </c>
      <c r="N1759" s="1">
        <v>88.538002000000006</v>
      </c>
      <c r="O1759" s="1">
        <f>ABS(Table4[[#This Row],[EndMP]]-Table4[[#This Row],[StartMP]])</f>
        <v>0.33699799999999414</v>
      </c>
      <c r="P1759" s="1" t="str">
        <f>IF( AND( Table4[[#This Row],[Route]]=ClosureLocation!$B$3, ClosureLocation!$B$6 &gt;= Table4[[#This Row],[StartMP]], ClosureLocation!$B$6 &lt;= Table4[[#This Row],[EndMP]]), "Yes", "")</f>
        <v/>
      </c>
      <c r="Q1759" s="1" t="str">
        <f>IF( AND( Table4[[#This Row],[Route]]=ClosureLocation!$B$3, ClosureLocation!$B$6 &lt;= Table4[[#This Row],[StartMP]], ClosureLocation!$B$6 &gt;= Table4[[#This Row],[EndMP]]), "Yes", "")</f>
        <v/>
      </c>
      <c r="R1759" s="1" t="str">
        <f>IF( OR( Table4[[#This Row],[PrimaryMatch]]="Yes", Table4[[#This Row],[SecondaryMatch]]="Yes"), "Yes", "")</f>
        <v/>
      </c>
    </row>
    <row r="1760" spans="1:18" hidden="1" x14ac:dyDescent="0.25">
      <c r="A1760" t="s">
        <v>917</v>
      </c>
      <c r="B1760" t="s">
        <v>3205</v>
      </c>
      <c r="C1760" t="s">
        <v>3222</v>
      </c>
      <c r="D1760" t="s">
        <v>3837</v>
      </c>
      <c r="E1760" s="1">
        <v>89.487999000000002</v>
      </c>
      <c r="F1760" s="1">
        <v>89.882003999999995</v>
      </c>
      <c r="K1760" s="39">
        <f>DefaultValues!$B$4</f>
        <v>5</v>
      </c>
      <c r="L1760" s="1">
        <f>DefaultValues!$C$4</f>
        <v>0.5</v>
      </c>
      <c r="M1760" s="1" t="str">
        <f>DefaultValues!$D$4</f>
        <v xml:space="preserve">- Within interchange - </v>
      </c>
      <c r="N1760" s="1">
        <v>89.487999000000002</v>
      </c>
      <c r="O1760" s="1">
        <f>ABS(Table4[[#This Row],[EndMP]]-Table4[[#This Row],[StartMP]])</f>
        <v>0.39400499999999283</v>
      </c>
      <c r="P1760" s="1" t="str">
        <f>IF( AND( Table4[[#This Row],[Route]]=ClosureLocation!$B$3, ClosureLocation!$B$6 &gt;= Table4[[#This Row],[StartMP]], ClosureLocation!$B$6 &lt;= Table4[[#This Row],[EndMP]]), "Yes", "")</f>
        <v/>
      </c>
      <c r="Q1760" s="1" t="str">
        <f>IF( AND( Table4[[#This Row],[Route]]=ClosureLocation!$B$3, ClosureLocation!$B$6 &lt;= Table4[[#This Row],[StartMP]], ClosureLocation!$B$6 &gt;= Table4[[#This Row],[EndMP]]), "Yes", "")</f>
        <v/>
      </c>
      <c r="R1760" s="1" t="str">
        <f>IF( OR( Table4[[#This Row],[PrimaryMatch]]="Yes", Table4[[#This Row],[SecondaryMatch]]="Yes"), "Yes", "")</f>
        <v/>
      </c>
    </row>
    <row r="1761" spans="1:18" hidden="1" x14ac:dyDescent="0.25">
      <c r="A1761" t="s">
        <v>917</v>
      </c>
      <c r="B1761" t="s">
        <v>3205</v>
      </c>
      <c r="C1761" t="s">
        <v>3222</v>
      </c>
      <c r="D1761" t="s">
        <v>3837</v>
      </c>
      <c r="E1761" s="1">
        <v>91.400002000000001</v>
      </c>
      <c r="F1761" s="1">
        <v>92</v>
      </c>
      <c r="K1761" s="39">
        <f>DefaultValues!$B$4</f>
        <v>5</v>
      </c>
      <c r="L1761" s="1">
        <f>DefaultValues!$C$4</f>
        <v>0.5</v>
      </c>
      <c r="M1761" s="1" t="str">
        <f>DefaultValues!$D$4</f>
        <v xml:space="preserve">- Within interchange - </v>
      </c>
      <c r="N1761" s="1">
        <v>91.400002000000001</v>
      </c>
      <c r="O1761" s="1">
        <f>ABS(Table4[[#This Row],[EndMP]]-Table4[[#This Row],[StartMP]])</f>
        <v>0.59999799999999937</v>
      </c>
      <c r="P1761" s="1" t="str">
        <f>IF( AND( Table4[[#This Row],[Route]]=ClosureLocation!$B$3, ClosureLocation!$B$6 &gt;= Table4[[#This Row],[StartMP]], ClosureLocation!$B$6 &lt;= Table4[[#This Row],[EndMP]]), "Yes", "")</f>
        <v/>
      </c>
      <c r="Q1761" s="1" t="str">
        <f>IF( AND( Table4[[#This Row],[Route]]=ClosureLocation!$B$3, ClosureLocation!$B$6 &lt;= Table4[[#This Row],[StartMP]], ClosureLocation!$B$6 &gt;= Table4[[#This Row],[EndMP]]), "Yes", "")</f>
        <v/>
      </c>
      <c r="R1761" s="1" t="str">
        <f>IF( OR( Table4[[#This Row],[PrimaryMatch]]="Yes", Table4[[#This Row],[SecondaryMatch]]="Yes"), "Yes", "")</f>
        <v/>
      </c>
    </row>
    <row r="1762" spans="1:18" hidden="1" x14ac:dyDescent="0.25">
      <c r="A1762" t="s">
        <v>917</v>
      </c>
      <c r="B1762" t="s">
        <v>3205</v>
      </c>
      <c r="C1762" t="s">
        <v>3222</v>
      </c>
      <c r="D1762" t="s">
        <v>3837</v>
      </c>
      <c r="E1762" s="1">
        <v>95.165999999999997</v>
      </c>
      <c r="F1762" s="1">
        <v>95.611000000000004</v>
      </c>
      <c r="K1762" s="39">
        <f>DefaultValues!$B$4</f>
        <v>5</v>
      </c>
      <c r="L1762" s="1">
        <f>DefaultValues!$C$4</f>
        <v>0.5</v>
      </c>
      <c r="M1762" s="1" t="str">
        <f>DefaultValues!$D$4</f>
        <v xml:space="preserve">- Within interchange - </v>
      </c>
      <c r="N1762" s="1">
        <v>95.165999999999997</v>
      </c>
      <c r="O1762" s="1">
        <f>ABS(Table4[[#This Row],[EndMP]]-Table4[[#This Row],[StartMP]])</f>
        <v>0.44500000000000739</v>
      </c>
      <c r="P1762" s="1" t="str">
        <f>IF( AND( Table4[[#This Row],[Route]]=ClosureLocation!$B$3, ClosureLocation!$B$6 &gt;= Table4[[#This Row],[StartMP]], ClosureLocation!$B$6 &lt;= Table4[[#This Row],[EndMP]]), "Yes", "")</f>
        <v/>
      </c>
      <c r="Q1762" s="1" t="str">
        <f>IF( AND( Table4[[#This Row],[Route]]=ClosureLocation!$B$3, ClosureLocation!$B$6 &lt;= Table4[[#This Row],[StartMP]], ClosureLocation!$B$6 &gt;= Table4[[#This Row],[EndMP]]), "Yes", "")</f>
        <v/>
      </c>
      <c r="R1762" s="1" t="str">
        <f>IF( OR( Table4[[#This Row],[PrimaryMatch]]="Yes", Table4[[#This Row],[SecondaryMatch]]="Yes"), "Yes", "")</f>
        <v/>
      </c>
    </row>
    <row r="1763" spans="1:18" hidden="1" x14ac:dyDescent="0.25">
      <c r="A1763" t="s">
        <v>917</v>
      </c>
      <c r="B1763" t="s">
        <v>3205</v>
      </c>
      <c r="C1763" t="s">
        <v>3222</v>
      </c>
      <c r="D1763" t="s">
        <v>3837</v>
      </c>
      <c r="E1763" s="1">
        <v>101.86900300000001</v>
      </c>
      <c r="F1763" s="1">
        <v>102.25900300000001</v>
      </c>
      <c r="K1763" s="39">
        <f>DefaultValues!$B$4</f>
        <v>5</v>
      </c>
      <c r="L1763" s="1">
        <f>DefaultValues!$C$4</f>
        <v>0.5</v>
      </c>
      <c r="M1763" s="1" t="str">
        <f>DefaultValues!$D$4</f>
        <v xml:space="preserve">- Within interchange - </v>
      </c>
      <c r="N1763" s="1">
        <v>101.86900300000001</v>
      </c>
      <c r="O1763" s="1">
        <f>ABS(Table4[[#This Row],[EndMP]]-Table4[[#This Row],[StartMP]])</f>
        <v>0.39000000000000057</v>
      </c>
      <c r="P1763" s="1" t="str">
        <f>IF( AND( Table4[[#This Row],[Route]]=ClosureLocation!$B$3, ClosureLocation!$B$6 &gt;= Table4[[#This Row],[StartMP]], ClosureLocation!$B$6 &lt;= Table4[[#This Row],[EndMP]]), "Yes", "")</f>
        <v/>
      </c>
      <c r="Q1763" s="1" t="str">
        <f>IF( AND( Table4[[#This Row],[Route]]=ClosureLocation!$B$3, ClosureLocation!$B$6 &lt;= Table4[[#This Row],[StartMP]], ClosureLocation!$B$6 &gt;= Table4[[#This Row],[EndMP]]), "Yes", "")</f>
        <v/>
      </c>
      <c r="R1763" s="1" t="str">
        <f>IF( OR( Table4[[#This Row],[PrimaryMatch]]="Yes", Table4[[#This Row],[SecondaryMatch]]="Yes"), "Yes", "")</f>
        <v/>
      </c>
    </row>
    <row r="1764" spans="1:18" hidden="1" x14ac:dyDescent="0.25">
      <c r="A1764" t="s">
        <v>917</v>
      </c>
      <c r="B1764" t="s">
        <v>3205</v>
      </c>
      <c r="C1764" t="s">
        <v>3222</v>
      </c>
      <c r="D1764" t="s">
        <v>3837</v>
      </c>
      <c r="E1764" s="1">
        <v>114.987999</v>
      </c>
      <c r="F1764" s="1">
        <v>115.47399900000001</v>
      </c>
      <c r="K1764" s="39">
        <f>DefaultValues!$B$4</f>
        <v>5</v>
      </c>
      <c r="L1764" s="1">
        <f>DefaultValues!$C$4</f>
        <v>0.5</v>
      </c>
      <c r="M1764" s="1" t="str">
        <f>DefaultValues!$D$4</f>
        <v xml:space="preserve">- Within interchange - </v>
      </c>
      <c r="N1764" s="1">
        <v>114.987999</v>
      </c>
      <c r="O1764" s="1">
        <f>ABS(Table4[[#This Row],[EndMP]]-Table4[[#This Row],[StartMP]])</f>
        <v>0.48600000000000421</v>
      </c>
      <c r="P1764" s="1" t="str">
        <f>IF( AND( Table4[[#This Row],[Route]]=ClosureLocation!$B$3, ClosureLocation!$B$6 &gt;= Table4[[#This Row],[StartMP]], ClosureLocation!$B$6 &lt;= Table4[[#This Row],[EndMP]]), "Yes", "")</f>
        <v/>
      </c>
      <c r="Q1764" s="1" t="str">
        <f>IF( AND( Table4[[#This Row],[Route]]=ClosureLocation!$B$3, ClosureLocation!$B$6 &lt;= Table4[[#This Row],[StartMP]], ClosureLocation!$B$6 &gt;= Table4[[#This Row],[EndMP]]), "Yes", "")</f>
        <v/>
      </c>
      <c r="R1764" s="1" t="str">
        <f>IF( OR( Table4[[#This Row],[PrimaryMatch]]="Yes", Table4[[#This Row],[SecondaryMatch]]="Yes"), "Yes", "")</f>
        <v/>
      </c>
    </row>
    <row r="1765" spans="1:18" hidden="1" x14ac:dyDescent="0.25">
      <c r="A1765" t="s">
        <v>917</v>
      </c>
      <c r="B1765" t="s">
        <v>3205</v>
      </c>
      <c r="C1765" t="s">
        <v>3222</v>
      </c>
      <c r="D1765" t="s">
        <v>3837</v>
      </c>
      <c r="E1765" s="1">
        <v>124.453003</v>
      </c>
      <c r="F1765" s="1">
        <v>125.14099899999999</v>
      </c>
      <c r="K1765" s="39">
        <f>DefaultValues!$B$4</f>
        <v>5</v>
      </c>
      <c r="L1765" s="1">
        <f>DefaultValues!$C$4</f>
        <v>0.5</v>
      </c>
      <c r="M1765" s="1" t="str">
        <f>DefaultValues!$D$4</f>
        <v xml:space="preserve">- Within interchange - </v>
      </c>
      <c r="N1765" s="1">
        <v>124.453003</v>
      </c>
      <c r="O1765" s="1">
        <f>ABS(Table4[[#This Row],[EndMP]]-Table4[[#This Row],[StartMP]])</f>
        <v>0.68799599999999828</v>
      </c>
      <c r="P1765" s="1" t="str">
        <f>IF( AND( Table4[[#This Row],[Route]]=ClosureLocation!$B$3, ClosureLocation!$B$6 &gt;= Table4[[#This Row],[StartMP]], ClosureLocation!$B$6 &lt;= Table4[[#This Row],[EndMP]]), "Yes", "")</f>
        <v/>
      </c>
      <c r="Q1765" s="1" t="str">
        <f>IF( AND( Table4[[#This Row],[Route]]=ClosureLocation!$B$3, ClosureLocation!$B$6 &lt;= Table4[[#This Row],[StartMP]], ClosureLocation!$B$6 &gt;= Table4[[#This Row],[EndMP]]), "Yes", "")</f>
        <v/>
      </c>
      <c r="R1765" s="1" t="str">
        <f>IF( OR( Table4[[#This Row],[PrimaryMatch]]="Yes", Table4[[#This Row],[SecondaryMatch]]="Yes"), "Yes", "")</f>
        <v/>
      </c>
    </row>
    <row r="1766" spans="1:18" hidden="1" x14ac:dyDescent="0.25">
      <c r="A1766" t="s">
        <v>917</v>
      </c>
      <c r="B1766" t="s">
        <v>3205</v>
      </c>
      <c r="C1766" t="s">
        <v>3222</v>
      </c>
      <c r="D1766" t="s">
        <v>3837</v>
      </c>
      <c r="E1766" s="1">
        <v>133.24200400000001</v>
      </c>
      <c r="F1766" s="1">
        <v>133.72500600000001</v>
      </c>
      <c r="K1766" s="39">
        <f>DefaultValues!$B$4</f>
        <v>5</v>
      </c>
      <c r="L1766" s="1">
        <f>DefaultValues!$C$4</f>
        <v>0.5</v>
      </c>
      <c r="M1766" s="1" t="str">
        <f>DefaultValues!$D$4</f>
        <v xml:space="preserve">- Within interchange - </v>
      </c>
      <c r="N1766" s="1">
        <v>133.24200400000001</v>
      </c>
      <c r="O1766" s="1">
        <f>ABS(Table4[[#This Row],[EndMP]]-Table4[[#This Row],[StartMP]])</f>
        <v>0.48300199999999904</v>
      </c>
      <c r="P1766" s="1" t="str">
        <f>IF( AND( Table4[[#This Row],[Route]]=ClosureLocation!$B$3, ClosureLocation!$B$6 &gt;= Table4[[#This Row],[StartMP]], ClosureLocation!$B$6 &lt;= Table4[[#This Row],[EndMP]]), "Yes", "")</f>
        <v/>
      </c>
      <c r="Q1766" s="1" t="str">
        <f>IF( AND( Table4[[#This Row],[Route]]=ClosureLocation!$B$3, ClosureLocation!$B$6 &lt;= Table4[[#This Row],[StartMP]], ClosureLocation!$B$6 &gt;= Table4[[#This Row],[EndMP]]), "Yes", "")</f>
        <v/>
      </c>
      <c r="R1766" s="1" t="str">
        <f>IF( OR( Table4[[#This Row],[PrimaryMatch]]="Yes", Table4[[#This Row],[SecondaryMatch]]="Yes"), "Yes", "")</f>
        <v/>
      </c>
    </row>
    <row r="1767" spans="1:18" hidden="1" x14ac:dyDescent="0.25">
      <c r="A1767" t="s">
        <v>917</v>
      </c>
      <c r="B1767" t="s">
        <v>3205</v>
      </c>
      <c r="C1767" t="s">
        <v>3222</v>
      </c>
      <c r="D1767" t="s">
        <v>3837</v>
      </c>
      <c r="E1767" s="1">
        <v>140.68800400000001</v>
      </c>
      <c r="F1767" s="1">
        <v>141.00900300000001</v>
      </c>
      <c r="K1767" s="39">
        <f>DefaultValues!$B$4</f>
        <v>5</v>
      </c>
      <c r="L1767" s="1">
        <f>DefaultValues!$C$4</f>
        <v>0.5</v>
      </c>
      <c r="M1767" s="1" t="str">
        <f>DefaultValues!$D$4</f>
        <v xml:space="preserve">- Within interchange - </v>
      </c>
      <c r="N1767" s="1">
        <v>140.68800400000001</v>
      </c>
      <c r="O1767" s="1">
        <f>ABS(Table4[[#This Row],[EndMP]]-Table4[[#This Row],[StartMP]])</f>
        <v>0.32099900000000048</v>
      </c>
      <c r="P1767" s="1" t="str">
        <f>IF( AND( Table4[[#This Row],[Route]]=ClosureLocation!$B$3, ClosureLocation!$B$6 &gt;= Table4[[#This Row],[StartMP]], ClosureLocation!$B$6 &lt;= Table4[[#This Row],[EndMP]]), "Yes", "")</f>
        <v/>
      </c>
      <c r="Q1767" s="1" t="str">
        <f>IF( AND( Table4[[#This Row],[Route]]=ClosureLocation!$B$3, ClosureLocation!$B$6 &lt;= Table4[[#This Row],[StartMP]], ClosureLocation!$B$6 &gt;= Table4[[#This Row],[EndMP]]), "Yes", "")</f>
        <v/>
      </c>
      <c r="R1767" s="1" t="str">
        <f>IF( OR( Table4[[#This Row],[PrimaryMatch]]="Yes", Table4[[#This Row],[SecondaryMatch]]="Yes"), "Yes", "")</f>
        <v/>
      </c>
    </row>
    <row r="1768" spans="1:18" hidden="1" x14ac:dyDescent="0.25">
      <c r="A1768" t="s">
        <v>917</v>
      </c>
      <c r="B1768" t="s">
        <v>3205</v>
      </c>
      <c r="C1768" t="s">
        <v>3222</v>
      </c>
      <c r="D1768" t="s">
        <v>3837</v>
      </c>
      <c r="E1768" s="1">
        <v>148.71099899999999</v>
      </c>
      <c r="F1768" s="1">
        <v>149.05600000000001</v>
      </c>
      <c r="K1768" s="39">
        <f>DefaultValues!$B$4</f>
        <v>5</v>
      </c>
      <c r="L1768" s="1">
        <f>DefaultValues!$C$4</f>
        <v>0.5</v>
      </c>
      <c r="M1768" s="1" t="str">
        <f>DefaultValues!$D$4</f>
        <v xml:space="preserve">- Within interchange - </v>
      </c>
      <c r="N1768" s="1">
        <v>148.71099899999999</v>
      </c>
      <c r="O1768" s="1">
        <f>ABS(Table4[[#This Row],[EndMP]]-Table4[[#This Row],[StartMP]])</f>
        <v>0.34500100000002476</v>
      </c>
      <c r="P1768" s="1" t="str">
        <f>IF( AND( Table4[[#This Row],[Route]]=ClosureLocation!$B$3, ClosureLocation!$B$6 &gt;= Table4[[#This Row],[StartMP]], ClosureLocation!$B$6 &lt;= Table4[[#This Row],[EndMP]]), "Yes", "")</f>
        <v/>
      </c>
      <c r="Q1768" s="1" t="str">
        <f>IF( AND( Table4[[#This Row],[Route]]=ClosureLocation!$B$3, ClosureLocation!$B$6 &lt;= Table4[[#This Row],[StartMP]], ClosureLocation!$B$6 &gt;= Table4[[#This Row],[EndMP]]), "Yes", "")</f>
        <v/>
      </c>
      <c r="R1768" s="1" t="str">
        <f>IF( OR( Table4[[#This Row],[PrimaryMatch]]="Yes", Table4[[#This Row],[SecondaryMatch]]="Yes"), "Yes", "")</f>
        <v/>
      </c>
    </row>
    <row r="1769" spans="1:18" hidden="1" x14ac:dyDescent="0.25">
      <c r="A1769" t="s">
        <v>917</v>
      </c>
      <c r="B1769" t="s">
        <v>3205</v>
      </c>
      <c r="C1769" t="s">
        <v>3222</v>
      </c>
      <c r="D1769" t="s">
        <v>3837</v>
      </c>
      <c r="E1769" s="1">
        <v>155.04800399999999</v>
      </c>
      <c r="F1769" s="1">
        <v>155.59300200000001</v>
      </c>
      <c r="K1769" s="39">
        <f>DefaultValues!$B$4</f>
        <v>5</v>
      </c>
      <c r="L1769" s="1">
        <f>DefaultValues!$C$4</f>
        <v>0.5</v>
      </c>
      <c r="M1769" s="1" t="str">
        <f>DefaultValues!$D$4</f>
        <v xml:space="preserve">- Within interchange - </v>
      </c>
      <c r="N1769" s="1">
        <v>155.04800399999999</v>
      </c>
      <c r="O1769" s="1">
        <f>ABS(Table4[[#This Row],[EndMP]]-Table4[[#This Row],[StartMP]])</f>
        <v>0.54499800000002097</v>
      </c>
      <c r="P1769" s="1" t="str">
        <f>IF( AND( Table4[[#This Row],[Route]]=ClosureLocation!$B$3, ClosureLocation!$B$6 &gt;= Table4[[#This Row],[StartMP]], ClosureLocation!$B$6 &lt;= Table4[[#This Row],[EndMP]]), "Yes", "")</f>
        <v/>
      </c>
      <c r="Q1769" s="1" t="str">
        <f>IF( AND( Table4[[#This Row],[Route]]=ClosureLocation!$B$3, ClosureLocation!$B$6 &lt;= Table4[[#This Row],[StartMP]], ClosureLocation!$B$6 &gt;= Table4[[#This Row],[EndMP]]), "Yes", "")</f>
        <v/>
      </c>
      <c r="R1769" s="1" t="str">
        <f>IF( OR( Table4[[#This Row],[PrimaryMatch]]="Yes", Table4[[#This Row],[SecondaryMatch]]="Yes"), "Yes", "")</f>
        <v/>
      </c>
    </row>
    <row r="1770" spans="1:18" hidden="1" x14ac:dyDescent="0.25">
      <c r="A1770" t="s">
        <v>917</v>
      </c>
      <c r="B1770" t="s">
        <v>3205</v>
      </c>
      <c r="C1770" t="s">
        <v>3222</v>
      </c>
      <c r="D1770" t="s">
        <v>3837</v>
      </c>
      <c r="E1770" s="1">
        <v>164.69700599999999</v>
      </c>
      <c r="F1770" s="1">
        <v>165.12600699999999</v>
      </c>
      <c r="K1770" s="39">
        <f>DefaultValues!$B$4</f>
        <v>5</v>
      </c>
      <c r="L1770" s="1">
        <f>DefaultValues!$C$4</f>
        <v>0.5</v>
      </c>
      <c r="M1770" s="1" t="str">
        <f>DefaultValues!$D$4</f>
        <v xml:space="preserve">- Within interchange - </v>
      </c>
      <c r="N1770" s="1">
        <v>164.69700599999999</v>
      </c>
      <c r="O1770" s="1">
        <f>ABS(Table4[[#This Row],[EndMP]]-Table4[[#This Row],[StartMP]])</f>
        <v>0.42900099999999952</v>
      </c>
      <c r="P1770" s="1" t="str">
        <f>IF( AND( Table4[[#This Row],[Route]]=ClosureLocation!$B$3, ClosureLocation!$B$6 &gt;= Table4[[#This Row],[StartMP]], ClosureLocation!$B$6 &lt;= Table4[[#This Row],[EndMP]]), "Yes", "")</f>
        <v/>
      </c>
      <c r="Q1770" s="1" t="str">
        <f>IF( AND( Table4[[#This Row],[Route]]=ClosureLocation!$B$3, ClosureLocation!$B$6 &lt;= Table4[[#This Row],[StartMP]], ClosureLocation!$B$6 &gt;= Table4[[#This Row],[EndMP]]), "Yes", "")</f>
        <v/>
      </c>
      <c r="R1770" s="1" t="str">
        <f>IF( OR( Table4[[#This Row],[PrimaryMatch]]="Yes", Table4[[#This Row],[SecondaryMatch]]="Yes"), "Yes", "")</f>
        <v/>
      </c>
    </row>
    <row r="1771" spans="1:18" hidden="1" x14ac:dyDescent="0.25">
      <c r="A1771" t="s">
        <v>917</v>
      </c>
      <c r="B1771" t="s">
        <v>3205</v>
      </c>
      <c r="C1771" t="s">
        <v>3222</v>
      </c>
      <c r="D1771" t="s">
        <v>3837</v>
      </c>
      <c r="E1771" s="1">
        <v>171.783005</v>
      </c>
      <c r="F1771" s="1">
        <v>172.26199299999999</v>
      </c>
      <c r="K1771" s="39">
        <f>DefaultValues!$B$4</f>
        <v>5</v>
      </c>
      <c r="L1771" s="1">
        <f>DefaultValues!$C$4</f>
        <v>0.5</v>
      </c>
      <c r="M1771" s="1" t="str">
        <f>DefaultValues!$D$4</f>
        <v xml:space="preserve">- Within interchange - </v>
      </c>
      <c r="N1771" s="1">
        <v>171.783005</v>
      </c>
      <c r="O1771" s="1">
        <f>ABS(Table4[[#This Row],[EndMP]]-Table4[[#This Row],[StartMP]])</f>
        <v>0.47898799999998687</v>
      </c>
      <c r="P1771" s="1" t="str">
        <f>IF( AND( Table4[[#This Row],[Route]]=ClosureLocation!$B$3, ClosureLocation!$B$6 &gt;= Table4[[#This Row],[StartMP]], ClosureLocation!$B$6 &lt;= Table4[[#This Row],[EndMP]]), "Yes", "")</f>
        <v/>
      </c>
      <c r="Q1771" s="1" t="str">
        <f>IF( AND( Table4[[#This Row],[Route]]=ClosureLocation!$B$3, ClosureLocation!$B$6 &lt;= Table4[[#This Row],[StartMP]], ClosureLocation!$B$6 &gt;= Table4[[#This Row],[EndMP]]), "Yes", "")</f>
        <v/>
      </c>
      <c r="R1771" s="1" t="str">
        <f>IF( OR( Table4[[#This Row],[PrimaryMatch]]="Yes", Table4[[#This Row],[SecondaryMatch]]="Yes"), "Yes", "")</f>
        <v/>
      </c>
    </row>
    <row r="1772" spans="1:18" hidden="1" x14ac:dyDescent="0.25">
      <c r="A1772" t="s">
        <v>917</v>
      </c>
      <c r="B1772" t="s">
        <v>3205</v>
      </c>
      <c r="C1772" t="s">
        <v>3222</v>
      </c>
      <c r="D1772" t="s">
        <v>3837</v>
      </c>
      <c r="E1772" s="1">
        <v>179.983002</v>
      </c>
      <c r="F1772" s="1">
        <v>180.449997</v>
      </c>
      <c r="K1772" s="39">
        <f>DefaultValues!$B$4</f>
        <v>5</v>
      </c>
      <c r="L1772" s="1">
        <f>DefaultValues!$C$4</f>
        <v>0.5</v>
      </c>
      <c r="M1772" s="1" t="str">
        <f>DefaultValues!$D$4</f>
        <v xml:space="preserve">- Within interchange - </v>
      </c>
      <c r="N1772" s="1">
        <v>179.983002</v>
      </c>
      <c r="O1772" s="1">
        <f>ABS(Table4[[#This Row],[EndMP]]-Table4[[#This Row],[StartMP]])</f>
        <v>0.46699499999999716</v>
      </c>
      <c r="P1772" s="1" t="str">
        <f>IF( AND( Table4[[#This Row],[Route]]=ClosureLocation!$B$3, ClosureLocation!$B$6 &gt;= Table4[[#This Row],[StartMP]], ClosureLocation!$B$6 &lt;= Table4[[#This Row],[EndMP]]), "Yes", "")</f>
        <v/>
      </c>
      <c r="Q1772" s="1" t="str">
        <f>IF( AND( Table4[[#This Row],[Route]]=ClosureLocation!$B$3, ClosureLocation!$B$6 &lt;= Table4[[#This Row],[StartMP]], ClosureLocation!$B$6 &gt;= Table4[[#This Row],[EndMP]]), "Yes", "")</f>
        <v/>
      </c>
      <c r="R1772" s="1" t="str">
        <f>IF( OR( Table4[[#This Row],[PrimaryMatch]]="Yes", Table4[[#This Row],[SecondaryMatch]]="Yes"), "Yes", "")</f>
        <v/>
      </c>
    </row>
    <row r="1773" spans="1:18" hidden="1" x14ac:dyDescent="0.25">
      <c r="A1773" t="s">
        <v>917</v>
      </c>
      <c r="B1773" t="s">
        <v>3209</v>
      </c>
      <c r="C1773" t="s">
        <v>3226</v>
      </c>
      <c r="D1773" t="s">
        <v>3840</v>
      </c>
      <c r="E1773" s="1">
        <v>180.479004</v>
      </c>
      <c r="F1773" s="1">
        <v>179.983002</v>
      </c>
      <c r="K1773" s="39">
        <f>DefaultValues!$B$4</f>
        <v>5</v>
      </c>
      <c r="L1773" s="1">
        <f>DefaultValues!$C$4</f>
        <v>0.5</v>
      </c>
      <c r="M1773" s="1" t="str">
        <f>DefaultValues!$D$4</f>
        <v xml:space="preserve">- Within interchange - </v>
      </c>
      <c r="N1773" s="1">
        <v>819.52099599999997</v>
      </c>
      <c r="O1773" s="1">
        <f>ABS(Table4[[#This Row],[EndMP]]-Table4[[#This Row],[StartMP]])</f>
        <v>0.49600200000000427</v>
      </c>
      <c r="P1773" s="1" t="str">
        <f>IF( AND( Table4[[#This Row],[Route]]=ClosureLocation!$B$3, ClosureLocation!$B$6 &gt;= Table4[[#This Row],[StartMP]], ClosureLocation!$B$6 &lt;= Table4[[#This Row],[EndMP]]), "Yes", "")</f>
        <v/>
      </c>
      <c r="Q1773" s="1" t="str">
        <f>IF( AND( Table4[[#This Row],[Route]]=ClosureLocation!$B$3, ClosureLocation!$B$6 &lt;= Table4[[#This Row],[StartMP]], ClosureLocation!$B$6 &gt;= Table4[[#This Row],[EndMP]]), "Yes", "")</f>
        <v/>
      </c>
      <c r="R1773" s="1" t="str">
        <f>IF( OR( Table4[[#This Row],[PrimaryMatch]]="Yes", Table4[[#This Row],[SecondaryMatch]]="Yes"), "Yes", "")</f>
        <v/>
      </c>
    </row>
    <row r="1774" spans="1:18" hidden="1" x14ac:dyDescent="0.25">
      <c r="A1774" t="s">
        <v>917</v>
      </c>
      <c r="B1774" t="s">
        <v>3209</v>
      </c>
      <c r="C1774" t="s">
        <v>3226</v>
      </c>
      <c r="D1774" t="s">
        <v>3840</v>
      </c>
      <c r="E1774" s="1">
        <v>172.26199299999999</v>
      </c>
      <c r="F1774" s="1">
        <v>171.783005</v>
      </c>
      <c r="K1774" s="39">
        <f>DefaultValues!$B$4</f>
        <v>5</v>
      </c>
      <c r="L1774" s="1">
        <f>DefaultValues!$C$4</f>
        <v>0.5</v>
      </c>
      <c r="M1774" s="1" t="str">
        <f>DefaultValues!$D$4</f>
        <v xml:space="preserve">- Within interchange - </v>
      </c>
      <c r="N1774" s="1">
        <v>827.737976</v>
      </c>
      <c r="O1774" s="1">
        <f>ABS(Table4[[#This Row],[EndMP]]-Table4[[#This Row],[StartMP]])</f>
        <v>0.47898799999998687</v>
      </c>
      <c r="P1774" s="1" t="str">
        <f>IF( AND( Table4[[#This Row],[Route]]=ClosureLocation!$B$3, ClosureLocation!$B$6 &gt;= Table4[[#This Row],[StartMP]], ClosureLocation!$B$6 &lt;= Table4[[#This Row],[EndMP]]), "Yes", "")</f>
        <v/>
      </c>
      <c r="Q1774" s="1" t="str">
        <f>IF( AND( Table4[[#This Row],[Route]]=ClosureLocation!$B$3, ClosureLocation!$B$6 &lt;= Table4[[#This Row],[StartMP]], ClosureLocation!$B$6 &gt;= Table4[[#This Row],[EndMP]]), "Yes", "")</f>
        <v/>
      </c>
      <c r="R1774" s="1" t="str">
        <f>IF( OR( Table4[[#This Row],[PrimaryMatch]]="Yes", Table4[[#This Row],[SecondaryMatch]]="Yes"), "Yes", "")</f>
        <v/>
      </c>
    </row>
    <row r="1775" spans="1:18" hidden="1" x14ac:dyDescent="0.25">
      <c r="A1775" t="s">
        <v>917</v>
      </c>
      <c r="B1775" t="s">
        <v>3209</v>
      </c>
      <c r="C1775" t="s">
        <v>3226</v>
      </c>
      <c r="D1775" t="s">
        <v>3840</v>
      </c>
      <c r="E1775" s="1">
        <v>165.12600699999999</v>
      </c>
      <c r="F1775" s="1">
        <v>164.69700599999999</v>
      </c>
      <c r="K1775" s="39">
        <f>DefaultValues!$B$4</f>
        <v>5</v>
      </c>
      <c r="L1775" s="1">
        <f>DefaultValues!$C$4</f>
        <v>0.5</v>
      </c>
      <c r="M1775" s="1" t="str">
        <f>DefaultValues!$D$4</f>
        <v xml:space="preserve">- Within interchange - </v>
      </c>
      <c r="N1775" s="1">
        <v>834.87402299999997</v>
      </c>
      <c r="O1775" s="1">
        <f>ABS(Table4[[#This Row],[EndMP]]-Table4[[#This Row],[StartMP]])</f>
        <v>0.42900099999999952</v>
      </c>
      <c r="P1775" s="1" t="str">
        <f>IF( AND( Table4[[#This Row],[Route]]=ClosureLocation!$B$3, ClosureLocation!$B$6 &gt;= Table4[[#This Row],[StartMP]], ClosureLocation!$B$6 &lt;= Table4[[#This Row],[EndMP]]), "Yes", "")</f>
        <v/>
      </c>
      <c r="Q1775" s="1" t="str">
        <f>IF( AND( Table4[[#This Row],[Route]]=ClosureLocation!$B$3, ClosureLocation!$B$6 &lt;= Table4[[#This Row],[StartMP]], ClosureLocation!$B$6 &gt;= Table4[[#This Row],[EndMP]]), "Yes", "")</f>
        <v/>
      </c>
      <c r="R1775" s="1" t="str">
        <f>IF( OR( Table4[[#This Row],[PrimaryMatch]]="Yes", Table4[[#This Row],[SecondaryMatch]]="Yes"), "Yes", "")</f>
        <v/>
      </c>
    </row>
    <row r="1776" spans="1:18" hidden="1" x14ac:dyDescent="0.25">
      <c r="A1776" t="s">
        <v>917</v>
      </c>
      <c r="B1776" t="s">
        <v>3209</v>
      </c>
      <c r="C1776" t="s">
        <v>3226</v>
      </c>
      <c r="D1776" t="s">
        <v>3840</v>
      </c>
      <c r="E1776" s="1">
        <v>155.526993</v>
      </c>
      <c r="F1776" s="1">
        <v>155.07600400000001</v>
      </c>
      <c r="K1776" s="39">
        <f>DefaultValues!$B$4</f>
        <v>5</v>
      </c>
      <c r="L1776" s="1">
        <f>DefaultValues!$C$4</f>
        <v>0.5</v>
      </c>
      <c r="M1776" s="1" t="str">
        <f>DefaultValues!$D$4</f>
        <v xml:space="preserve">- Within interchange - </v>
      </c>
      <c r="N1776" s="1">
        <v>844.47302200000001</v>
      </c>
      <c r="O1776" s="1">
        <f>ABS(Table4[[#This Row],[EndMP]]-Table4[[#This Row],[StartMP]])</f>
        <v>0.45098899999999276</v>
      </c>
      <c r="P1776" s="1" t="str">
        <f>IF( AND( Table4[[#This Row],[Route]]=ClosureLocation!$B$3, ClosureLocation!$B$6 &gt;= Table4[[#This Row],[StartMP]], ClosureLocation!$B$6 &lt;= Table4[[#This Row],[EndMP]]), "Yes", "")</f>
        <v/>
      </c>
      <c r="Q1776" s="1" t="str">
        <f>IF( AND( Table4[[#This Row],[Route]]=ClosureLocation!$B$3, ClosureLocation!$B$6 &lt;= Table4[[#This Row],[StartMP]], ClosureLocation!$B$6 &gt;= Table4[[#This Row],[EndMP]]), "Yes", "")</f>
        <v/>
      </c>
      <c r="R1776" s="1" t="str">
        <f>IF( OR( Table4[[#This Row],[PrimaryMatch]]="Yes", Table4[[#This Row],[SecondaryMatch]]="Yes"), "Yes", "")</f>
        <v/>
      </c>
    </row>
    <row r="1777" spans="1:18" hidden="1" x14ac:dyDescent="0.25">
      <c r="A1777" t="s">
        <v>917</v>
      </c>
      <c r="B1777" t="s">
        <v>3209</v>
      </c>
      <c r="C1777" t="s">
        <v>3226</v>
      </c>
      <c r="D1777" t="s">
        <v>3840</v>
      </c>
      <c r="E1777" s="1">
        <v>149.05600000000001</v>
      </c>
      <c r="F1777" s="1">
        <v>148.71099899999999</v>
      </c>
      <c r="K1777" s="39">
        <f>DefaultValues!$B$4</f>
        <v>5</v>
      </c>
      <c r="L1777" s="1">
        <f>DefaultValues!$C$4</f>
        <v>0.5</v>
      </c>
      <c r="M1777" s="1" t="str">
        <f>DefaultValues!$D$4</f>
        <v xml:space="preserve">- Within interchange - </v>
      </c>
      <c r="N1777" s="1">
        <v>850.94397000000004</v>
      </c>
      <c r="O1777" s="1">
        <f>ABS(Table4[[#This Row],[EndMP]]-Table4[[#This Row],[StartMP]])</f>
        <v>0.34500100000002476</v>
      </c>
      <c r="P1777" s="1" t="str">
        <f>IF( AND( Table4[[#This Row],[Route]]=ClosureLocation!$B$3, ClosureLocation!$B$6 &gt;= Table4[[#This Row],[StartMP]], ClosureLocation!$B$6 &lt;= Table4[[#This Row],[EndMP]]), "Yes", "")</f>
        <v/>
      </c>
      <c r="Q1777" s="1" t="str">
        <f>IF( AND( Table4[[#This Row],[Route]]=ClosureLocation!$B$3, ClosureLocation!$B$6 &lt;= Table4[[#This Row],[StartMP]], ClosureLocation!$B$6 &gt;= Table4[[#This Row],[EndMP]]), "Yes", "")</f>
        <v/>
      </c>
      <c r="R1777" s="1" t="str">
        <f>IF( OR( Table4[[#This Row],[PrimaryMatch]]="Yes", Table4[[#This Row],[SecondaryMatch]]="Yes"), "Yes", "")</f>
        <v/>
      </c>
    </row>
    <row r="1778" spans="1:18" hidden="1" x14ac:dyDescent="0.25">
      <c r="A1778" t="s">
        <v>917</v>
      </c>
      <c r="B1778" t="s">
        <v>3209</v>
      </c>
      <c r="C1778" t="s">
        <v>3226</v>
      </c>
      <c r="D1778" t="s">
        <v>3840</v>
      </c>
      <c r="E1778" s="1">
        <v>141.00900300000001</v>
      </c>
      <c r="F1778" s="1">
        <v>140.68800400000001</v>
      </c>
      <c r="K1778" s="39">
        <f>DefaultValues!$B$4</f>
        <v>5</v>
      </c>
      <c r="L1778" s="1">
        <f>DefaultValues!$C$4</f>
        <v>0.5</v>
      </c>
      <c r="M1778" s="1" t="str">
        <f>DefaultValues!$D$4</f>
        <v xml:space="preserve">- Within interchange - </v>
      </c>
      <c r="N1778" s="1">
        <v>858.99102800000003</v>
      </c>
      <c r="O1778" s="1">
        <f>ABS(Table4[[#This Row],[EndMP]]-Table4[[#This Row],[StartMP]])</f>
        <v>0.32099900000000048</v>
      </c>
      <c r="P1778" s="1" t="str">
        <f>IF( AND( Table4[[#This Row],[Route]]=ClosureLocation!$B$3, ClosureLocation!$B$6 &gt;= Table4[[#This Row],[StartMP]], ClosureLocation!$B$6 &lt;= Table4[[#This Row],[EndMP]]), "Yes", "")</f>
        <v/>
      </c>
      <c r="Q1778" s="1" t="str">
        <f>IF( AND( Table4[[#This Row],[Route]]=ClosureLocation!$B$3, ClosureLocation!$B$6 &lt;= Table4[[#This Row],[StartMP]], ClosureLocation!$B$6 &gt;= Table4[[#This Row],[EndMP]]), "Yes", "")</f>
        <v/>
      </c>
      <c r="R1778" s="1" t="str">
        <f>IF( OR( Table4[[#This Row],[PrimaryMatch]]="Yes", Table4[[#This Row],[SecondaryMatch]]="Yes"), "Yes", "")</f>
        <v/>
      </c>
    </row>
    <row r="1779" spans="1:18" hidden="1" x14ac:dyDescent="0.25">
      <c r="A1779" t="s">
        <v>917</v>
      </c>
      <c r="B1779" t="s">
        <v>3209</v>
      </c>
      <c r="C1779" t="s">
        <v>3226</v>
      </c>
      <c r="D1779" t="s">
        <v>3840</v>
      </c>
      <c r="E1779" s="1">
        <v>133.72500600000001</v>
      </c>
      <c r="F1779" s="1">
        <v>133.304001</v>
      </c>
      <c r="K1779" s="39">
        <f>DefaultValues!$B$4</f>
        <v>5</v>
      </c>
      <c r="L1779" s="1">
        <f>DefaultValues!$C$4</f>
        <v>0.5</v>
      </c>
      <c r="M1779" s="1" t="str">
        <f>DefaultValues!$D$4</f>
        <v xml:space="preserve">- Within interchange - </v>
      </c>
      <c r="N1779" s="1">
        <v>866.27502400000003</v>
      </c>
      <c r="O1779" s="1">
        <f>ABS(Table4[[#This Row],[EndMP]]-Table4[[#This Row],[StartMP]])</f>
        <v>0.42100500000000807</v>
      </c>
      <c r="P1779" s="1" t="str">
        <f>IF( AND( Table4[[#This Row],[Route]]=ClosureLocation!$B$3, ClosureLocation!$B$6 &gt;= Table4[[#This Row],[StartMP]], ClosureLocation!$B$6 &lt;= Table4[[#This Row],[EndMP]]), "Yes", "")</f>
        <v/>
      </c>
      <c r="Q1779" s="1" t="str">
        <f>IF( AND( Table4[[#This Row],[Route]]=ClosureLocation!$B$3, ClosureLocation!$B$6 &lt;= Table4[[#This Row],[StartMP]], ClosureLocation!$B$6 &gt;= Table4[[#This Row],[EndMP]]), "Yes", "")</f>
        <v/>
      </c>
      <c r="R1779" s="1" t="str">
        <f>IF( OR( Table4[[#This Row],[PrimaryMatch]]="Yes", Table4[[#This Row],[SecondaryMatch]]="Yes"), "Yes", "")</f>
        <v/>
      </c>
    </row>
    <row r="1780" spans="1:18" hidden="1" x14ac:dyDescent="0.25">
      <c r="A1780" t="s">
        <v>917</v>
      </c>
      <c r="B1780" t="s">
        <v>3209</v>
      </c>
      <c r="C1780" t="s">
        <v>3226</v>
      </c>
      <c r="D1780" t="s">
        <v>3840</v>
      </c>
      <c r="E1780" s="1">
        <v>125.037003</v>
      </c>
      <c r="F1780" s="1">
        <v>124.442001</v>
      </c>
      <c r="K1780" s="39">
        <f>DefaultValues!$B$4</f>
        <v>5</v>
      </c>
      <c r="L1780" s="1">
        <f>DefaultValues!$C$4</f>
        <v>0.5</v>
      </c>
      <c r="M1780" s="1" t="str">
        <f>DefaultValues!$D$4</f>
        <v xml:space="preserve">- Within interchange - </v>
      </c>
      <c r="N1780" s="1">
        <v>874.96301300000005</v>
      </c>
      <c r="O1780" s="1">
        <f>ABS(Table4[[#This Row],[EndMP]]-Table4[[#This Row],[StartMP]])</f>
        <v>0.59500199999999381</v>
      </c>
      <c r="P1780" s="1" t="str">
        <f>IF( AND( Table4[[#This Row],[Route]]=ClosureLocation!$B$3, ClosureLocation!$B$6 &gt;= Table4[[#This Row],[StartMP]], ClosureLocation!$B$6 &lt;= Table4[[#This Row],[EndMP]]), "Yes", "")</f>
        <v/>
      </c>
      <c r="Q1780" s="1" t="str">
        <f>IF( AND( Table4[[#This Row],[Route]]=ClosureLocation!$B$3, ClosureLocation!$B$6 &lt;= Table4[[#This Row],[StartMP]], ClosureLocation!$B$6 &gt;= Table4[[#This Row],[EndMP]]), "Yes", "")</f>
        <v/>
      </c>
      <c r="R1780" s="1" t="str">
        <f>IF( OR( Table4[[#This Row],[PrimaryMatch]]="Yes", Table4[[#This Row],[SecondaryMatch]]="Yes"), "Yes", "")</f>
        <v/>
      </c>
    </row>
    <row r="1781" spans="1:18" hidden="1" x14ac:dyDescent="0.25">
      <c r="A1781" t="s">
        <v>917</v>
      </c>
      <c r="B1781" t="s">
        <v>3209</v>
      </c>
      <c r="C1781" t="s">
        <v>3226</v>
      </c>
      <c r="D1781" t="s">
        <v>3840</v>
      </c>
      <c r="E1781" s="1">
        <v>115.47399900000001</v>
      </c>
      <c r="F1781" s="1">
        <v>114.987999</v>
      </c>
      <c r="K1781" s="39">
        <f>DefaultValues!$B$4</f>
        <v>5</v>
      </c>
      <c r="L1781" s="1">
        <f>DefaultValues!$C$4</f>
        <v>0.5</v>
      </c>
      <c r="M1781" s="1" t="str">
        <f>DefaultValues!$D$4</f>
        <v xml:space="preserve">- Within interchange - </v>
      </c>
      <c r="N1781" s="1">
        <v>884.52600099999995</v>
      </c>
      <c r="O1781" s="1">
        <f>ABS(Table4[[#This Row],[EndMP]]-Table4[[#This Row],[StartMP]])</f>
        <v>0.48600000000000421</v>
      </c>
      <c r="P1781" s="1" t="str">
        <f>IF( AND( Table4[[#This Row],[Route]]=ClosureLocation!$B$3, ClosureLocation!$B$6 &gt;= Table4[[#This Row],[StartMP]], ClosureLocation!$B$6 &lt;= Table4[[#This Row],[EndMP]]), "Yes", "")</f>
        <v/>
      </c>
      <c r="Q1781" s="1" t="str">
        <f>IF( AND( Table4[[#This Row],[Route]]=ClosureLocation!$B$3, ClosureLocation!$B$6 &lt;= Table4[[#This Row],[StartMP]], ClosureLocation!$B$6 &gt;= Table4[[#This Row],[EndMP]]), "Yes", "")</f>
        <v/>
      </c>
      <c r="R1781" s="1" t="str">
        <f>IF( OR( Table4[[#This Row],[PrimaryMatch]]="Yes", Table4[[#This Row],[SecondaryMatch]]="Yes"), "Yes", "")</f>
        <v/>
      </c>
    </row>
    <row r="1782" spans="1:18" hidden="1" x14ac:dyDescent="0.25">
      <c r="A1782" t="s">
        <v>917</v>
      </c>
      <c r="B1782" t="s">
        <v>3209</v>
      </c>
      <c r="C1782" t="s">
        <v>3226</v>
      </c>
      <c r="D1782" t="s">
        <v>3840</v>
      </c>
      <c r="E1782" s="1">
        <v>102.275002</v>
      </c>
      <c r="F1782" s="1">
        <v>101.902</v>
      </c>
      <c r="K1782" s="39">
        <f>DefaultValues!$B$4</f>
        <v>5</v>
      </c>
      <c r="L1782" s="1">
        <f>DefaultValues!$C$4</f>
        <v>0.5</v>
      </c>
      <c r="M1782" s="1" t="str">
        <f>DefaultValues!$D$4</f>
        <v xml:space="preserve">- Within interchange - </v>
      </c>
      <c r="N1782" s="1">
        <v>897.72497599999997</v>
      </c>
      <c r="O1782" s="1">
        <f>ABS(Table4[[#This Row],[EndMP]]-Table4[[#This Row],[StartMP]])</f>
        <v>0.37300199999999961</v>
      </c>
      <c r="P1782" s="1" t="str">
        <f>IF( AND( Table4[[#This Row],[Route]]=ClosureLocation!$B$3, ClosureLocation!$B$6 &gt;= Table4[[#This Row],[StartMP]], ClosureLocation!$B$6 &lt;= Table4[[#This Row],[EndMP]]), "Yes", "")</f>
        <v/>
      </c>
      <c r="Q1782" s="1" t="str">
        <f>IF( AND( Table4[[#This Row],[Route]]=ClosureLocation!$B$3, ClosureLocation!$B$6 &lt;= Table4[[#This Row],[StartMP]], ClosureLocation!$B$6 &gt;= Table4[[#This Row],[EndMP]]), "Yes", "")</f>
        <v/>
      </c>
      <c r="R1782" s="1" t="str">
        <f>IF( OR( Table4[[#This Row],[PrimaryMatch]]="Yes", Table4[[#This Row],[SecondaryMatch]]="Yes"), "Yes", "")</f>
        <v/>
      </c>
    </row>
    <row r="1783" spans="1:18" hidden="1" x14ac:dyDescent="0.25">
      <c r="A1783" t="s">
        <v>917</v>
      </c>
      <c r="B1783" t="s">
        <v>3209</v>
      </c>
      <c r="C1783" t="s">
        <v>3226</v>
      </c>
      <c r="D1783" t="s">
        <v>3840</v>
      </c>
      <c r="E1783" s="1">
        <v>95.611000000000004</v>
      </c>
      <c r="F1783" s="1">
        <v>95.165999999999997</v>
      </c>
      <c r="K1783" s="39">
        <f>DefaultValues!$B$4</f>
        <v>5</v>
      </c>
      <c r="L1783" s="1">
        <f>DefaultValues!$C$4</f>
        <v>0.5</v>
      </c>
      <c r="M1783" s="1" t="str">
        <f>DefaultValues!$D$4</f>
        <v xml:space="preserve">- Within interchange - </v>
      </c>
      <c r="N1783" s="1">
        <v>904.38897699999995</v>
      </c>
      <c r="O1783" s="1">
        <f>ABS(Table4[[#This Row],[EndMP]]-Table4[[#This Row],[StartMP]])</f>
        <v>0.44500000000000739</v>
      </c>
      <c r="P1783" s="1" t="str">
        <f>IF( AND( Table4[[#This Row],[Route]]=ClosureLocation!$B$3, ClosureLocation!$B$6 &gt;= Table4[[#This Row],[StartMP]], ClosureLocation!$B$6 &lt;= Table4[[#This Row],[EndMP]]), "Yes", "")</f>
        <v/>
      </c>
      <c r="Q1783" s="1" t="str">
        <f>IF( AND( Table4[[#This Row],[Route]]=ClosureLocation!$B$3, ClosureLocation!$B$6 &lt;= Table4[[#This Row],[StartMP]], ClosureLocation!$B$6 &gt;= Table4[[#This Row],[EndMP]]), "Yes", "")</f>
        <v/>
      </c>
      <c r="R1783" s="1" t="str">
        <f>IF( OR( Table4[[#This Row],[PrimaryMatch]]="Yes", Table4[[#This Row],[SecondaryMatch]]="Yes"), "Yes", "")</f>
        <v/>
      </c>
    </row>
    <row r="1784" spans="1:18" hidden="1" x14ac:dyDescent="0.25">
      <c r="A1784" t="s">
        <v>917</v>
      </c>
      <c r="B1784" t="s">
        <v>3209</v>
      </c>
      <c r="C1784" t="s">
        <v>3226</v>
      </c>
      <c r="D1784" t="s">
        <v>3840</v>
      </c>
      <c r="E1784" s="1">
        <v>92</v>
      </c>
      <c r="F1784" s="1">
        <v>91.361000000000004</v>
      </c>
      <c r="K1784" s="39">
        <f>DefaultValues!$B$4</f>
        <v>5</v>
      </c>
      <c r="L1784" s="1">
        <f>DefaultValues!$C$4</f>
        <v>0.5</v>
      </c>
      <c r="M1784" s="1" t="str">
        <f>DefaultValues!$D$4</f>
        <v xml:space="preserve">- Within interchange - </v>
      </c>
      <c r="N1784" s="1">
        <v>908</v>
      </c>
      <c r="O1784" s="1">
        <f>ABS(Table4[[#This Row],[EndMP]]-Table4[[#This Row],[StartMP]])</f>
        <v>0.63899999999999579</v>
      </c>
      <c r="P1784" s="1" t="str">
        <f>IF( AND( Table4[[#This Row],[Route]]=ClosureLocation!$B$3, ClosureLocation!$B$6 &gt;= Table4[[#This Row],[StartMP]], ClosureLocation!$B$6 &lt;= Table4[[#This Row],[EndMP]]), "Yes", "")</f>
        <v/>
      </c>
      <c r="Q1784" s="1" t="str">
        <f>IF( AND( Table4[[#This Row],[Route]]=ClosureLocation!$B$3, ClosureLocation!$B$6 &lt;= Table4[[#This Row],[StartMP]], ClosureLocation!$B$6 &gt;= Table4[[#This Row],[EndMP]]), "Yes", "")</f>
        <v/>
      </c>
      <c r="R1784" s="1" t="str">
        <f>IF( OR( Table4[[#This Row],[PrimaryMatch]]="Yes", Table4[[#This Row],[SecondaryMatch]]="Yes"), "Yes", "")</f>
        <v/>
      </c>
    </row>
    <row r="1785" spans="1:18" hidden="1" x14ac:dyDescent="0.25">
      <c r="A1785" t="s">
        <v>917</v>
      </c>
      <c r="B1785" t="s">
        <v>3209</v>
      </c>
      <c r="C1785" t="s">
        <v>3226</v>
      </c>
      <c r="D1785" t="s">
        <v>3840</v>
      </c>
      <c r="E1785" s="1">
        <v>89.882003999999995</v>
      </c>
      <c r="F1785" s="1">
        <v>89.487999000000002</v>
      </c>
      <c r="K1785" s="39">
        <f>DefaultValues!$B$4</f>
        <v>5</v>
      </c>
      <c r="L1785" s="1">
        <f>DefaultValues!$C$4</f>
        <v>0.5</v>
      </c>
      <c r="M1785" s="1" t="str">
        <f>DefaultValues!$D$4</f>
        <v xml:space="preserve">- Within interchange - </v>
      </c>
      <c r="N1785" s="1">
        <v>910.11798099999999</v>
      </c>
      <c r="O1785" s="1">
        <f>ABS(Table4[[#This Row],[EndMP]]-Table4[[#This Row],[StartMP]])</f>
        <v>0.39400499999999283</v>
      </c>
      <c r="P1785" s="1" t="str">
        <f>IF( AND( Table4[[#This Row],[Route]]=ClosureLocation!$B$3, ClosureLocation!$B$6 &gt;= Table4[[#This Row],[StartMP]], ClosureLocation!$B$6 &lt;= Table4[[#This Row],[EndMP]]), "Yes", "")</f>
        <v/>
      </c>
      <c r="Q1785" s="1" t="str">
        <f>IF( AND( Table4[[#This Row],[Route]]=ClosureLocation!$B$3, ClosureLocation!$B$6 &lt;= Table4[[#This Row],[StartMP]], ClosureLocation!$B$6 &gt;= Table4[[#This Row],[EndMP]]), "Yes", "")</f>
        <v/>
      </c>
      <c r="R1785" s="1" t="str">
        <f>IF( OR( Table4[[#This Row],[PrimaryMatch]]="Yes", Table4[[#This Row],[SecondaryMatch]]="Yes"), "Yes", "")</f>
        <v/>
      </c>
    </row>
    <row r="1786" spans="1:18" hidden="1" x14ac:dyDescent="0.25">
      <c r="A1786" t="s">
        <v>917</v>
      </c>
      <c r="B1786" t="s">
        <v>3209</v>
      </c>
      <c r="C1786" t="s">
        <v>3226</v>
      </c>
      <c r="D1786" t="s">
        <v>3840</v>
      </c>
      <c r="E1786" s="1">
        <v>88.875</v>
      </c>
      <c r="F1786" s="1">
        <v>88.538002000000006</v>
      </c>
      <c r="K1786" s="39">
        <f>DefaultValues!$B$4</f>
        <v>5</v>
      </c>
      <c r="L1786" s="1">
        <f>DefaultValues!$C$4</f>
        <v>0.5</v>
      </c>
      <c r="M1786" s="1" t="str">
        <f>DefaultValues!$D$4</f>
        <v xml:space="preserve">- Within interchange - </v>
      </c>
      <c r="N1786" s="1">
        <v>911.125</v>
      </c>
      <c r="O1786" s="1">
        <f>ABS(Table4[[#This Row],[EndMP]]-Table4[[#This Row],[StartMP]])</f>
        <v>0.33699799999999414</v>
      </c>
      <c r="P1786" s="1" t="str">
        <f>IF( AND( Table4[[#This Row],[Route]]=ClosureLocation!$B$3, ClosureLocation!$B$6 &gt;= Table4[[#This Row],[StartMP]], ClosureLocation!$B$6 &lt;= Table4[[#This Row],[EndMP]]), "Yes", "")</f>
        <v/>
      </c>
      <c r="Q1786" s="1" t="str">
        <f>IF( AND( Table4[[#This Row],[Route]]=ClosureLocation!$B$3, ClosureLocation!$B$6 &lt;= Table4[[#This Row],[StartMP]], ClosureLocation!$B$6 &gt;= Table4[[#This Row],[EndMP]]), "Yes", "")</f>
        <v/>
      </c>
      <c r="R1786" s="1" t="str">
        <f>IF( OR( Table4[[#This Row],[PrimaryMatch]]="Yes", Table4[[#This Row],[SecondaryMatch]]="Yes"), "Yes", "")</f>
        <v/>
      </c>
    </row>
    <row r="1787" spans="1:18" hidden="1" x14ac:dyDescent="0.25">
      <c r="A1787" t="s">
        <v>917</v>
      </c>
      <c r="B1787" t="s">
        <v>3209</v>
      </c>
      <c r="C1787" t="s">
        <v>3226</v>
      </c>
      <c r="D1787" t="s">
        <v>3840</v>
      </c>
      <c r="E1787" s="1">
        <v>86.005996999999994</v>
      </c>
      <c r="F1787" s="1">
        <v>85.800003000000004</v>
      </c>
      <c r="K1787" s="39">
        <f>DefaultValues!$B$4</f>
        <v>5</v>
      </c>
      <c r="L1787" s="1">
        <f>DefaultValues!$C$4</f>
        <v>0.5</v>
      </c>
      <c r="M1787" s="1" t="str">
        <f>DefaultValues!$D$4</f>
        <v xml:space="preserve">- Within interchange - </v>
      </c>
      <c r="N1787" s="1">
        <v>913.99401899999998</v>
      </c>
      <c r="O1787" s="1">
        <f>ABS(Table4[[#This Row],[EndMP]]-Table4[[#This Row],[StartMP]])</f>
        <v>0.2059939999999898</v>
      </c>
      <c r="P1787" s="1" t="str">
        <f>IF( AND( Table4[[#This Row],[Route]]=ClosureLocation!$B$3, ClosureLocation!$B$6 &gt;= Table4[[#This Row],[StartMP]], ClosureLocation!$B$6 &lt;= Table4[[#This Row],[EndMP]]), "Yes", "")</f>
        <v/>
      </c>
      <c r="Q1787" s="1" t="str">
        <f>IF( AND( Table4[[#This Row],[Route]]=ClosureLocation!$B$3, ClosureLocation!$B$6 &lt;= Table4[[#This Row],[StartMP]], ClosureLocation!$B$6 &gt;= Table4[[#This Row],[EndMP]]), "Yes", "")</f>
        <v/>
      </c>
      <c r="R1787" s="1" t="str">
        <f>IF( OR( Table4[[#This Row],[PrimaryMatch]]="Yes", Table4[[#This Row],[SecondaryMatch]]="Yes"), "Yes", "")</f>
        <v/>
      </c>
    </row>
    <row r="1788" spans="1:18" hidden="1" x14ac:dyDescent="0.25">
      <c r="A1788" t="s">
        <v>917</v>
      </c>
      <c r="B1788" t="s">
        <v>3209</v>
      </c>
      <c r="C1788" t="s">
        <v>3226</v>
      </c>
      <c r="D1788" t="s">
        <v>3840</v>
      </c>
      <c r="E1788" s="1">
        <v>81.843001999999998</v>
      </c>
      <c r="F1788" s="1">
        <v>81.431999000000005</v>
      </c>
      <c r="K1788" s="39">
        <f>DefaultValues!$B$4</f>
        <v>5</v>
      </c>
      <c r="L1788" s="1">
        <f>DefaultValues!$C$4</f>
        <v>0.5</v>
      </c>
      <c r="M1788" s="1" t="str">
        <f>DefaultValues!$D$4</f>
        <v xml:space="preserve">- Within interchange - </v>
      </c>
      <c r="N1788" s="1">
        <v>918.15698199999997</v>
      </c>
      <c r="O1788" s="1">
        <f>ABS(Table4[[#This Row],[EndMP]]-Table4[[#This Row],[StartMP]])</f>
        <v>0.41100299999999379</v>
      </c>
      <c r="P1788" s="1" t="str">
        <f>IF( AND( Table4[[#This Row],[Route]]=ClosureLocation!$B$3, ClosureLocation!$B$6 &gt;= Table4[[#This Row],[StartMP]], ClosureLocation!$B$6 &lt;= Table4[[#This Row],[EndMP]]), "Yes", "")</f>
        <v/>
      </c>
      <c r="Q1788" s="1" t="str">
        <f>IF( AND( Table4[[#This Row],[Route]]=ClosureLocation!$B$3, ClosureLocation!$B$6 &lt;= Table4[[#This Row],[StartMP]], ClosureLocation!$B$6 &gt;= Table4[[#This Row],[EndMP]]), "Yes", "")</f>
        <v/>
      </c>
      <c r="R1788" s="1" t="str">
        <f>IF( OR( Table4[[#This Row],[PrimaryMatch]]="Yes", Table4[[#This Row],[SecondaryMatch]]="Yes"), "Yes", "")</f>
        <v/>
      </c>
    </row>
    <row r="1789" spans="1:18" hidden="1" x14ac:dyDescent="0.25">
      <c r="A1789" t="s">
        <v>917</v>
      </c>
      <c r="B1789" t="s">
        <v>3209</v>
      </c>
      <c r="C1789" t="s">
        <v>3226</v>
      </c>
      <c r="D1789" t="s">
        <v>3840</v>
      </c>
      <c r="E1789" s="1">
        <v>80.390998999999994</v>
      </c>
      <c r="F1789" s="1">
        <v>79.983001999999999</v>
      </c>
      <c r="K1789" s="39">
        <f>DefaultValues!$B$4</f>
        <v>5</v>
      </c>
      <c r="L1789" s="1">
        <f>DefaultValues!$C$4</f>
        <v>0.5</v>
      </c>
      <c r="M1789" s="1" t="str">
        <f>DefaultValues!$D$4</f>
        <v xml:space="preserve">- Within interchange - </v>
      </c>
      <c r="N1789" s="1">
        <v>919.60900900000001</v>
      </c>
      <c r="O1789" s="1">
        <f>ABS(Table4[[#This Row],[EndMP]]-Table4[[#This Row],[StartMP]])</f>
        <v>0.40799699999999461</v>
      </c>
      <c r="P1789" s="1" t="str">
        <f>IF( AND( Table4[[#This Row],[Route]]=ClosureLocation!$B$3, ClosureLocation!$B$6 &gt;= Table4[[#This Row],[StartMP]], ClosureLocation!$B$6 &lt;= Table4[[#This Row],[EndMP]]), "Yes", "")</f>
        <v/>
      </c>
      <c r="Q1789" s="1" t="str">
        <f>IF( AND( Table4[[#This Row],[Route]]=ClosureLocation!$B$3, ClosureLocation!$B$6 &lt;= Table4[[#This Row],[StartMP]], ClosureLocation!$B$6 &gt;= Table4[[#This Row],[EndMP]]), "Yes", "")</f>
        <v/>
      </c>
      <c r="R1789" s="1" t="str">
        <f>IF( OR( Table4[[#This Row],[PrimaryMatch]]="Yes", Table4[[#This Row],[SecondaryMatch]]="Yes"), "Yes", "")</f>
        <v/>
      </c>
    </row>
    <row r="1790" spans="1:18" hidden="1" x14ac:dyDescent="0.25">
      <c r="A1790" t="s">
        <v>917</v>
      </c>
      <c r="B1790" t="s">
        <v>3209</v>
      </c>
      <c r="C1790" t="s">
        <v>3226</v>
      </c>
      <c r="D1790" t="s">
        <v>3840</v>
      </c>
      <c r="E1790" s="1">
        <v>79.209998999999996</v>
      </c>
      <c r="F1790" s="1">
        <v>79.005996999999994</v>
      </c>
      <c r="K1790" s="39">
        <f>DefaultValues!$B$4</f>
        <v>5</v>
      </c>
      <c r="L1790" s="1">
        <f>DefaultValues!$C$4</f>
        <v>0.5</v>
      </c>
      <c r="M1790" s="1" t="str">
        <f>DefaultValues!$D$4</f>
        <v xml:space="preserve">- Within interchange - </v>
      </c>
      <c r="N1790" s="1">
        <v>920.78997800000002</v>
      </c>
      <c r="O1790" s="1">
        <f>ABS(Table4[[#This Row],[EndMP]]-Table4[[#This Row],[StartMP]])</f>
        <v>0.20400200000000268</v>
      </c>
      <c r="P1790" s="1" t="str">
        <f>IF( AND( Table4[[#This Row],[Route]]=ClosureLocation!$B$3, ClosureLocation!$B$6 &gt;= Table4[[#This Row],[StartMP]], ClosureLocation!$B$6 &lt;= Table4[[#This Row],[EndMP]]), "Yes", "")</f>
        <v/>
      </c>
      <c r="Q1790" s="1" t="str">
        <f>IF( AND( Table4[[#This Row],[Route]]=ClosureLocation!$B$3, ClosureLocation!$B$6 &lt;= Table4[[#This Row],[StartMP]], ClosureLocation!$B$6 &gt;= Table4[[#This Row],[EndMP]]), "Yes", "")</f>
        <v/>
      </c>
      <c r="R1790" s="1" t="str">
        <f>IF( OR( Table4[[#This Row],[PrimaryMatch]]="Yes", Table4[[#This Row],[SecondaryMatch]]="Yes"), "Yes", "")</f>
        <v/>
      </c>
    </row>
    <row r="1791" spans="1:18" hidden="1" x14ac:dyDescent="0.25">
      <c r="A1791" t="s">
        <v>917</v>
      </c>
      <c r="B1791" t="s">
        <v>3209</v>
      </c>
      <c r="C1791" t="s">
        <v>3226</v>
      </c>
      <c r="D1791" t="s">
        <v>3840</v>
      </c>
      <c r="E1791" s="1">
        <v>75.620002999999997</v>
      </c>
      <c r="F1791" s="1">
        <v>75.220000999999996</v>
      </c>
      <c r="K1791" s="39">
        <f>DefaultValues!$B$4</f>
        <v>5</v>
      </c>
      <c r="L1791" s="1">
        <f>DefaultValues!$C$4</f>
        <v>0.5</v>
      </c>
      <c r="M1791" s="1" t="str">
        <f>DefaultValues!$D$4</f>
        <v xml:space="preserve">- Within interchange - </v>
      </c>
      <c r="N1791" s="1">
        <v>924.38000499999998</v>
      </c>
      <c r="O1791" s="1">
        <f>ABS(Table4[[#This Row],[EndMP]]-Table4[[#This Row],[StartMP]])</f>
        <v>0.40000200000000063</v>
      </c>
      <c r="P1791" s="1" t="str">
        <f>IF( AND( Table4[[#This Row],[Route]]=ClosureLocation!$B$3, ClosureLocation!$B$6 &gt;= Table4[[#This Row],[StartMP]], ClosureLocation!$B$6 &lt;= Table4[[#This Row],[EndMP]]), "Yes", "")</f>
        <v/>
      </c>
      <c r="Q1791" s="1" t="str">
        <f>IF( AND( Table4[[#This Row],[Route]]=ClosureLocation!$B$3, ClosureLocation!$B$6 &lt;= Table4[[#This Row],[StartMP]], ClosureLocation!$B$6 &gt;= Table4[[#This Row],[EndMP]]), "Yes", "")</f>
        <v/>
      </c>
      <c r="R1791" s="1" t="str">
        <f>IF( OR( Table4[[#This Row],[PrimaryMatch]]="Yes", Table4[[#This Row],[SecondaryMatch]]="Yes"), "Yes", "")</f>
        <v/>
      </c>
    </row>
    <row r="1792" spans="1:18" hidden="1" x14ac:dyDescent="0.25">
      <c r="A1792" t="s">
        <v>917</v>
      </c>
      <c r="B1792" t="s">
        <v>3209</v>
      </c>
      <c r="C1792" t="s">
        <v>3226</v>
      </c>
      <c r="D1792" t="s">
        <v>3840</v>
      </c>
      <c r="E1792" s="1">
        <v>75</v>
      </c>
      <c r="F1792" s="1">
        <v>74.106003000000001</v>
      </c>
      <c r="K1792" s="39">
        <f>DefaultValues!$B$4</f>
        <v>5</v>
      </c>
      <c r="L1792" s="1">
        <f>DefaultValues!$C$4</f>
        <v>0.5</v>
      </c>
      <c r="M1792" s="1" t="str">
        <f>DefaultValues!$D$4</f>
        <v xml:space="preserve">- Within interchange - </v>
      </c>
      <c r="N1792" s="1">
        <v>925</v>
      </c>
      <c r="O1792" s="1">
        <f>ABS(Table4[[#This Row],[EndMP]]-Table4[[#This Row],[StartMP]])</f>
        <v>0.89399699999999882</v>
      </c>
      <c r="P1792" s="1" t="str">
        <f>IF( AND( Table4[[#This Row],[Route]]=ClosureLocation!$B$3, ClosureLocation!$B$6 &gt;= Table4[[#This Row],[StartMP]], ClosureLocation!$B$6 &lt;= Table4[[#This Row],[EndMP]]), "Yes", "")</f>
        <v/>
      </c>
      <c r="Q1792" s="1" t="str">
        <f>IF( AND( Table4[[#This Row],[Route]]=ClosureLocation!$B$3, ClosureLocation!$B$6 &lt;= Table4[[#This Row],[StartMP]], ClosureLocation!$B$6 &gt;= Table4[[#This Row],[EndMP]]), "Yes", "")</f>
        <v/>
      </c>
      <c r="R1792" s="1" t="str">
        <f>IF( OR( Table4[[#This Row],[PrimaryMatch]]="Yes", Table4[[#This Row],[SecondaryMatch]]="Yes"), "Yes", "")</f>
        <v/>
      </c>
    </row>
    <row r="1793" spans="1:18" hidden="1" x14ac:dyDescent="0.25">
      <c r="A1793" t="s">
        <v>917</v>
      </c>
      <c r="B1793" t="s">
        <v>3209</v>
      </c>
      <c r="C1793" t="s">
        <v>3226</v>
      </c>
      <c r="D1793" t="s">
        <v>3840</v>
      </c>
      <c r="E1793" s="1">
        <v>73.419998000000007</v>
      </c>
      <c r="F1793" s="1">
        <v>72.839995999999999</v>
      </c>
      <c r="K1793" s="39">
        <f>DefaultValues!$B$4</f>
        <v>5</v>
      </c>
      <c r="L1793" s="1">
        <f>DefaultValues!$C$4</f>
        <v>0.5</v>
      </c>
      <c r="M1793" s="1" t="str">
        <f>DefaultValues!$D$4</f>
        <v xml:space="preserve">- Within interchange - </v>
      </c>
      <c r="N1793" s="1">
        <v>926.580017</v>
      </c>
      <c r="O1793" s="1">
        <f>ABS(Table4[[#This Row],[EndMP]]-Table4[[#This Row],[StartMP]])</f>
        <v>0.58000200000000746</v>
      </c>
      <c r="P1793" s="1" t="str">
        <f>IF( AND( Table4[[#This Row],[Route]]=ClosureLocation!$B$3, ClosureLocation!$B$6 &gt;= Table4[[#This Row],[StartMP]], ClosureLocation!$B$6 &lt;= Table4[[#This Row],[EndMP]]), "Yes", "")</f>
        <v/>
      </c>
      <c r="Q1793" s="1" t="str">
        <f>IF( AND( Table4[[#This Row],[Route]]=ClosureLocation!$B$3, ClosureLocation!$B$6 &lt;= Table4[[#This Row],[StartMP]], ClosureLocation!$B$6 &gt;= Table4[[#This Row],[EndMP]]), "Yes", "")</f>
        <v/>
      </c>
      <c r="R1793" s="1" t="str">
        <f>IF( OR( Table4[[#This Row],[PrimaryMatch]]="Yes", Table4[[#This Row],[SecondaryMatch]]="Yes"), "Yes", "")</f>
        <v/>
      </c>
    </row>
    <row r="1794" spans="1:18" hidden="1" x14ac:dyDescent="0.25">
      <c r="A1794" t="s">
        <v>917</v>
      </c>
      <c r="B1794" t="s">
        <v>3209</v>
      </c>
      <c r="C1794" t="s">
        <v>3226</v>
      </c>
      <c r="D1794" t="s">
        <v>3840</v>
      </c>
      <c r="E1794" s="1">
        <v>66.606003000000001</v>
      </c>
      <c r="F1794" s="1">
        <v>65.944000000000003</v>
      </c>
      <c r="K1794" s="39">
        <f>DefaultValues!$B$4</f>
        <v>5</v>
      </c>
      <c r="L1794" s="1">
        <f>DefaultValues!$C$4</f>
        <v>0.5</v>
      </c>
      <c r="M1794" s="1" t="str">
        <f>DefaultValues!$D$4</f>
        <v xml:space="preserve">- Within interchange - </v>
      </c>
      <c r="N1794" s="1">
        <v>933.39398200000005</v>
      </c>
      <c r="O1794" s="1">
        <f>ABS(Table4[[#This Row],[EndMP]]-Table4[[#This Row],[StartMP]])</f>
        <v>0.66200299999999856</v>
      </c>
      <c r="P1794" s="1" t="str">
        <f>IF( AND( Table4[[#This Row],[Route]]=ClosureLocation!$B$3, ClosureLocation!$B$6 &gt;= Table4[[#This Row],[StartMP]], ClosureLocation!$B$6 &lt;= Table4[[#This Row],[EndMP]]), "Yes", "")</f>
        <v/>
      </c>
      <c r="Q1794" s="1" t="str">
        <f>IF( AND( Table4[[#This Row],[Route]]=ClosureLocation!$B$3, ClosureLocation!$B$6 &lt;= Table4[[#This Row],[StartMP]], ClosureLocation!$B$6 &gt;= Table4[[#This Row],[EndMP]]), "Yes", "")</f>
        <v/>
      </c>
      <c r="R1794" s="1" t="str">
        <f>IF( OR( Table4[[#This Row],[PrimaryMatch]]="Yes", Table4[[#This Row],[SecondaryMatch]]="Yes"), "Yes", "")</f>
        <v/>
      </c>
    </row>
    <row r="1795" spans="1:18" hidden="1" x14ac:dyDescent="0.25">
      <c r="A1795" t="s">
        <v>917</v>
      </c>
      <c r="B1795" t="s">
        <v>3209</v>
      </c>
      <c r="C1795" t="s">
        <v>3226</v>
      </c>
      <c r="D1795" t="s">
        <v>3840</v>
      </c>
      <c r="E1795" s="1">
        <v>48.231997999999997</v>
      </c>
      <c r="F1795" s="1">
        <v>47.766998000000001</v>
      </c>
      <c r="K1795" s="39">
        <f>DefaultValues!$B$4</f>
        <v>5</v>
      </c>
      <c r="L1795" s="1">
        <f>DefaultValues!$C$4</f>
        <v>0.5</v>
      </c>
      <c r="M1795" s="1" t="str">
        <f>DefaultValues!$D$4</f>
        <v xml:space="preserve">- Within interchange - </v>
      </c>
      <c r="N1795" s="1">
        <v>951.76800500000002</v>
      </c>
      <c r="O1795" s="1">
        <f>ABS(Table4[[#This Row],[EndMP]]-Table4[[#This Row],[StartMP]])</f>
        <v>0.46499999999999631</v>
      </c>
      <c r="P1795" s="1" t="str">
        <f>IF( AND( Table4[[#This Row],[Route]]=ClosureLocation!$B$3, ClosureLocation!$B$6 &gt;= Table4[[#This Row],[StartMP]], ClosureLocation!$B$6 &lt;= Table4[[#This Row],[EndMP]]), "Yes", "")</f>
        <v/>
      </c>
      <c r="Q1795" s="1" t="str">
        <f>IF( AND( Table4[[#This Row],[Route]]=ClosureLocation!$B$3, ClosureLocation!$B$6 &lt;= Table4[[#This Row],[StartMP]], ClosureLocation!$B$6 &gt;= Table4[[#This Row],[EndMP]]), "Yes", "")</f>
        <v/>
      </c>
      <c r="R1795" s="1" t="str">
        <f>IF( OR( Table4[[#This Row],[PrimaryMatch]]="Yes", Table4[[#This Row],[SecondaryMatch]]="Yes"), "Yes", "")</f>
        <v/>
      </c>
    </row>
    <row r="1796" spans="1:18" hidden="1" x14ac:dyDescent="0.25">
      <c r="A1796" t="s">
        <v>917</v>
      </c>
      <c r="B1796" t="s">
        <v>3209</v>
      </c>
      <c r="C1796" t="s">
        <v>3226</v>
      </c>
      <c r="D1796" t="s">
        <v>3840</v>
      </c>
      <c r="E1796" s="1">
        <v>39.151001000000001</v>
      </c>
      <c r="F1796" s="1">
        <v>38.693001000000002</v>
      </c>
      <c r="K1796" s="39">
        <f>DefaultValues!$B$4</f>
        <v>5</v>
      </c>
      <c r="L1796" s="1">
        <f>DefaultValues!$C$4</f>
        <v>0.5</v>
      </c>
      <c r="M1796" s="1" t="str">
        <f>DefaultValues!$D$4</f>
        <v xml:space="preserve">- Within interchange - </v>
      </c>
      <c r="N1796" s="1">
        <v>960.84899900000005</v>
      </c>
      <c r="O1796" s="1">
        <f>ABS(Table4[[#This Row],[EndMP]]-Table4[[#This Row],[StartMP]])</f>
        <v>0.45799999999999841</v>
      </c>
      <c r="P1796" s="1" t="str">
        <f>IF( AND( Table4[[#This Row],[Route]]=ClosureLocation!$B$3, ClosureLocation!$B$6 &gt;= Table4[[#This Row],[StartMP]], ClosureLocation!$B$6 &lt;= Table4[[#This Row],[EndMP]]), "Yes", "")</f>
        <v/>
      </c>
      <c r="Q1796" s="1" t="str">
        <f>IF( AND( Table4[[#This Row],[Route]]=ClosureLocation!$B$3, ClosureLocation!$B$6 &lt;= Table4[[#This Row],[StartMP]], ClosureLocation!$B$6 &gt;= Table4[[#This Row],[EndMP]]), "Yes", "")</f>
        <v/>
      </c>
      <c r="R1796" s="1" t="str">
        <f>IF( OR( Table4[[#This Row],[PrimaryMatch]]="Yes", Table4[[#This Row],[SecondaryMatch]]="Yes"), "Yes", "")</f>
        <v/>
      </c>
    </row>
    <row r="1797" spans="1:18" hidden="1" x14ac:dyDescent="0.25">
      <c r="A1797" t="s">
        <v>917</v>
      </c>
      <c r="B1797" t="s">
        <v>3209</v>
      </c>
      <c r="C1797" t="s">
        <v>3226</v>
      </c>
      <c r="D1797" t="s">
        <v>3840</v>
      </c>
      <c r="E1797" s="1">
        <v>34.655997999999997</v>
      </c>
      <c r="F1797" s="1">
        <v>34.375999</v>
      </c>
      <c r="K1797" s="39">
        <f>DefaultValues!$B$4</f>
        <v>5</v>
      </c>
      <c r="L1797" s="1">
        <f>DefaultValues!$C$4</f>
        <v>0.5</v>
      </c>
      <c r="M1797" s="1" t="str">
        <f>DefaultValues!$D$4</f>
        <v xml:space="preserve">- Within interchange - </v>
      </c>
      <c r="N1797" s="1">
        <v>965.34399399999995</v>
      </c>
      <c r="O1797" s="1">
        <f>ABS(Table4[[#This Row],[EndMP]]-Table4[[#This Row],[StartMP]])</f>
        <v>0.27999899999999656</v>
      </c>
      <c r="P1797" s="1" t="str">
        <f>IF( AND( Table4[[#This Row],[Route]]=ClosureLocation!$B$3, ClosureLocation!$B$6 &gt;= Table4[[#This Row],[StartMP]], ClosureLocation!$B$6 &lt;= Table4[[#This Row],[EndMP]]), "Yes", "")</f>
        <v/>
      </c>
      <c r="Q1797" s="1" t="str">
        <f>IF( AND( Table4[[#This Row],[Route]]=ClosureLocation!$B$3, ClosureLocation!$B$6 &lt;= Table4[[#This Row],[StartMP]], ClosureLocation!$B$6 &gt;= Table4[[#This Row],[EndMP]]), "Yes", "")</f>
        <v/>
      </c>
      <c r="R1797" s="1" t="str">
        <f>IF( OR( Table4[[#This Row],[PrimaryMatch]]="Yes", Table4[[#This Row],[SecondaryMatch]]="Yes"), "Yes", "")</f>
        <v/>
      </c>
    </row>
    <row r="1798" spans="1:18" hidden="1" x14ac:dyDescent="0.25">
      <c r="A1798" t="s">
        <v>917</v>
      </c>
      <c r="B1798" t="s">
        <v>3209</v>
      </c>
      <c r="C1798" t="s">
        <v>3226</v>
      </c>
      <c r="D1798" t="s">
        <v>3840</v>
      </c>
      <c r="E1798" s="1">
        <v>31.636998999999999</v>
      </c>
      <c r="F1798" s="1">
        <v>31.372</v>
      </c>
      <c r="K1798" s="39">
        <f>DefaultValues!$B$4</f>
        <v>5</v>
      </c>
      <c r="L1798" s="1">
        <f>DefaultValues!$C$4</f>
        <v>0.5</v>
      </c>
      <c r="M1798" s="1" t="str">
        <f>DefaultValues!$D$4</f>
        <v xml:space="preserve">- Within interchange - </v>
      </c>
      <c r="N1798" s="1">
        <v>968.362976</v>
      </c>
      <c r="O1798" s="1">
        <f>ABS(Table4[[#This Row],[EndMP]]-Table4[[#This Row],[StartMP]])</f>
        <v>0.26499899999999954</v>
      </c>
      <c r="P1798" s="1" t="str">
        <f>IF( AND( Table4[[#This Row],[Route]]=ClosureLocation!$B$3, ClosureLocation!$B$6 &gt;= Table4[[#This Row],[StartMP]], ClosureLocation!$B$6 &lt;= Table4[[#This Row],[EndMP]]), "Yes", "")</f>
        <v/>
      </c>
      <c r="Q1798" s="1" t="str">
        <f>IF( AND( Table4[[#This Row],[Route]]=ClosureLocation!$B$3, ClosureLocation!$B$6 &lt;= Table4[[#This Row],[StartMP]], ClosureLocation!$B$6 &gt;= Table4[[#This Row],[EndMP]]), "Yes", "")</f>
        <v/>
      </c>
      <c r="R1798" s="1" t="str">
        <f>IF( OR( Table4[[#This Row],[PrimaryMatch]]="Yes", Table4[[#This Row],[SecondaryMatch]]="Yes"), "Yes", "")</f>
        <v/>
      </c>
    </row>
    <row r="1799" spans="1:18" hidden="1" x14ac:dyDescent="0.25">
      <c r="A1799" t="s">
        <v>917</v>
      </c>
      <c r="B1799" t="s">
        <v>3209</v>
      </c>
      <c r="C1799" t="s">
        <v>3226</v>
      </c>
      <c r="D1799" t="s">
        <v>3840</v>
      </c>
      <c r="E1799" s="1">
        <v>25.375</v>
      </c>
      <c r="F1799" s="1">
        <v>24.870000999999998</v>
      </c>
      <c r="K1799" s="39">
        <f>DefaultValues!$B$4</f>
        <v>5</v>
      </c>
      <c r="L1799" s="1">
        <f>DefaultValues!$C$4</f>
        <v>0.5</v>
      </c>
      <c r="M1799" s="1" t="str">
        <f>DefaultValues!$D$4</f>
        <v xml:space="preserve">- Within interchange - </v>
      </c>
      <c r="N1799" s="1">
        <v>974.625</v>
      </c>
      <c r="O1799" s="1">
        <f>ABS(Table4[[#This Row],[EndMP]]-Table4[[#This Row],[StartMP]])</f>
        <v>0.50499900000000153</v>
      </c>
      <c r="P1799" s="1" t="str">
        <f>IF( AND( Table4[[#This Row],[Route]]=ClosureLocation!$B$3, ClosureLocation!$B$6 &gt;= Table4[[#This Row],[StartMP]], ClosureLocation!$B$6 &lt;= Table4[[#This Row],[EndMP]]), "Yes", "")</f>
        <v/>
      </c>
      <c r="Q1799" s="1" t="str">
        <f>IF( AND( Table4[[#This Row],[Route]]=ClosureLocation!$B$3, ClosureLocation!$B$6 &lt;= Table4[[#This Row],[StartMP]], ClosureLocation!$B$6 &gt;= Table4[[#This Row],[EndMP]]), "Yes", "")</f>
        <v/>
      </c>
      <c r="R1799" s="1" t="str">
        <f>IF( OR( Table4[[#This Row],[PrimaryMatch]]="Yes", Table4[[#This Row],[SecondaryMatch]]="Yes"), "Yes", "")</f>
        <v/>
      </c>
    </row>
    <row r="1800" spans="1:18" hidden="1" x14ac:dyDescent="0.25">
      <c r="A1800" t="s">
        <v>917</v>
      </c>
      <c r="B1800" t="s">
        <v>3209</v>
      </c>
      <c r="C1800" t="s">
        <v>3226</v>
      </c>
      <c r="D1800" t="s">
        <v>3840</v>
      </c>
      <c r="E1800" s="1">
        <v>22.620000999999998</v>
      </c>
      <c r="F1800" s="1">
        <v>22</v>
      </c>
      <c r="K1800" s="39">
        <f>DefaultValues!$B$4</f>
        <v>5</v>
      </c>
      <c r="L1800" s="1">
        <f>DefaultValues!$C$4</f>
        <v>0.5</v>
      </c>
      <c r="M1800" s="1" t="str">
        <f>DefaultValues!$D$4</f>
        <v xml:space="preserve">- Within interchange - </v>
      </c>
      <c r="N1800" s="1">
        <v>977.38000499999998</v>
      </c>
      <c r="O1800" s="1">
        <f>ABS(Table4[[#This Row],[EndMP]]-Table4[[#This Row],[StartMP]])</f>
        <v>0.62000099999999847</v>
      </c>
      <c r="P1800" s="1" t="str">
        <f>IF( AND( Table4[[#This Row],[Route]]=ClosureLocation!$B$3, ClosureLocation!$B$6 &gt;= Table4[[#This Row],[StartMP]], ClosureLocation!$B$6 &lt;= Table4[[#This Row],[EndMP]]), "Yes", "")</f>
        <v/>
      </c>
      <c r="Q1800" s="1" t="str">
        <f>IF( AND( Table4[[#This Row],[Route]]=ClosureLocation!$B$3, ClosureLocation!$B$6 &lt;= Table4[[#This Row],[StartMP]], ClosureLocation!$B$6 &gt;= Table4[[#This Row],[EndMP]]), "Yes", "")</f>
        <v/>
      </c>
      <c r="R1800" s="1" t="str">
        <f>IF( OR( Table4[[#This Row],[PrimaryMatch]]="Yes", Table4[[#This Row],[SecondaryMatch]]="Yes"), "Yes", "")</f>
        <v/>
      </c>
    </row>
    <row r="1801" spans="1:18" hidden="1" x14ac:dyDescent="0.25">
      <c r="A1801" t="s">
        <v>917</v>
      </c>
      <c r="B1801" t="s">
        <v>3209</v>
      </c>
      <c r="C1801" t="s">
        <v>3226</v>
      </c>
      <c r="D1801" t="s">
        <v>3840</v>
      </c>
      <c r="E1801" s="1">
        <v>21.173999999999999</v>
      </c>
      <c r="F1801" s="1">
        <v>20.603000999999999</v>
      </c>
      <c r="K1801" s="39">
        <f>DefaultValues!$B$4</f>
        <v>5</v>
      </c>
      <c r="L1801" s="1">
        <f>DefaultValues!$C$4</f>
        <v>0.5</v>
      </c>
      <c r="M1801" s="1" t="str">
        <f>DefaultValues!$D$4</f>
        <v xml:space="preserve">- Within interchange - </v>
      </c>
      <c r="N1801" s="1">
        <v>978.82598900000005</v>
      </c>
      <c r="O1801" s="1">
        <f>ABS(Table4[[#This Row],[EndMP]]-Table4[[#This Row],[StartMP]])</f>
        <v>0.57099900000000048</v>
      </c>
      <c r="P1801" s="1" t="str">
        <f>IF( AND( Table4[[#This Row],[Route]]=ClosureLocation!$B$3, ClosureLocation!$B$6 &gt;= Table4[[#This Row],[StartMP]], ClosureLocation!$B$6 &lt;= Table4[[#This Row],[EndMP]]), "Yes", "")</f>
        <v/>
      </c>
      <c r="Q1801" s="1" t="str">
        <f>IF( AND( Table4[[#This Row],[Route]]=ClosureLocation!$B$3, ClosureLocation!$B$6 &lt;= Table4[[#This Row],[StartMP]], ClosureLocation!$B$6 &gt;= Table4[[#This Row],[EndMP]]), "Yes", "")</f>
        <v/>
      </c>
      <c r="R1801" s="1" t="str">
        <f>IF( OR( Table4[[#This Row],[PrimaryMatch]]="Yes", Table4[[#This Row],[SecondaryMatch]]="Yes"), "Yes", "")</f>
        <v/>
      </c>
    </row>
    <row r="1802" spans="1:18" hidden="1" x14ac:dyDescent="0.25">
      <c r="A1802" t="s">
        <v>917</v>
      </c>
      <c r="B1802" t="s">
        <v>3209</v>
      </c>
      <c r="C1802" t="s">
        <v>3226</v>
      </c>
      <c r="D1802" t="s">
        <v>3840</v>
      </c>
      <c r="E1802" s="1">
        <v>20.077998999999998</v>
      </c>
      <c r="F1802" s="1">
        <v>19.502001</v>
      </c>
      <c r="K1802" s="39">
        <f>DefaultValues!$B$4</f>
        <v>5</v>
      </c>
      <c r="L1802" s="1">
        <f>DefaultValues!$C$4</f>
        <v>0.5</v>
      </c>
      <c r="M1802" s="1" t="str">
        <f>DefaultValues!$D$4</f>
        <v xml:space="preserve">- Within interchange - </v>
      </c>
      <c r="N1802" s="1">
        <v>979.92199700000003</v>
      </c>
      <c r="O1802" s="1">
        <f>ABS(Table4[[#This Row],[EndMP]]-Table4[[#This Row],[StartMP]])</f>
        <v>0.57599799999999846</v>
      </c>
      <c r="P1802" s="1" t="str">
        <f>IF( AND( Table4[[#This Row],[Route]]=ClosureLocation!$B$3, ClosureLocation!$B$6 &gt;= Table4[[#This Row],[StartMP]], ClosureLocation!$B$6 &lt;= Table4[[#This Row],[EndMP]]), "Yes", "")</f>
        <v/>
      </c>
      <c r="Q1802" s="1" t="str">
        <f>IF( AND( Table4[[#This Row],[Route]]=ClosureLocation!$B$3, ClosureLocation!$B$6 &lt;= Table4[[#This Row],[StartMP]], ClosureLocation!$B$6 &gt;= Table4[[#This Row],[EndMP]]), "Yes", "")</f>
        <v/>
      </c>
      <c r="R1802" s="1" t="str">
        <f>IF( OR( Table4[[#This Row],[PrimaryMatch]]="Yes", Table4[[#This Row],[SecondaryMatch]]="Yes"), "Yes", "")</f>
        <v/>
      </c>
    </row>
    <row r="1803" spans="1:18" hidden="1" x14ac:dyDescent="0.25">
      <c r="A1803" t="s">
        <v>917</v>
      </c>
      <c r="B1803" t="s">
        <v>3209</v>
      </c>
      <c r="C1803" t="s">
        <v>3226</v>
      </c>
      <c r="D1803" t="s">
        <v>3840</v>
      </c>
      <c r="E1803" s="1">
        <v>16.870999999999999</v>
      </c>
      <c r="F1803" s="1">
        <v>16.150998999999999</v>
      </c>
      <c r="K1803" s="39">
        <f>DefaultValues!$B$4</f>
        <v>5</v>
      </c>
      <c r="L1803" s="1">
        <f>DefaultValues!$C$4</f>
        <v>0.5</v>
      </c>
      <c r="M1803" s="1" t="str">
        <f>DefaultValues!$D$4</f>
        <v xml:space="preserve">- Within interchange - </v>
      </c>
      <c r="N1803" s="1">
        <v>983.12902799999995</v>
      </c>
      <c r="O1803" s="1">
        <f>ABS(Table4[[#This Row],[EndMP]]-Table4[[#This Row],[StartMP]])</f>
        <v>0.72000099999999989</v>
      </c>
      <c r="P1803" s="1" t="str">
        <f>IF( AND( Table4[[#This Row],[Route]]=ClosureLocation!$B$3, ClosureLocation!$B$6 &gt;= Table4[[#This Row],[StartMP]], ClosureLocation!$B$6 &lt;= Table4[[#This Row],[EndMP]]), "Yes", "")</f>
        <v/>
      </c>
      <c r="Q1803" s="1" t="str">
        <f>IF( AND( Table4[[#This Row],[Route]]=ClosureLocation!$B$3, ClosureLocation!$B$6 &lt;= Table4[[#This Row],[StartMP]], ClosureLocation!$B$6 &gt;= Table4[[#This Row],[EndMP]]), "Yes", "")</f>
        <v/>
      </c>
      <c r="R1803" s="1" t="str">
        <f>IF( OR( Table4[[#This Row],[PrimaryMatch]]="Yes", Table4[[#This Row],[SecondaryMatch]]="Yes"), "Yes", "")</f>
        <v/>
      </c>
    </row>
    <row r="1804" spans="1:18" hidden="1" x14ac:dyDescent="0.25">
      <c r="A1804" t="s">
        <v>917</v>
      </c>
      <c r="B1804" t="s">
        <v>3209</v>
      </c>
      <c r="C1804" t="s">
        <v>3226</v>
      </c>
      <c r="D1804" t="s">
        <v>3840</v>
      </c>
      <c r="E1804" s="1">
        <v>12.715</v>
      </c>
      <c r="F1804" s="1">
        <v>12.355</v>
      </c>
      <c r="K1804" s="39">
        <f>DefaultValues!$B$4</f>
        <v>5</v>
      </c>
      <c r="L1804" s="1">
        <f>DefaultValues!$C$4</f>
        <v>0.5</v>
      </c>
      <c r="M1804" s="1" t="str">
        <f>DefaultValues!$D$4</f>
        <v xml:space="preserve">- Within interchange - </v>
      </c>
      <c r="N1804" s="1">
        <v>987.28497300000004</v>
      </c>
      <c r="O1804" s="1">
        <f>ABS(Table4[[#This Row],[EndMP]]-Table4[[#This Row],[StartMP]])</f>
        <v>0.35999999999999943</v>
      </c>
      <c r="P1804" s="1" t="str">
        <f>IF( AND( Table4[[#This Row],[Route]]=ClosureLocation!$B$3, ClosureLocation!$B$6 &gt;= Table4[[#This Row],[StartMP]], ClosureLocation!$B$6 &lt;= Table4[[#This Row],[EndMP]]), "Yes", "")</f>
        <v/>
      </c>
      <c r="Q1804" s="1" t="str">
        <f>IF( AND( Table4[[#This Row],[Route]]=ClosureLocation!$B$3, ClosureLocation!$B$6 &lt;= Table4[[#This Row],[StartMP]], ClosureLocation!$B$6 &gt;= Table4[[#This Row],[EndMP]]), "Yes", "")</f>
        <v/>
      </c>
      <c r="R1804" s="1" t="str">
        <f>IF( OR( Table4[[#This Row],[PrimaryMatch]]="Yes", Table4[[#This Row],[SecondaryMatch]]="Yes"), "Yes", "")</f>
        <v/>
      </c>
    </row>
    <row r="1805" spans="1:18" hidden="1" x14ac:dyDescent="0.25">
      <c r="A1805" t="s">
        <v>917</v>
      </c>
      <c r="B1805" t="s">
        <v>3209</v>
      </c>
      <c r="C1805" t="s">
        <v>3226</v>
      </c>
      <c r="D1805" t="s">
        <v>3840</v>
      </c>
      <c r="E1805" s="1">
        <v>11.816000000000001</v>
      </c>
      <c r="F1805" s="1">
        <v>11.368</v>
      </c>
      <c r="K1805" s="39">
        <f>DefaultValues!$B$4</f>
        <v>5</v>
      </c>
      <c r="L1805" s="1">
        <f>DefaultValues!$C$4</f>
        <v>0.5</v>
      </c>
      <c r="M1805" s="1" t="str">
        <f>DefaultValues!$D$4</f>
        <v xml:space="preserve">- Within interchange - </v>
      </c>
      <c r="N1805" s="1">
        <v>988.18402100000003</v>
      </c>
      <c r="O1805" s="1">
        <f>ABS(Table4[[#This Row],[EndMP]]-Table4[[#This Row],[StartMP]])</f>
        <v>0.4480000000000004</v>
      </c>
      <c r="P1805" s="1" t="str">
        <f>IF( AND( Table4[[#This Row],[Route]]=ClosureLocation!$B$3, ClosureLocation!$B$6 &gt;= Table4[[#This Row],[StartMP]], ClosureLocation!$B$6 &lt;= Table4[[#This Row],[EndMP]]), "Yes", "")</f>
        <v/>
      </c>
      <c r="Q1805" s="1" t="str">
        <f>IF( AND( Table4[[#This Row],[Route]]=ClosureLocation!$B$3, ClosureLocation!$B$6 &lt;= Table4[[#This Row],[StartMP]], ClosureLocation!$B$6 &gt;= Table4[[#This Row],[EndMP]]), "Yes", "")</f>
        <v/>
      </c>
      <c r="R1805" s="1" t="str">
        <f>IF( OR( Table4[[#This Row],[PrimaryMatch]]="Yes", Table4[[#This Row],[SecondaryMatch]]="Yes"), "Yes", "")</f>
        <v/>
      </c>
    </row>
    <row r="1806" spans="1:18" hidden="1" x14ac:dyDescent="0.25">
      <c r="A1806" t="s">
        <v>917</v>
      </c>
      <c r="B1806" t="s">
        <v>3209</v>
      </c>
      <c r="C1806" t="s">
        <v>3226</v>
      </c>
      <c r="D1806" t="s">
        <v>3840</v>
      </c>
      <c r="E1806" s="1">
        <v>10.59</v>
      </c>
      <c r="F1806" s="1">
        <v>10.34</v>
      </c>
      <c r="K1806" s="39">
        <f>DefaultValues!$B$4</f>
        <v>5</v>
      </c>
      <c r="L1806" s="1">
        <f>DefaultValues!$C$4</f>
        <v>0.5</v>
      </c>
      <c r="M1806" s="1" t="str">
        <f>DefaultValues!$D$4</f>
        <v xml:space="preserve">- Within interchange - </v>
      </c>
      <c r="N1806" s="1">
        <v>989.40997300000004</v>
      </c>
      <c r="O1806" s="1">
        <f>ABS(Table4[[#This Row],[EndMP]]-Table4[[#This Row],[StartMP]])</f>
        <v>0.25</v>
      </c>
      <c r="P1806" s="1" t="str">
        <f>IF( AND( Table4[[#This Row],[Route]]=ClosureLocation!$B$3, ClosureLocation!$B$6 &gt;= Table4[[#This Row],[StartMP]], ClosureLocation!$B$6 &lt;= Table4[[#This Row],[EndMP]]), "Yes", "")</f>
        <v/>
      </c>
      <c r="Q1806" s="1" t="str">
        <f>IF( AND( Table4[[#This Row],[Route]]=ClosureLocation!$B$3, ClosureLocation!$B$6 &lt;= Table4[[#This Row],[StartMP]], ClosureLocation!$B$6 &gt;= Table4[[#This Row],[EndMP]]), "Yes", "")</f>
        <v/>
      </c>
      <c r="R1806" s="1" t="str">
        <f>IF( OR( Table4[[#This Row],[PrimaryMatch]]="Yes", Table4[[#This Row],[SecondaryMatch]]="Yes"), "Yes", "")</f>
        <v/>
      </c>
    </row>
    <row r="1807" spans="1:18" hidden="1" x14ac:dyDescent="0.25">
      <c r="A1807" t="s">
        <v>917</v>
      </c>
      <c r="B1807" t="s">
        <v>3209</v>
      </c>
      <c r="C1807" t="s">
        <v>3226</v>
      </c>
      <c r="D1807" t="s">
        <v>3840</v>
      </c>
      <c r="E1807" s="1">
        <v>7.077</v>
      </c>
      <c r="F1807" s="1">
        <v>6.32</v>
      </c>
      <c r="K1807" s="39">
        <f>DefaultValues!$B$4</f>
        <v>5</v>
      </c>
      <c r="L1807" s="1">
        <f>DefaultValues!$C$4</f>
        <v>0.5</v>
      </c>
      <c r="M1807" s="1" t="str">
        <f>DefaultValues!$D$4</f>
        <v xml:space="preserve">- Within interchange - </v>
      </c>
      <c r="N1807" s="1">
        <v>992.92297399999995</v>
      </c>
      <c r="O1807" s="1">
        <f>ABS(Table4[[#This Row],[EndMP]]-Table4[[#This Row],[StartMP]])</f>
        <v>0.75699999999999967</v>
      </c>
      <c r="P1807" s="1" t="str">
        <f>IF( AND( Table4[[#This Row],[Route]]=ClosureLocation!$B$3, ClosureLocation!$B$6 &gt;= Table4[[#This Row],[StartMP]], ClosureLocation!$B$6 &lt;= Table4[[#This Row],[EndMP]]), "Yes", "")</f>
        <v/>
      </c>
      <c r="Q1807" s="1" t="str">
        <f>IF( AND( Table4[[#This Row],[Route]]=ClosureLocation!$B$3, ClosureLocation!$B$6 &lt;= Table4[[#This Row],[StartMP]], ClosureLocation!$B$6 &gt;= Table4[[#This Row],[EndMP]]), "Yes", "")</f>
        <v/>
      </c>
      <c r="R1807" s="1" t="str">
        <f>IF( OR( Table4[[#This Row],[PrimaryMatch]]="Yes", Table4[[#This Row],[SecondaryMatch]]="Yes"), "Yes", "")</f>
        <v/>
      </c>
    </row>
    <row r="1808" spans="1:18" hidden="1" x14ac:dyDescent="0.25">
      <c r="A1808" t="s">
        <v>917</v>
      </c>
      <c r="B1808" t="s">
        <v>3209</v>
      </c>
      <c r="C1808" t="s">
        <v>3226</v>
      </c>
      <c r="D1808" t="s">
        <v>3840</v>
      </c>
      <c r="E1808" s="1">
        <v>6</v>
      </c>
      <c r="F1808" s="1">
        <v>5.3129999999999997</v>
      </c>
      <c r="K1808" s="39">
        <f>DefaultValues!$B$4</f>
        <v>5</v>
      </c>
      <c r="L1808" s="1">
        <f>DefaultValues!$C$4</f>
        <v>0.5</v>
      </c>
      <c r="M1808" s="1" t="str">
        <f>DefaultValues!$D$4</f>
        <v xml:space="preserve">- Within interchange - </v>
      </c>
      <c r="N1808" s="1">
        <v>994</v>
      </c>
      <c r="O1808" s="1">
        <f>ABS(Table4[[#This Row],[EndMP]]-Table4[[#This Row],[StartMP]])</f>
        <v>0.68700000000000028</v>
      </c>
      <c r="P1808" s="1" t="str">
        <f>IF( AND( Table4[[#This Row],[Route]]=ClosureLocation!$B$3, ClosureLocation!$B$6 &gt;= Table4[[#This Row],[StartMP]], ClosureLocation!$B$6 &lt;= Table4[[#This Row],[EndMP]]), "Yes", "")</f>
        <v/>
      </c>
      <c r="Q1808" s="1" t="str">
        <f>IF( AND( Table4[[#This Row],[Route]]=ClosureLocation!$B$3, ClosureLocation!$B$6 &lt;= Table4[[#This Row],[StartMP]], ClosureLocation!$B$6 &gt;= Table4[[#This Row],[EndMP]]), "Yes", "")</f>
        <v/>
      </c>
      <c r="R1808" s="1" t="str">
        <f>IF( OR( Table4[[#This Row],[PrimaryMatch]]="Yes", Table4[[#This Row],[SecondaryMatch]]="Yes"), "Yes", "")</f>
        <v/>
      </c>
    </row>
    <row r="1809" spans="1:18" hidden="1" x14ac:dyDescent="0.25">
      <c r="A1809" t="s">
        <v>917</v>
      </c>
      <c r="B1809" t="s">
        <v>3209</v>
      </c>
      <c r="C1809" t="s">
        <v>3226</v>
      </c>
      <c r="D1809" t="s">
        <v>3840</v>
      </c>
      <c r="E1809" s="1">
        <v>4.7469999999999999</v>
      </c>
      <c r="F1809" s="1">
        <v>4.0149999999999997</v>
      </c>
      <c r="K1809" s="39">
        <f>DefaultValues!$B$4</f>
        <v>5</v>
      </c>
      <c r="L1809" s="1">
        <f>DefaultValues!$C$4</f>
        <v>0.5</v>
      </c>
      <c r="M1809" s="1" t="str">
        <f>DefaultValues!$D$4</f>
        <v xml:space="preserve">- Within interchange - </v>
      </c>
      <c r="N1809" s="1">
        <v>995.25299099999995</v>
      </c>
      <c r="O1809" s="1">
        <f>ABS(Table4[[#This Row],[EndMP]]-Table4[[#This Row],[StartMP]])</f>
        <v>0.73200000000000021</v>
      </c>
      <c r="P1809" s="1" t="str">
        <f>IF( AND( Table4[[#This Row],[Route]]=ClosureLocation!$B$3, ClosureLocation!$B$6 &gt;= Table4[[#This Row],[StartMP]], ClosureLocation!$B$6 &lt;= Table4[[#This Row],[EndMP]]), "Yes", "")</f>
        <v/>
      </c>
      <c r="Q1809" s="1" t="str">
        <f>IF( AND( Table4[[#This Row],[Route]]=ClosureLocation!$B$3, ClosureLocation!$B$6 &lt;= Table4[[#This Row],[StartMP]], ClosureLocation!$B$6 &gt;= Table4[[#This Row],[EndMP]]), "Yes", "")</f>
        <v/>
      </c>
      <c r="R1809" s="1" t="str">
        <f>IF( OR( Table4[[#This Row],[PrimaryMatch]]="Yes", Table4[[#This Row],[SecondaryMatch]]="Yes"), "Yes", "")</f>
        <v/>
      </c>
    </row>
    <row r="1810" spans="1:18" hidden="1" x14ac:dyDescent="0.25">
      <c r="A1810" t="s">
        <v>917</v>
      </c>
      <c r="B1810" t="s">
        <v>3209</v>
      </c>
      <c r="C1810" t="s">
        <v>3226</v>
      </c>
      <c r="D1810" t="s">
        <v>3840</v>
      </c>
      <c r="E1810" s="1">
        <v>3.6139999999999999</v>
      </c>
      <c r="F1810" s="1">
        <v>2.9020000000000001</v>
      </c>
      <c r="K1810" s="39">
        <f>DefaultValues!$B$4</f>
        <v>5</v>
      </c>
      <c r="L1810" s="1">
        <f>DefaultValues!$C$4</f>
        <v>0.5</v>
      </c>
      <c r="M1810" s="1" t="str">
        <f>DefaultValues!$D$4</f>
        <v xml:space="preserve">- Within interchange - </v>
      </c>
      <c r="N1810" s="1">
        <v>996.385986</v>
      </c>
      <c r="O1810" s="1">
        <f>ABS(Table4[[#This Row],[EndMP]]-Table4[[#This Row],[StartMP]])</f>
        <v>0.71199999999999974</v>
      </c>
      <c r="P1810" s="1" t="str">
        <f>IF( AND( Table4[[#This Row],[Route]]=ClosureLocation!$B$3, ClosureLocation!$B$6 &gt;= Table4[[#This Row],[StartMP]], ClosureLocation!$B$6 &lt;= Table4[[#This Row],[EndMP]]), "Yes", "")</f>
        <v/>
      </c>
      <c r="Q1810" s="1" t="str">
        <f>IF( AND( Table4[[#This Row],[Route]]=ClosureLocation!$B$3, ClosureLocation!$B$6 &lt;= Table4[[#This Row],[StartMP]], ClosureLocation!$B$6 &gt;= Table4[[#This Row],[EndMP]]), "Yes", "")</f>
        <v/>
      </c>
      <c r="R1810" s="1" t="str">
        <f>IF( OR( Table4[[#This Row],[PrimaryMatch]]="Yes", Table4[[#This Row],[SecondaryMatch]]="Yes"), "Yes", "")</f>
        <v/>
      </c>
    </row>
    <row r="1811" spans="1:18" hidden="1" x14ac:dyDescent="0.25">
      <c r="A1811" t="s">
        <v>917</v>
      </c>
      <c r="B1811" t="s">
        <v>3209</v>
      </c>
      <c r="C1811" t="s">
        <v>3226</v>
      </c>
      <c r="D1811" t="s">
        <v>3840</v>
      </c>
      <c r="E1811" s="1">
        <v>2.048</v>
      </c>
      <c r="F1811" s="1">
        <v>1.502</v>
      </c>
      <c r="K1811" s="39">
        <f>DefaultValues!$B$4</f>
        <v>5</v>
      </c>
      <c r="L1811" s="1">
        <f>DefaultValues!$C$4</f>
        <v>0.5</v>
      </c>
      <c r="M1811" s="1" t="str">
        <f>DefaultValues!$D$4</f>
        <v xml:space="preserve">- Within interchange - </v>
      </c>
      <c r="N1811" s="1">
        <v>997.95202600000005</v>
      </c>
      <c r="O1811" s="1">
        <f>ABS(Table4[[#This Row],[EndMP]]-Table4[[#This Row],[StartMP]])</f>
        <v>0.54600000000000004</v>
      </c>
      <c r="P1811" s="1" t="str">
        <f>IF( AND( Table4[[#This Row],[Route]]=ClosureLocation!$B$3, ClosureLocation!$B$6 &gt;= Table4[[#This Row],[StartMP]], ClosureLocation!$B$6 &lt;= Table4[[#This Row],[EndMP]]), "Yes", "")</f>
        <v/>
      </c>
      <c r="Q1811" s="1" t="str">
        <f>IF( AND( Table4[[#This Row],[Route]]=ClosureLocation!$B$3, ClosureLocation!$B$6 &lt;= Table4[[#This Row],[StartMP]], ClosureLocation!$B$6 &gt;= Table4[[#This Row],[EndMP]]), "Yes", "")</f>
        <v/>
      </c>
      <c r="R1811" s="1" t="str">
        <f>IF( OR( Table4[[#This Row],[PrimaryMatch]]="Yes", Table4[[#This Row],[SecondaryMatch]]="Yes"), "Yes", "")</f>
        <v/>
      </c>
    </row>
    <row r="1812" spans="1:18" hidden="1" x14ac:dyDescent="0.25">
      <c r="A1812" t="s">
        <v>917</v>
      </c>
      <c r="B1812" t="s">
        <v>3209</v>
      </c>
      <c r="C1812" t="s">
        <v>3226</v>
      </c>
      <c r="D1812" t="s">
        <v>3840</v>
      </c>
      <c r="E1812" s="1">
        <v>0.55600000000000005</v>
      </c>
      <c r="F1812" s="1">
        <v>0</v>
      </c>
      <c r="K1812" s="39">
        <f>DefaultValues!$B$4</f>
        <v>5</v>
      </c>
      <c r="L1812" s="1">
        <f>DefaultValues!$C$4</f>
        <v>0.5</v>
      </c>
      <c r="M1812" s="1" t="str">
        <f>DefaultValues!$D$4</f>
        <v xml:space="preserve">- Within interchange - </v>
      </c>
      <c r="N1812" s="1">
        <v>999.44397000000004</v>
      </c>
      <c r="O1812" s="1">
        <f>ABS(Table4[[#This Row],[EndMP]]-Table4[[#This Row],[StartMP]])</f>
        <v>0.55600000000000005</v>
      </c>
      <c r="P1812" s="1" t="str">
        <f>IF( AND( Table4[[#This Row],[Route]]=ClosureLocation!$B$3, ClosureLocation!$B$6 &gt;= Table4[[#This Row],[StartMP]], ClosureLocation!$B$6 &lt;= Table4[[#This Row],[EndMP]]), "Yes", "")</f>
        <v/>
      </c>
      <c r="Q1812" s="1" t="str">
        <f>IF( AND( Table4[[#This Row],[Route]]=ClosureLocation!$B$3, ClosureLocation!$B$6 &lt;= Table4[[#This Row],[StartMP]], ClosureLocation!$B$6 &gt;= Table4[[#This Row],[EndMP]]), "Yes", "")</f>
        <v/>
      </c>
      <c r="R1812" s="1" t="str">
        <f>IF( OR( Table4[[#This Row],[PrimaryMatch]]="Yes", Table4[[#This Row],[SecondaryMatch]]="Yes"), "Yes", "")</f>
        <v/>
      </c>
    </row>
    <row r="1813" spans="1:18" hidden="1" x14ac:dyDescent="0.25">
      <c r="A1813" t="s">
        <v>938</v>
      </c>
      <c r="B1813" t="s">
        <v>3205</v>
      </c>
      <c r="C1813" t="s">
        <v>3210</v>
      </c>
      <c r="D1813" t="s">
        <v>4671</v>
      </c>
      <c r="E1813" s="1">
        <v>0.14000000000000001</v>
      </c>
      <c r="F1813" s="1">
        <v>0.22800000000000001</v>
      </c>
      <c r="K1813" s="39">
        <f>DefaultValues!$B$4</f>
        <v>5</v>
      </c>
      <c r="L1813" s="1">
        <f>DefaultValues!$C$4</f>
        <v>0.5</v>
      </c>
      <c r="M1813" s="1" t="str">
        <f>DefaultValues!$D$4</f>
        <v xml:space="preserve">- Within interchange - </v>
      </c>
      <c r="N1813" s="1">
        <v>0.14000000000000001</v>
      </c>
      <c r="O1813" s="1">
        <f>ABS(Table4[[#This Row],[EndMP]]-Table4[[#This Row],[StartMP]])</f>
        <v>8.7999999999999995E-2</v>
      </c>
      <c r="P1813" s="1" t="str">
        <f>IF( AND( Table4[[#This Row],[Route]]=ClosureLocation!$B$3, ClosureLocation!$B$6 &gt;= Table4[[#This Row],[StartMP]], ClosureLocation!$B$6 &lt;= Table4[[#This Row],[EndMP]]), "Yes", "")</f>
        <v/>
      </c>
      <c r="Q1813" s="1" t="str">
        <f>IF( AND( Table4[[#This Row],[Route]]=ClosureLocation!$B$3, ClosureLocation!$B$6 &lt;= Table4[[#This Row],[StartMP]], ClosureLocation!$B$6 &gt;= Table4[[#This Row],[EndMP]]), "Yes", "")</f>
        <v/>
      </c>
      <c r="R1813" s="1" t="str">
        <f>IF( OR( Table4[[#This Row],[PrimaryMatch]]="Yes", Table4[[#This Row],[SecondaryMatch]]="Yes"), "Yes", "")</f>
        <v/>
      </c>
    </row>
    <row r="1814" spans="1:18" hidden="1" x14ac:dyDescent="0.25">
      <c r="A1814" t="s">
        <v>938</v>
      </c>
      <c r="B1814" t="s">
        <v>3209</v>
      </c>
      <c r="C1814" t="s">
        <v>3206</v>
      </c>
      <c r="D1814" t="s">
        <v>4672</v>
      </c>
      <c r="E1814" s="1">
        <v>0.22800000000000001</v>
      </c>
      <c r="F1814" s="1">
        <v>0.14000000000000001</v>
      </c>
      <c r="K1814" s="39">
        <f>DefaultValues!$B$4</f>
        <v>5</v>
      </c>
      <c r="L1814" s="1">
        <f>DefaultValues!$C$4</f>
        <v>0.5</v>
      </c>
      <c r="M1814" s="1" t="str">
        <f>DefaultValues!$D$4</f>
        <v xml:space="preserve">- Within interchange - </v>
      </c>
      <c r="N1814" s="1">
        <v>999.771973</v>
      </c>
      <c r="O1814" s="1">
        <f>ABS(Table4[[#This Row],[EndMP]]-Table4[[#This Row],[StartMP]])</f>
        <v>8.7999999999999995E-2</v>
      </c>
      <c r="P1814" s="1" t="str">
        <f>IF( AND( Table4[[#This Row],[Route]]=ClosureLocation!$B$3, ClosureLocation!$B$6 &gt;= Table4[[#This Row],[StartMP]], ClosureLocation!$B$6 &lt;= Table4[[#This Row],[EndMP]]), "Yes", "")</f>
        <v/>
      </c>
      <c r="Q1814" s="1" t="str">
        <f>IF( AND( Table4[[#This Row],[Route]]=ClosureLocation!$B$3, ClosureLocation!$B$6 &lt;= Table4[[#This Row],[StartMP]], ClosureLocation!$B$6 &gt;= Table4[[#This Row],[EndMP]]), "Yes", "")</f>
        <v/>
      </c>
      <c r="R1814" s="1" t="str">
        <f>IF( OR( Table4[[#This Row],[PrimaryMatch]]="Yes", Table4[[#This Row],[SecondaryMatch]]="Yes"), "Yes", "")</f>
        <v/>
      </c>
    </row>
    <row r="1815" spans="1:18" hidden="1" x14ac:dyDescent="0.25">
      <c r="A1815" t="s">
        <v>942</v>
      </c>
      <c r="B1815" t="s">
        <v>3205</v>
      </c>
      <c r="C1815" t="s">
        <v>3222</v>
      </c>
      <c r="D1815" t="s">
        <v>3843</v>
      </c>
      <c r="E1815" s="1">
        <v>33.271999000000001</v>
      </c>
      <c r="F1815" s="1">
        <v>33.271999000000001</v>
      </c>
      <c r="K1815" s="39">
        <f>DefaultValues!$B$4</f>
        <v>5</v>
      </c>
      <c r="L1815" s="1">
        <f>DefaultValues!$C$4</f>
        <v>0.5</v>
      </c>
      <c r="M1815" s="1" t="str">
        <f>DefaultValues!$D$4</f>
        <v xml:space="preserve">- Within interchange - </v>
      </c>
      <c r="N1815" s="1">
        <v>33.271999000000001</v>
      </c>
      <c r="O1815" s="1">
        <f>ABS(Table4[[#This Row],[EndMP]]-Table4[[#This Row],[StartMP]])</f>
        <v>0</v>
      </c>
      <c r="P1815" s="1" t="str">
        <f>IF( AND( Table4[[#This Row],[Route]]=ClosureLocation!$B$3, ClosureLocation!$B$6 &gt;= Table4[[#This Row],[StartMP]], ClosureLocation!$B$6 &lt;= Table4[[#This Row],[EndMP]]), "Yes", "")</f>
        <v/>
      </c>
      <c r="Q1815" s="1" t="str">
        <f>IF( AND( Table4[[#This Row],[Route]]=ClosureLocation!$B$3, ClosureLocation!$B$6 &lt;= Table4[[#This Row],[StartMP]], ClosureLocation!$B$6 &gt;= Table4[[#This Row],[EndMP]]), "Yes", "")</f>
        <v/>
      </c>
      <c r="R1815" s="1" t="str">
        <f>IF( OR( Table4[[#This Row],[PrimaryMatch]]="Yes", Table4[[#This Row],[SecondaryMatch]]="Yes"), "Yes", "")</f>
        <v/>
      </c>
    </row>
    <row r="1816" spans="1:18" hidden="1" x14ac:dyDescent="0.25">
      <c r="A1816" t="s">
        <v>942</v>
      </c>
      <c r="B1816" t="s">
        <v>3209</v>
      </c>
      <c r="C1816" t="s">
        <v>3226</v>
      </c>
      <c r="D1816" t="s">
        <v>3845</v>
      </c>
      <c r="E1816" s="1">
        <v>33.271999000000001</v>
      </c>
      <c r="F1816" s="1">
        <v>33.271999000000001</v>
      </c>
      <c r="K1816" s="39">
        <f>DefaultValues!$B$4</f>
        <v>5</v>
      </c>
      <c r="L1816" s="1">
        <f>DefaultValues!$C$4</f>
        <v>0.5</v>
      </c>
      <c r="M1816" s="1" t="str">
        <f>DefaultValues!$D$4</f>
        <v xml:space="preserve">- Within interchange - </v>
      </c>
      <c r="N1816" s="1">
        <v>966.728027</v>
      </c>
      <c r="O1816" s="1">
        <f>ABS(Table4[[#This Row],[EndMP]]-Table4[[#This Row],[StartMP]])</f>
        <v>0</v>
      </c>
      <c r="P1816" s="1" t="str">
        <f>IF( AND( Table4[[#This Row],[Route]]=ClosureLocation!$B$3, ClosureLocation!$B$6 &gt;= Table4[[#This Row],[StartMP]], ClosureLocation!$B$6 &lt;= Table4[[#This Row],[EndMP]]), "Yes", "")</f>
        <v/>
      </c>
      <c r="Q1816" s="1" t="str">
        <f>IF( AND( Table4[[#This Row],[Route]]=ClosureLocation!$B$3, ClosureLocation!$B$6 &lt;= Table4[[#This Row],[StartMP]], ClosureLocation!$B$6 &gt;= Table4[[#This Row],[EndMP]]), "Yes", "")</f>
        <v/>
      </c>
      <c r="R1816" s="1" t="str">
        <f>IF( OR( Table4[[#This Row],[PrimaryMatch]]="Yes", Table4[[#This Row],[SecondaryMatch]]="Yes"), "Yes", "")</f>
        <v/>
      </c>
    </row>
    <row r="1817" spans="1:18" hidden="1" x14ac:dyDescent="0.25">
      <c r="A1817" t="s">
        <v>951</v>
      </c>
      <c r="B1817" t="s">
        <v>3205</v>
      </c>
      <c r="C1817" t="s">
        <v>3206</v>
      </c>
      <c r="D1817" t="s">
        <v>3847</v>
      </c>
      <c r="E1817" s="1">
        <v>7.2999999999999995E-2</v>
      </c>
      <c r="F1817" s="1">
        <v>0.20300000000000001</v>
      </c>
      <c r="K1817" s="39">
        <f>DefaultValues!$B$4</f>
        <v>5</v>
      </c>
      <c r="L1817" s="1">
        <f>DefaultValues!$C$4</f>
        <v>0.5</v>
      </c>
      <c r="M1817" s="1" t="str">
        <f>DefaultValues!$D$4</f>
        <v xml:space="preserve">- Within interchange - </v>
      </c>
      <c r="N1817" s="1">
        <v>7.2999999999999995E-2</v>
      </c>
      <c r="O1817" s="1">
        <f>ABS(Table4[[#This Row],[EndMP]]-Table4[[#This Row],[StartMP]])</f>
        <v>0.13</v>
      </c>
      <c r="P1817" s="1" t="str">
        <f>IF( AND( Table4[[#This Row],[Route]]=ClosureLocation!$B$3, ClosureLocation!$B$6 &gt;= Table4[[#This Row],[StartMP]], ClosureLocation!$B$6 &lt;= Table4[[#This Row],[EndMP]]), "Yes", "")</f>
        <v/>
      </c>
      <c r="Q1817" s="1" t="str">
        <f>IF( AND( Table4[[#This Row],[Route]]=ClosureLocation!$B$3, ClosureLocation!$B$6 &lt;= Table4[[#This Row],[StartMP]], ClosureLocation!$B$6 &gt;= Table4[[#This Row],[EndMP]]), "Yes", "")</f>
        <v/>
      </c>
      <c r="R1817" s="1" t="str">
        <f>IF( OR( Table4[[#This Row],[PrimaryMatch]]="Yes", Table4[[#This Row],[SecondaryMatch]]="Yes"), "Yes", "")</f>
        <v/>
      </c>
    </row>
    <row r="1818" spans="1:18" hidden="1" x14ac:dyDescent="0.25">
      <c r="A1818" t="s">
        <v>951</v>
      </c>
      <c r="B1818" t="s">
        <v>3209</v>
      </c>
      <c r="C1818" t="s">
        <v>3210</v>
      </c>
      <c r="D1818" t="s">
        <v>3849</v>
      </c>
      <c r="E1818" s="1">
        <v>0.20300000000000001</v>
      </c>
      <c r="F1818" s="1">
        <v>7.2999999999999995E-2</v>
      </c>
      <c r="K1818" s="39">
        <f>DefaultValues!$B$4</f>
        <v>5</v>
      </c>
      <c r="L1818" s="1">
        <f>DefaultValues!$C$4</f>
        <v>0.5</v>
      </c>
      <c r="M1818" s="1" t="str">
        <f>DefaultValues!$D$4</f>
        <v xml:space="preserve">- Within interchange - </v>
      </c>
      <c r="N1818" s="1">
        <v>999.79699700000003</v>
      </c>
      <c r="O1818" s="1">
        <f>ABS(Table4[[#This Row],[EndMP]]-Table4[[#This Row],[StartMP]])</f>
        <v>0.13</v>
      </c>
      <c r="P1818" s="1" t="str">
        <f>IF( AND( Table4[[#This Row],[Route]]=ClosureLocation!$B$3, ClosureLocation!$B$6 &gt;= Table4[[#This Row],[StartMP]], ClosureLocation!$B$6 &lt;= Table4[[#This Row],[EndMP]]), "Yes", "")</f>
        <v/>
      </c>
      <c r="Q1818" s="1" t="str">
        <f>IF( AND( Table4[[#This Row],[Route]]=ClosureLocation!$B$3, ClosureLocation!$B$6 &lt;= Table4[[#This Row],[StartMP]], ClosureLocation!$B$6 &gt;= Table4[[#This Row],[EndMP]]), "Yes", "")</f>
        <v/>
      </c>
      <c r="R1818" s="1" t="str">
        <f>IF( OR( Table4[[#This Row],[PrimaryMatch]]="Yes", Table4[[#This Row],[SecondaryMatch]]="Yes"), "Yes", "")</f>
        <v/>
      </c>
    </row>
    <row r="1819" spans="1:18" hidden="1" x14ac:dyDescent="0.25">
      <c r="A1819" t="s">
        <v>957</v>
      </c>
      <c r="B1819" t="s">
        <v>3205</v>
      </c>
      <c r="C1819" t="s">
        <v>3222</v>
      </c>
      <c r="D1819" t="s">
        <v>3855</v>
      </c>
      <c r="E1819" s="1">
        <v>0</v>
      </c>
      <c r="F1819" s="1">
        <v>0.04</v>
      </c>
      <c r="K1819" s="39">
        <f>DefaultValues!$B$4</f>
        <v>5</v>
      </c>
      <c r="L1819" s="1">
        <f>DefaultValues!$C$4</f>
        <v>0.5</v>
      </c>
      <c r="M1819" s="1" t="str">
        <f>DefaultValues!$D$4</f>
        <v xml:space="preserve">- Within interchange - </v>
      </c>
      <c r="N1819" s="1">
        <v>0</v>
      </c>
      <c r="O1819" s="1">
        <f>ABS(Table4[[#This Row],[EndMP]]-Table4[[#This Row],[StartMP]])</f>
        <v>0.04</v>
      </c>
      <c r="P1819" s="1" t="str">
        <f>IF( AND( Table4[[#This Row],[Route]]=ClosureLocation!$B$3, ClosureLocation!$B$6 &gt;= Table4[[#This Row],[StartMP]], ClosureLocation!$B$6 &lt;= Table4[[#This Row],[EndMP]]), "Yes", "")</f>
        <v/>
      </c>
      <c r="Q1819" s="1" t="str">
        <f>IF( AND( Table4[[#This Row],[Route]]=ClosureLocation!$B$3, ClosureLocation!$B$6 &lt;= Table4[[#This Row],[StartMP]], ClosureLocation!$B$6 &gt;= Table4[[#This Row],[EndMP]]), "Yes", "")</f>
        <v/>
      </c>
      <c r="R1819" s="1" t="str">
        <f>IF( OR( Table4[[#This Row],[PrimaryMatch]]="Yes", Table4[[#This Row],[SecondaryMatch]]="Yes"), "Yes", "")</f>
        <v/>
      </c>
    </row>
    <row r="1820" spans="1:18" hidden="1" x14ac:dyDescent="0.25">
      <c r="A1820" t="s">
        <v>957</v>
      </c>
      <c r="B1820" t="s">
        <v>3209</v>
      </c>
      <c r="C1820" t="s">
        <v>3226</v>
      </c>
      <c r="D1820" t="s">
        <v>3858</v>
      </c>
      <c r="E1820" s="1">
        <v>0.04</v>
      </c>
      <c r="F1820" s="1">
        <v>0</v>
      </c>
      <c r="K1820" s="39">
        <f>DefaultValues!$B$4</f>
        <v>5</v>
      </c>
      <c r="L1820" s="1">
        <f>DefaultValues!$C$4</f>
        <v>0.5</v>
      </c>
      <c r="M1820" s="1" t="str">
        <f>DefaultValues!$D$4</f>
        <v xml:space="preserve">- Within interchange - </v>
      </c>
      <c r="N1820" s="1">
        <v>999.96002199999998</v>
      </c>
      <c r="O1820" s="1">
        <f>ABS(Table4[[#This Row],[EndMP]]-Table4[[#This Row],[StartMP]])</f>
        <v>0.04</v>
      </c>
      <c r="P1820" s="1" t="str">
        <f>IF( AND( Table4[[#This Row],[Route]]=ClosureLocation!$B$3, ClosureLocation!$B$6 &gt;= Table4[[#This Row],[StartMP]], ClosureLocation!$B$6 &lt;= Table4[[#This Row],[EndMP]]), "Yes", "")</f>
        <v/>
      </c>
      <c r="Q1820" s="1" t="str">
        <f>IF( AND( Table4[[#This Row],[Route]]=ClosureLocation!$B$3, ClosureLocation!$B$6 &lt;= Table4[[#This Row],[StartMP]], ClosureLocation!$B$6 &gt;= Table4[[#This Row],[EndMP]]), "Yes", "")</f>
        <v/>
      </c>
      <c r="R1820" s="1" t="str">
        <f>IF( OR( Table4[[#This Row],[PrimaryMatch]]="Yes", Table4[[#This Row],[SecondaryMatch]]="Yes"), "Yes", "")</f>
        <v/>
      </c>
    </row>
    <row r="1821" spans="1:18" hidden="1" x14ac:dyDescent="0.25">
      <c r="A1821" t="s">
        <v>966</v>
      </c>
      <c r="B1821" t="s">
        <v>3205</v>
      </c>
      <c r="C1821" t="s">
        <v>3206</v>
      </c>
      <c r="D1821" t="s">
        <v>3861</v>
      </c>
      <c r="E1821" s="1">
        <v>20.367999999999999</v>
      </c>
      <c r="F1821" s="1">
        <v>20.545000000000002</v>
      </c>
      <c r="K1821" s="39">
        <f>DefaultValues!$B$4</f>
        <v>5</v>
      </c>
      <c r="L1821" s="1">
        <f>DefaultValues!$C$4</f>
        <v>0.5</v>
      </c>
      <c r="M1821" s="1" t="str">
        <f>DefaultValues!$D$4</f>
        <v xml:space="preserve">- Within interchange - </v>
      </c>
      <c r="N1821" s="1">
        <v>20.367999999999999</v>
      </c>
      <c r="O1821" s="1">
        <f>ABS(Table4[[#This Row],[EndMP]]-Table4[[#This Row],[StartMP]])</f>
        <v>0.17700000000000315</v>
      </c>
      <c r="P1821" s="1" t="str">
        <f>IF( AND( Table4[[#This Row],[Route]]=ClosureLocation!$B$3, ClosureLocation!$B$6 &gt;= Table4[[#This Row],[StartMP]], ClosureLocation!$B$6 &lt;= Table4[[#This Row],[EndMP]]), "Yes", "")</f>
        <v/>
      </c>
      <c r="Q1821" s="1" t="str">
        <f>IF( AND( Table4[[#This Row],[Route]]=ClosureLocation!$B$3, ClosureLocation!$B$6 &lt;= Table4[[#This Row],[StartMP]], ClosureLocation!$B$6 &gt;= Table4[[#This Row],[EndMP]]), "Yes", "")</f>
        <v/>
      </c>
      <c r="R1821" s="1" t="str">
        <f>IF( OR( Table4[[#This Row],[PrimaryMatch]]="Yes", Table4[[#This Row],[SecondaryMatch]]="Yes"), "Yes", "")</f>
        <v/>
      </c>
    </row>
    <row r="1822" spans="1:18" hidden="1" x14ac:dyDescent="0.25">
      <c r="A1822" t="s">
        <v>966</v>
      </c>
      <c r="B1822" t="s">
        <v>3205</v>
      </c>
      <c r="C1822" t="s">
        <v>3206</v>
      </c>
      <c r="D1822" t="s">
        <v>3861</v>
      </c>
      <c r="E1822" s="1">
        <v>61.570999</v>
      </c>
      <c r="F1822" s="1">
        <v>62.305999999999997</v>
      </c>
      <c r="K1822" s="39">
        <f>DefaultValues!$B$4</f>
        <v>5</v>
      </c>
      <c r="L1822" s="1">
        <f>DefaultValues!$C$4</f>
        <v>0.5</v>
      </c>
      <c r="M1822" s="1" t="str">
        <f>DefaultValues!$D$4</f>
        <v xml:space="preserve">- Within interchange - </v>
      </c>
      <c r="N1822" s="1">
        <v>61.570999</v>
      </c>
      <c r="O1822" s="1">
        <f>ABS(Table4[[#This Row],[EndMP]]-Table4[[#This Row],[StartMP]])</f>
        <v>0.73500099999999691</v>
      </c>
      <c r="P1822" s="1" t="str">
        <f>IF( AND( Table4[[#This Row],[Route]]=ClosureLocation!$B$3, ClosureLocation!$B$6 &gt;= Table4[[#This Row],[StartMP]], ClosureLocation!$B$6 &lt;= Table4[[#This Row],[EndMP]]), "Yes", "")</f>
        <v/>
      </c>
      <c r="Q1822" s="1" t="str">
        <f>IF( AND( Table4[[#This Row],[Route]]=ClosureLocation!$B$3, ClosureLocation!$B$6 &lt;= Table4[[#This Row],[StartMP]], ClosureLocation!$B$6 &gt;= Table4[[#This Row],[EndMP]]), "Yes", "")</f>
        <v/>
      </c>
      <c r="R1822" s="1" t="str">
        <f>IF( OR( Table4[[#This Row],[PrimaryMatch]]="Yes", Table4[[#This Row],[SecondaryMatch]]="Yes"), "Yes", "")</f>
        <v/>
      </c>
    </row>
    <row r="1823" spans="1:18" hidden="1" x14ac:dyDescent="0.25">
      <c r="A1823" t="s">
        <v>966</v>
      </c>
      <c r="B1823" t="s">
        <v>3205</v>
      </c>
      <c r="C1823" t="s">
        <v>3206</v>
      </c>
      <c r="D1823" t="s">
        <v>3861</v>
      </c>
      <c r="E1823" s="1">
        <v>65.042000000000002</v>
      </c>
      <c r="F1823" s="1">
        <v>65.605002999999996</v>
      </c>
      <c r="K1823" s="39">
        <f>DefaultValues!$B$4</f>
        <v>5</v>
      </c>
      <c r="L1823" s="1">
        <f>DefaultValues!$C$4</f>
        <v>0.5</v>
      </c>
      <c r="M1823" s="1" t="str">
        <f>DefaultValues!$D$4</f>
        <v xml:space="preserve">- Within interchange - </v>
      </c>
      <c r="N1823" s="1">
        <v>65.042000000000002</v>
      </c>
      <c r="O1823" s="1">
        <f>ABS(Table4[[#This Row],[EndMP]]-Table4[[#This Row],[StartMP]])</f>
        <v>0.56300299999999481</v>
      </c>
      <c r="P1823" s="1" t="str">
        <f>IF( AND( Table4[[#This Row],[Route]]=ClosureLocation!$B$3, ClosureLocation!$B$6 &gt;= Table4[[#This Row],[StartMP]], ClosureLocation!$B$6 &lt;= Table4[[#This Row],[EndMP]]), "Yes", "")</f>
        <v/>
      </c>
      <c r="Q1823" s="1" t="str">
        <f>IF( AND( Table4[[#This Row],[Route]]=ClosureLocation!$B$3, ClosureLocation!$B$6 &lt;= Table4[[#This Row],[StartMP]], ClosureLocation!$B$6 &gt;= Table4[[#This Row],[EndMP]]), "Yes", "")</f>
        <v/>
      </c>
      <c r="R1823" s="1" t="str">
        <f>IF( OR( Table4[[#This Row],[PrimaryMatch]]="Yes", Table4[[#This Row],[SecondaryMatch]]="Yes"), "Yes", "")</f>
        <v/>
      </c>
    </row>
    <row r="1824" spans="1:18" hidden="1" x14ac:dyDescent="0.25">
      <c r="A1824" t="s">
        <v>966</v>
      </c>
      <c r="B1824" t="s">
        <v>3205</v>
      </c>
      <c r="C1824" t="s">
        <v>3206</v>
      </c>
      <c r="D1824" t="s">
        <v>3861</v>
      </c>
      <c r="E1824" s="1">
        <v>69.598999000000006</v>
      </c>
      <c r="F1824" s="1">
        <v>69.858001999999999</v>
      </c>
      <c r="K1824" s="39">
        <f>DefaultValues!$B$4</f>
        <v>5</v>
      </c>
      <c r="L1824" s="1">
        <f>DefaultValues!$C$4</f>
        <v>0.5</v>
      </c>
      <c r="M1824" s="1" t="str">
        <f>DefaultValues!$D$4</f>
        <v xml:space="preserve">- Within interchange - </v>
      </c>
      <c r="N1824" s="1">
        <v>69.598999000000006</v>
      </c>
      <c r="O1824" s="1">
        <f>ABS(Table4[[#This Row],[EndMP]]-Table4[[#This Row],[StartMP]])</f>
        <v>0.25900299999999277</v>
      </c>
      <c r="P1824" s="1" t="str">
        <f>IF( AND( Table4[[#This Row],[Route]]=ClosureLocation!$B$3, ClosureLocation!$B$6 &gt;= Table4[[#This Row],[StartMP]], ClosureLocation!$B$6 &lt;= Table4[[#This Row],[EndMP]]), "Yes", "")</f>
        <v/>
      </c>
      <c r="Q1824" s="1" t="str">
        <f>IF( AND( Table4[[#This Row],[Route]]=ClosureLocation!$B$3, ClosureLocation!$B$6 &lt;= Table4[[#This Row],[StartMP]], ClosureLocation!$B$6 &gt;= Table4[[#This Row],[EndMP]]), "Yes", "")</f>
        <v/>
      </c>
      <c r="R1824" s="1" t="str">
        <f>IF( OR( Table4[[#This Row],[PrimaryMatch]]="Yes", Table4[[#This Row],[SecondaryMatch]]="Yes"), "Yes", "")</f>
        <v/>
      </c>
    </row>
    <row r="1825" spans="1:18" hidden="1" x14ac:dyDescent="0.25">
      <c r="A1825" t="s">
        <v>966</v>
      </c>
      <c r="B1825" t="s">
        <v>3205</v>
      </c>
      <c r="C1825" t="s">
        <v>3206</v>
      </c>
      <c r="D1825" t="s">
        <v>3861</v>
      </c>
      <c r="E1825" s="1">
        <v>69.926002999999994</v>
      </c>
      <c r="F1825" s="1">
        <v>70.134003000000007</v>
      </c>
      <c r="K1825" s="39">
        <f>DefaultValues!$B$4</f>
        <v>5</v>
      </c>
      <c r="L1825" s="1">
        <f>DefaultValues!$C$4</f>
        <v>0.5</v>
      </c>
      <c r="M1825" s="1" t="str">
        <f>DefaultValues!$D$4</f>
        <v xml:space="preserve">- Within interchange - </v>
      </c>
      <c r="N1825" s="1">
        <v>69.926002999999994</v>
      </c>
      <c r="O1825" s="1">
        <f>ABS(Table4[[#This Row],[EndMP]]-Table4[[#This Row],[StartMP]])</f>
        <v>0.20800000000001262</v>
      </c>
      <c r="P1825" s="1" t="str">
        <f>IF( AND( Table4[[#This Row],[Route]]=ClosureLocation!$B$3, ClosureLocation!$B$6 &gt;= Table4[[#This Row],[StartMP]], ClosureLocation!$B$6 &lt;= Table4[[#This Row],[EndMP]]), "Yes", "")</f>
        <v/>
      </c>
      <c r="Q1825" s="1" t="str">
        <f>IF( AND( Table4[[#This Row],[Route]]=ClosureLocation!$B$3, ClosureLocation!$B$6 &lt;= Table4[[#This Row],[StartMP]], ClosureLocation!$B$6 &gt;= Table4[[#This Row],[EndMP]]), "Yes", "")</f>
        <v/>
      </c>
      <c r="R1825" s="1" t="str">
        <f>IF( OR( Table4[[#This Row],[PrimaryMatch]]="Yes", Table4[[#This Row],[SecondaryMatch]]="Yes"), "Yes", "")</f>
        <v/>
      </c>
    </row>
    <row r="1826" spans="1:18" hidden="1" x14ac:dyDescent="0.25">
      <c r="A1826" t="s">
        <v>966</v>
      </c>
      <c r="B1826" t="s">
        <v>3205</v>
      </c>
      <c r="C1826" t="s">
        <v>3206</v>
      </c>
      <c r="D1826" t="s">
        <v>3861</v>
      </c>
      <c r="E1826" s="1">
        <v>70.248001000000002</v>
      </c>
      <c r="F1826" s="1">
        <v>70.783996999999999</v>
      </c>
      <c r="K1826" s="39">
        <f>DefaultValues!$B$4</f>
        <v>5</v>
      </c>
      <c r="L1826" s="1">
        <f>DefaultValues!$C$4</f>
        <v>0.5</v>
      </c>
      <c r="M1826" s="1" t="str">
        <f>DefaultValues!$D$4</f>
        <v xml:space="preserve">- Within interchange - </v>
      </c>
      <c r="N1826" s="1">
        <v>70.248001000000002</v>
      </c>
      <c r="O1826" s="1">
        <f>ABS(Table4[[#This Row],[EndMP]]-Table4[[#This Row],[StartMP]])</f>
        <v>0.53599599999999725</v>
      </c>
      <c r="P1826" s="1" t="str">
        <f>IF( AND( Table4[[#This Row],[Route]]=ClosureLocation!$B$3, ClosureLocation!$B$6 &gt;= Table4[[#This Row],[StartMP]], ClosureLocation!$B$6 &lt;= Table4[[#This Row],[EndMP]]), "Yes", "")</f>
        <v/>
      </c>
      <c r="Q1826" s="1" t="str">
        <f>IF( AND( Table4[[#This Row],[Route]]=ClosureLocation!$B$3, ClosureLocation!$B$6 &lt;= Table4[[#This Row],[StartMP]], ClosureLocation!$B$6 &gt;= Table4[[#This Row],[EndMP]]), "Yes", "")</f>
        <v/>
      </c>
      <c r="R1826" s="1" t="str">
        <f>IF( OR( Table4[[#This Row],[PrimaryMatch]]="Yes", Table4[[#This Row],[SecondaryMatch]]="Yes"), "Yes", "")</f>
        <v/>
      </c>
    </row>
    <row r="1827" spans="1:18" hidden="1" x14ac:dyDescent="0.25">
      <c r="A1827" t="s">
        <v>966</v>
      </c>
      <c r="B1827" t="s">
        <v>3209</v>
      </c>
      <c r="C1827" t="s">
        <v>3210</v>
      </c>
      <c r="D1827" t="s">
        <v>3866</v>
      </c>
      <c r="E1827" s="1">
        <v>70.783996999999999</v>
      </c>
      <c r="F1827" s="1">
        <v>70.248001000000002</v>
      </c>
      <c r="K1827" s="39">
        <f>DefaultValues!$B$4</f>
        <v>5</v>
      </c>
      <c r="L1827" s="1">
        <f>DefaultValues!$C$4</f>
        <v>0.5</v>
      </c>
      <c r="M1827" s="1" t="str">
        <f>DefaultValues!$D$4</f>
        <v xml:space="preserve">- Within interchange - </v>
      </c>
      <c r="N1827" s="1">
        <v>929.216003</v>
      </c>
      <c r="O1827" s="1">
        <f>ABS(Table4[[#This Row],[EndMP]]-Table4[[#This Row],[StartMP]])</f>
        <v>0.53599599999999725</v>
      </c>
      <c r="P1827" s="1" t="str">
        <f>IF( AND( Table4[[#This Row],[Route]]=ClosureLocation!$B$3, ClosureLocation!$B$6 &gt;= Table4[[#This Row],[StartMP]], ClosureLocation!$B$6 &lt;= Table4[[#This Row],[EndMP]]), "Yes", "")</f>
        <v/>
      </c>
      <c r="Q1827" s="1" t="str">
        <f>IF( AND( Table4[[#This Row],[Route]]=ClosureLocation!$B$3, ClosureLocation!$B$6 &lt;= Table4[[#This Row],[StartMP]], ClosureLocation!$B$6 &gt;= Table4[[#This Row],[EndMP]]), "Yes", "")</f>
        <v/>
      </c>
      <c r="R1827" s="1" t="str">
        <f>IF( OR( Table4[[#This Row],[PrimaryMatch]]="Yes", Table4[[#This Row],[SecondaryMatch]]="Yes"), "Yes", "")</f>
        <v/>
      </c>
    </row>
    <row r="1828" spans="1:18" hidden="1" x14ac:dyDescent="0.25">
      <c r="A1828" t="s">
        <v>966</v>
      </c>
      <c r="B1828" t="s">
        <v>3209</v>
      </c>
      <c r="C1828" t="s">
        <v>3210</v>
      </c>
      <c r="D1828" t="s">
        <v>3866</v>
      </c>
      <c r="E1828" s="1">
        <v>70.134003000000007</v>
      </c>
      <c r="F1828" s="1">
        <v>69.926002999999994</v>
      </c>
      <c r="K1828" s="39">
        <f>DefaultValues!$B$4</f>
        <v>5</v>
      </c>
      <c r="L1828" s="1">
        <f>DefaultValues!$C$4</f>
        <v>0.5</v>
      </c>
      <c r="M1828" s="1" t="str">
        <f>DefaultValues!$D$4</f>
        <v xml:space="preserve">- Within interchange - </v>
      </c>
      <c r="N1828" s="1">
        <v>929.86602800000003</v>
      </c>
      <c r="O1828" s="1">
        <f>ABS(Table4[[#This Row],[EndMP]]-Table4[[#This Row],[StartMP]])</f>
        <v>0.20800000000001262</v>
      </c>
      <c r="P1828" s="1" t="str">
        <f>IF( AND( Table4[[#This Row],[Route]]=ClosureLocation!$B$3, ClosureLocation!$B$6 &gt;= Table4[[#This Row],[StartMP]], ClosureLocation!$B$6 &lt;= Table4[[#This Row],[EndMP]]), "Yes", "")</f>
        <v/>
      </c>
      <c r="Q1828" s="1" t="str">
        <f>IF( AND( Table4[[#This Row],[Route]]=ClosureLocation!$B$3, ClosureLocation!$B$6 &lt;= Table4[[#This Row],[StartMP]], ClosureLocation!$B$6 &gt;= Table4[[#This Row],[EndMP]]), "Yes", "")</f>
        <v/>
      </c>
      <c r="R1828" s="1" t="str">
        <f>IF( OR( Table4[[#This Row],[PrimaryMatch]]="Yes", Table4[[#This Row],[SecondaryMatch]]="Yes"), "Yes", "")</f>
        <v/>
      </c>
    </row>
    <row r="1829" spans="1:18" hidden="1" x14ac:dyDescent="0.25">
      <c r="A1829" t="s">
        <v>966</v>
      </c>
      <c r="B1829" t="s">
        <v>3209</v>
      </c>
      <c r="C1829" t="s">
        <v>3210</v>
      </c>
      <c r="D1829" t="s">
        <v>3866</v>
      </c>
      <c r="E1829" s="1">
        <v>69.858001999999999</v>
      </c>
      <c r="F1829" s="1">
        <v>69.598999000000006</v>
      </c>
      <c r="K1829" s="39">
        <f>DefaultValues!$B$4</f>
        <v>5</v>
      </c>
      <c r="L1829" s="1">
        <f>DefaultValues!$C$4</f>
        <v>0.5</v>
      </c>
      <c r="M1829" s="1" t="str">
        <f>DefaultValues!$D$4</f>
        <v xml:space="preserve">- Within interchange - </v>
      </c>
      <c r="N1829" s="1">
        <v>930.14202899999998</v>
      </c>
      <c r="O1829" s="1">
        <f>ABS(Table4[[#This Row],[EndMP]]-Table4[[#This Row],[StartMP]])</f>
        <v>0.25900299999999277</v>
      </c>
      <c r="P1829" s="1" t="str">
        <f>IF( AND( Table4[[#This Row],[Route]]=ClosureLocation!$B$3, ClosureLocation!$B$6 &gt;= Table4[[#This Row],[StartMP]], ClosureLocation!$B$6 &lt;= Table4[[#This Row],[EndMP]]), "Yes", "")</f>
        <v/>
      </c>
      <c r="Q1829" s="1" t="str">
        <f>IF( AND( Table4[[#This Row],[Route]]=ClosureLocation!$B$3, ClosureLocation!$B$6 &lt;= Table4[[#This Row],[StartMP]], ClosureLocation!$B$6 &gt;= Table4[[#This Row],[EndMP]]), "Yes", "")</f>
        <v/>
      </c>
      <c r="R1829" s="1" t="str">
        <f>IF( OR( Table4[[#This Row],[PrimaryMatch]]="Yes", Table4[[#This Row],[SecondaryMatch]]="Yes"), "Yes", "")</f>
        <v/>
      </c>
    </row>
    <row r="1830" spans="1:18" hidden="1" x14ac:dyDescent="0.25">
      <c r="A1830" t="s">
        <v>966</v>
      </c>
      <c r="B1830" t="s">
        <v>3209</v>
      </c>
      <c r="C1830" t="s">
        <v>3210</v>
      </c>
      <c r="D1830" t="s">
        <v>3866</v>
      </c>
      <c r="E1830" s="1">
        <v>65.605002999999996</v>
      </c>
      <c r="F1830" s="1">
        <v>65.042000000000002</v>
      </c>
      <c r="K1830" s="39">
        <f>DefaultValues!$B$4</f>
        <v>5</v>
      </c>
      <c r="L1830" s="1">
        <f>DefaultValues!$C$4</f>
        <v>0.5</v>
      </c>
      <c r="M1830" s="1" t="str">
        <f>DefaultValues!$D$4</f>
        <v xml:space="preserve">- Within interchange - </v>
      </c>
      <c r="N1830" s="1">
        <v>934.39502000000005</v>
      </c>
      <c r="O1830" s="1">
        <f>ABS(Table4[[#This Row],[EndMP]]-Table4[[#This Row],[StartMP]])</f>
        <v>0.56300299999999481</v>
      </c>
      <c r="P1830" s="1" t="str">
        <f>IF( AND( Table4[[#This Row],[Route]]=ClosureLocation!$B$3, ClosureLocation!$B$6 &gt;= Table4[[#This Row],[StartMP]], ClosureLocation!$B$6 &lt;= Table4[[#This Row],[EndMP]]), "Yes", "")</f>
        <v/>
      </c>
      <c r="Q1830" s="1" t="str">
        <f>IF( AND( Table4[[#This Row],[Route]]=ClosureLocation!$B$3, ClosureLocation!$B$6 &lt;= Table4[[#This Row],[StartMP]], ClosureLocation!$B$6 &gt;= Table4[[#This Row],[EndMP]]), "Yes", "")</f>
        <v/>
      </c>
      <c r="R1830" s="1" t="str">
        <f>IF( OR( Table4[[#This Row],[PrimaryMatch]]="Yes", Table4[[#This Row],[SecondaryMatch]]="Yes"), "Yes", "")</f>
        <v/>
      </c>
    </row>
    <row r="1831" spans="1:18" hidden="1" x14ac:dyDescent="0.25">
      <c r="A1831" t="s">
        <v>966</v>
      </c>
      <c r="B1831" t="s">
        <v>3209</v>
      </c>
      <c r="C1831" t="s">
        <v>3210</v>
      </c>
      <c r="D1831" t="s">
        <v>3866</v>
      </c>
      <c r="E1831" s="1">
        <v>62.305999999999997</v>
      </c>
      <c r="F1831" s="1">
        <v>61.570999</v>
      </c>
      <c r="K1831" s="39">
        <f>DefaultValues!$B$4</f>
        <v>5</v>
      </c>
      <c r="L1831" s="1">
        <f>DefaultValues!$C$4</f>
        <v>0.5</v>
      </c>
      <c r="M1831" s="1" t="str">
        <f>DefaultValues!$D$4</f>
        <v xml:space="preserve">- Within interchange - </v>
      </c>
      <c r="N1831" s="1">
        <v>937.69397000000004</v>
      </c>
      <c r="O1831" s="1">
        <f>ABS(Table4[[#This Row],[EndMP]]-Table4[[#This Row],[StartMP]])</f>
        <v>0.73500099999999691</v>
      </c>
      <c r="P1831" s="1" t="str">
        <f>IF( AND( Table4[[#This Row],[Route]]=ClosureLocation!$B$3, ClosureLocation!$B$6 &gt;= Table4[[#This Row],[StartMP]], ClosureLocation!$B$6 &lt;= Table4[[#This Row],[EndMP]]), "Yes", "")</f>
        <v/>
      </c>
      <c r="Q1831" s="1" t="str">
        <f>IF( AND( Table4[[#This Row],[Route]]=ClosureLocation!$B$3, ClosureLocation!$B$6 &lt;= Table4[[#This Row],[StartMP]], ClosureLocation!$B$6 &gt;= Table4[[#This Row],[EndMP]]), "Yes", "")</f>
        <v/>
      </c>
      <c r="R1831" s="1" t="str">
        <f>IF( OR( Table4[[#This Row],[PrimaryMatch]]="Yes", Table4[[#This Row],[SecondaryMatch]]="Yes"), "Yes", "")</f>
        <v/>
      </c>
    </row>
    <row r="1832" spans="1:18" hidden="1" x14ac:dyDescent="0.25">
      <c r="A1832" t="s">
        <v>966</v>
      </c>
      <c r="B1832" t="s">
        <v>3209</v>
      </c>
      <c r="C1832" t="s">
        <v>3210</v>
      </c>
      <c r="D1832" t="s">
        <v>3866</v>
      </c>
      <c r="E1832" s="1">
        <v>20.545000000000002</v>
      </c>
      <c r="F1832" s="1">
        <v>20.367999999999999</v>
      </c>
      <c r="K1832" s="39">
        <f>DefaultValues!$B$4</f>
        <v>5</v>
      </c>
      <c r="L1832" s="1">
        <f>DefaultValues!$C$4</f>
        <v>0.5</v>
      </c>
      <c r="M1832" s="1" t="str">
        <f>DefaultValues!$D$4</f>
        <v xml:space="preserve">- Within interchange - </v>
      </c>
      <c r="N1832" s="1">
        <v>979.455017</v>
      </c>
      <c r="O1832" s="1">
        <f>ABS(Table4[[#This Row],[EndMP]]-Table4[[#This Row],[StartMP]])</f>
        <v>0.17700000000000315</v>
      </c>
      <c r="P1832" s="1" t="str">
        <f>IF( AND( Table4[[#This Row],[Route]]=ClosureLocation!$B$3, ClosureLocation!$B$6 &gt;= Table4[[#This Row],[StartMP]], ClosureLocation!$B$6 &lt;= Table4[[#This Row],[EndMP]]), "Yes", "")</f>
        <v/>
      </c>
      <c r="Q1832" s="1" t="str">
        <f>IF( AND( Table4[[#This Row],[Route]]=ClosureLocation!$B$3, ClosureLocation!$B$6 &lt;= Table4[[#This Row],[StartMP]], ClosureLocation!$B$6 &gt;= Table4[[#This Row],[EndMP]]), "Yes", "")</f>
        <v/>
      </c>
      <c r="R1832" s="1" t="str">
        <f>IF( OR( Table4[[#This Row],[PrimaryMatch]]="Yes", Table4[[#This Row],[SecondaryMatch]]="Yes"), "Yes", "")</f>
        <v/>
      </c>
    </row>
    <row r="1833" spans="1:18" hidden="1" x14ac:dyDescent="0.25">
      <c r="A1833" t="s">
        <v>973</v>
      </c>
      <c r="B1833" t="s">
        <v>3205</v>
      </c>
      <c r="C1833" t="s">
        <v>3206</v>
      </c>
      <c r="D1833" t="s">
        <v>3871</v>
      </c>
      <c r="E1833" s="1">
        <v>27.872999</v>
      </c>
      <c r="F1833" s="1">
        <v>27.923999999999999</v>
      </c>
      <c r="K1833" s="39">
        <f>DefaultValues!$B$4</f>
        <v>5</v>
      </c>
      <c r="L1833" s="1">
        <f>DefaultValues!$C$4</f>
        <v>0.5</v>
      </c>
      <c r="M1833" s="1" t="str">
        <f>DefaultValues!$D$4</f>
        <v xml:space="preserve">- Within interchange - </v>
      </c>
      <c r="N1833" s="1">
        <v>27.872999</v>
      </c>
      <c r="O1833" s="1">
        <f>ABS(Table4[[#This Row],[EndMP]]-Table4[[#This Row],[StartMP]])</f>
        <v>5.1000999999999408E-2</v>
      </c>
      <c r="P1833" s="1" t="str">
        <f>IF( AND( Table4[[#This Row],[Route]]=ClosureLocation!$B$3, ClosureLocation!$B$6 &gt;= Table4[[#This Row],[StartMP]], ClosureLocation!$B$6 &lt;= Table4[[#This Row],[EndMP]]), "Yes", "")</f>
        <v/>
      </c>
      <c r="Q1833" s="1" t="str">
        <f>IF( AND( Table4[[#This Row],[Route]]=ClosureLocation!$B$3, ClosureLocation!$B$6 &lt;= Table4[[#This Row],[StartMP]], ClosureLocation!$B$6 &gt;= Table4[[#This Row],[EndMP]]), "Yes", "")</f>
        <v/>
      </c>
      <c r="R1833" s="1" t="str">
        <f>IF( OR( Table4[[#This Row],[PrimaryMatch]]="Yes", Table4[[#This Row],[SecondaryMatch]]="Yes"), "Yes", "")</f>
        <v/>
      </c>
    </row>
    <row r="1834" spans="1:18" hidden="1" x14ac:dyDescent="0.25">
      <c r="A1834" t="s">
        <v>973</v>
      </c>
      <c r="B1834" t="s">
        <v>3209</v>
      </c>
      <c r="C1834" t="s">
        <v>3210</v>
      </c>
      <c r="D1834" t="s">
        <v>3872</v>
      </c>
      <c r="E1834" s="1">
        <v>27.923999999999999</v>
      </c>
      <c r="F1834" s="1">
        <v>27.872999</v>
      </c>
      <c r="K1834" s="39">
        <f>DefaultValues!$B$4</f>
        <v>5</v>
      </c>
      <c r="L1834" s="1">
        <f>DefaultValues!$C$4</f>
        <v>0.5</v>
      </c>
      <c r="M1834" s="1" t="str">
        <f>DefaultValues!$D$4</f>
        <v xml:space="preserve">- Within interchange - </v>
      </c>
      <c r="N1834" s="1">
        <v>972.07598900000005</v>
      </c>
      <c r="O1834" s="1">
        <f>ABS(Table4[[#This Row],[EndMP]]-Table4[[#This Row],[StartMP]])</f>
        <v>5.1000999999999408E-2</v>
      </c>
      <c r="P1834" s="1" t="str">
        <f>IF( AND( Table4[[#This Row],[Route]]=ClosureLocation!$B$3, ClosureLocation!$B$6 &gt;= Table4[[#This Row],[StartMP]], ClosureLocation!$B$6 &lt;= Table4[[#This Row],[EndMP]]), "Yes", "")</f>
        <v/>
      </c>
      <c r="Q1834" s="1" t="str">
        <f>IF( AND( Table4[[#This Row],[Route]]=ClosureLocation!$B$3, ClosureLocation!$B$6 &lt;= Table4[[#This Row],[StartMP]], ClosureLocation!$B$6 &gt;= Table4[[#This Row],[EndMP]]), "Yes", "")</f>
        <v/>
      </c>
      <c r="R1834" s="1" t="str">
        <f>IF( OR( Table4[[#This Row],[PrimaryMatch]]="Yes", Table4[[#This Row],[SecondaryMatch]]="Yes"), "Yes", "")</f>
        <v/>
      </c>
    </row>
    <row r="1835" spans="1:18" hidden="1" x14ac:dyDescent="0.25">
      <c r="A1835" t="s">
        <v>976</v>
      </c>
      <c r="B1835" t="s">
        <v>3205</v>
      </c>
      <c r="C1835" t="s">
        <v>3206</v>
      </c>
      <c r="D1835" t="s">
        <v>4673</v>
      </c>
      <c r="E1835" s="1">
        <v>127.959999</v>
      </c>
      <c r="F1835" s="1">
        <v>128.03599500000001</v>
      </c>
      <c r="K1835" s="39">
        <f>DefaultValues!$B$4</f>
        <v>5</v>
      </c>
      <c r="L1835" s="1">
        <f>DefaultValues!$C$4</f>
        <v>0.5</v>
      </c>
      <c r="M1835" s="1" t="str">
        <f>DefaultValues!$D$4</f>
        <v xml:space="preserve">- Within interchange - </v>
      </c>
      <c r="N1835" s="1">
        <v>127.959999</v>
      </c>
      <c r="O1835" s="1">
        <f>ABS(Table4[[#This Row],[EndMP]]-Table4[[#This Row],[StartMP]])</f>
        <v>7.5996000000017716E-2</v>
      </c>
      <c r="P1835" s="1" t="str">
        <f>IF( AND( Table4[[#This Row],[Route]]=ClosureLocation!$B$3, ClosureLocation!$B$6 &gt;= Table4[[#This Row],[StartMP]], ClosureLocation!$B$6 &lt;= Table4[[#This Row],[EndMP]]), "Yes", "")</f>
        <v/>
      </c>
      <c r="Q1835" s="1" t="str">
        <f>IF( AND( Table4[[#This Row],[Route]]=ClosureLocation!$B$3, ClosureLocation!$B$6 &lt;= Table4[[#This Row],[StartMP]], ClosureLocation!$B$6 &gt;= Table4[[#This Row],[EndMP]]), "Yes", "")</f>
        <v/>
      </c>
      <c r="R1835" s="1" t="str">
        <f>IF( OR( Table4[[#This Row],[PrimaryMatch]]="Yes", Table4[[#This Row],[SecondaryMatch]]="Yes"), "Yes", "")</f>
        <v/>
      </c>
    </row>
    <row r="1836" spans="1:18" hidden="1" x14ac:dyDescent="0.25">
      <c r="A1836" t="s">
        <v>976</v>
      </c>
      <c r="B1836" t="s">
        <v>3205</v>
      </c>
      <c r="C1836" t="s">
        <v>3206</v>
      </c>
      <c r="D1836" t="s">
        <v>4673</v>
      </c>
      <c r="E1836" s="1">
        <v>131.50700399999999</v>
      </c>
      <c r="F1836" s="1">
        <v>131.759995</v>
      </c>
      <c r="K1836" s="39">
        <f>DefaultValues!$B$4</f>
        <v>5</v>
      </c>
      <c r="L1836" s="1">
        <f>DefaultValues!$C$4</f>
        <v>0.5</v>
      </c>
      <c r="M1836" s="1" t="str">
        <f>DefaultValues!$D$4</f>
        <v xml:space="preserve">- Within interchange - </v>
      </c>
      <c r="N1836" s="1">
        <v>131.50700399999999</v>
      </c>
      <c r="O1836" s="1">
        <f>ABS(Table4[[#This Row],[EndMP]]-Table4[[#This Row],[StartMP]])</f>
        <v>0.25299100000000863</v>
      </c>
      <c r="P1836" s="1" t="str">
        <f>IF( AND( Table4[[#This Row],[Route]]=ClosureLocation!$B$3, ClosureLocation!$B$6 &gt;= Table4[[#This Row],[StartMP]], ClosureLocation!$B$6 &lt;= Table4[[#This Row],[EndMP]]), "Yes", "")</f>
        <v/>
      </c>
      <c r="Q1836" s="1" t="str">
        <f>IF( AND( Table4[[#This Row],[Route]]=ClosureLocation!$B$3, ClosureLocation!$B$6 &lt;= Table4[[#This Row],[StartMP]], ClosureLocation!$B$6 &gt;= Table4[[#This Row],[EndMP]]), "Yes", "")</f>
        <v/>
      </c>
      <c r="R1836" s="1" t="str">
        <f>IF( OR( Table4[[#This Row],[PrimaryMatch]]="Yes", Table4[[#This Row],[SecondaryMatch]]="Yes"), "Yes", "")</f>
        <v/>
      </c>
    </row>
    <row r="1837" spans="1:18" hidden="1" x14ac:dyDescent="0.25">
      <c r="A1837" t="s">
        <v>976</v>
      </c>
      <c r="B1837" t="s">
        <v>3205</v>
      </c>
      <c r="C1837" t="s">
        <v>3206</v>
      </c>
      <c r="D1837" t="s">
        <v>4673</v>
      </c>
      <c r="E1837" s="1">
        <v>137</v>
      </c>
      <c r="F1837" s="1">
        <v>137.03999300000001</v>
      </c>
      <c r="K1837" s="39">
        <f>DefaultValues!$B$4</f>
        <v>5</v>
      </c>
      <c r="L1837" s="1">
        <f>DefaultValues!$C$4</f>
        <v>0.5</v>
      </c>
      <c r="M1837" s="1" t="str">
        <f>DefaultValues!$D$4</f>
        <v xml:space="preserve">- Within interchange - </v>
      </c>
      <c r="N1837" s="1">
        <v>137</v>
      </c>
      <c r="O1837" s="1">
        <f>ABS(Table4[[#This Row],[EndMP]]-Table4[[#This Row],[StartMP]])</f>
        <v>3.9993000000009715E-2</v>
      </c>
      <c r="P1837" s="1" t="str">
        <f>IF( AND( Table4[[#This Row],[Route]]=ClosureLocation!$B$3, ClosureLocation!$B$6 &gt;= Table4[[#This Row],[StartMP]], ClosureLocation!$B$6 &lt;= Table4[[#This Row],[EndMP]]), "Yes", "")</f>
        <v/>
      </c>
      <c r="Q1837" s="1" t="str">
        <f>IF( AND( Table4[[#This Row],[Route]]=ClosureLocation!$B$3, ClosureLocation!$B$6 &lt;= Table4[[#This Row],[StartMP]], ClosureLocation!$B$6 &gt;= Table4[[#This Row],[EndMP]]), "Yes", "")</f>
        <v/>
      </c>
      <c r="R1837" s="1" t="str">
        <f>IF( OR( Table4[[#This Row],[PrimaryMatch]]="Yes", Table4[[#This Row],[SecondaryMatch]]="Yes"), "Yes", "")</f>
        <v/>
      </c>
    </row>
    <row r="1838" spans="1:18" hidden="1" x14ac:dyDescent="0.25">
      <c r="A1838" t="s">
        <v>976</v>
      </c>
      <c r="B1838" t="s">
        <v>3209</v>
      </c>
      <c r="C1838" t="s">
        <v>3210</v>
      </c>
      <c r="D1838" t="s">
        <v>4674</v>
      </c>
      <c r="E1838" s="1">
        <v>137.03999300000001</v>
      </c>
      <c r="F1838" s="1">
        <v>137</v>
      </c>
      <c r="K1838" s="39">
        <f>DefaultValues!$B$4</f>
        <v>5</v>
      </c>
      <c r="L1838" s="1">
        <f>DefaultValues!$C$4</f>
        <v>0.5</v>
      </c>
      <c r="M1838" s="1" t="str">
        <f>DefaultValues!$D$4</f>
        <v xml:space="preserve">- Within interchange - </v>
      </c>
      <c r="N1838" s="1">
        <v>862.96002199999998</v>
      </c>
      <c r="O1838" s="1">
        <f>ABS(Table4[[#This Row],[EndMP]]-Table4[[#This Row],[StartMP]])</f>
        <v>3.9993000000009715E-2</v>
      </c>
      <c r="P1838" s="1" t="str">
        <f>IF( AND( Table4[[#This Row],[Route]]=ClosureLocation!$B$3, ClosureLocation!$B$6 &gt;= Table4[[#This Row],[StartMP]], ClosureLocation!$B$6 &lt;= Table4[[#This Row],[EndMP]]), "Yes", "")</f>
        <v/>
      </c>
      <c r="Q1838" s="1" t="str">
        <f>IF( AND( Table4[[#This Row],[Route]]=ClosureLocation!$B$3, ClosureLocation!$B$6 &lt;= Table4[[#This Row],[StartMP]], ClosureLocation!$B$6 &gt;= Table4[[#This Row],[EndMP]]), "Yes", "")</f>
        <v/>
      </c>
      <c r="R1838" s="1" t="str">
        <f>IF( OR( Table4[[#This Row],[PrimaryMatch]]="Yes", Table4[[#This Row],[SecondaryMatch]]="Yes"), "Yes", "")</f>
        <v/>
      </c>
    </row>
    <row r="1839" spans="1:18" hidden="1" x14ac:dyDescent="0.25">
      <c r="A1839" t="s">
        <v>976</v>
      </c>
      <c r="B1839" t="s">
        <v>3209</v>
      </c>
      <c r="C1839" t="s">
        <v>3210</v>
      </c>
      <c r="D1839" t="s">
        <v>4674</v>
      </c>
      <c r="E1839" s="1">
        <v>131.759995</v>
      </c>
      <c r="F1839" s="1">
        <v>131.50700399999999</v>
      </c>
      <c r="K1839" s="39">
        <f>DefaultValues!$B$4</f>
        <v>5</v>
      </c>
      <c r="L1839" s="1">
        <f>DefaultValues!$C$4</f>
        <v>0.5</v>
      </c>
      <c r="M1839" s="1" t="str">
        <f>DefaultValues!$D$4</f>
        <v xml:space="preserve">- Within interchange - </v>
      </c>
      <c r="N1839" s="1">
        <v>868.23999000000003</v>
      </c>
      <c r="O1839" s="1">
        <f>ABS(Table4[[#This Row],[EndMP]]-Table4[[#This Row],[StartMP]])</f>
        <v>0.25299100000000863</v>
      </c>
      <c r="P1839" s="1" t="str">
        <f>IF( AND( Table4[[#This Row],[Route]]=ClosureLocation!$B$3, ClosureLocation!$B$6 &gt;= Table4[[#This Row],[StartMP]], ClosureLocation!$B$6 &lt;= Table4[[#This Row],[EndMP]]), "Yes", "")</f>
        <v/>
      </c>
      <c r="Q1839" s="1" t="str">
        <f>IF( AND( Table4[[#This Row],[Route]]=ClosureLocation!$B$3, ClosureLocation!$B$6 &lt;= Table4[[#This Row],[StartMP]], ClosureLocation!$B$6 &gt;= Table4[[#This Row],[EndMP]]), "Yes", "")</f>
        <v/>
      </c>
      <c r="R1839" s="1" t="str">
        <f>IF( OR( Table4[[#This Row],[PrimaryMatch]]="Yes", Table4[[#This Row],[SecondaryMatch]]="Yes"), "Yes", "")</f>
        <v/>
      </c>
    </row>
    <row r="1840" spans="1:18" hidden="1" x14ac:dyDescent="0.25">
      <c r="A1840" t="s">
        <v>976</v>
      </c>
      <c r="B1840" t="s">
        <v>3209</v>
      </c>
      <c r="C1840" t="s">
        <v>3210</v>
      </c>
      <c r="D1840" t="s">
        <v>4674</v>
      </c>
      <c r="E1840" s="1">
        <v>128.03599500000001</v>
      </c>
      <c r="F1840" s="1">
        <v>127.959999</v>
      </c>
      <c r="K1840" s="39">
        <f>DefaultValues!$B$4</f>
        <v>5</v>
      </c>
      <c r="L1840" s="1">
        <f>DefaultValues!$C$4</f>
        <v>0.5</v>
      </c>
      <c r="M1840" s="1" t="str">
        <f>DefaultValues!$D$4</f>
        <v xml:space="preserve">- Within interchange - </v>
      </c>
      <c r="N1840" s="1">
        <v>871.96398899999997</v>
      </c>
      <c r="O1840" s="1">
        <f>ABS(Table4[[#This Row],[EndMP]]-Table4[[#This Row],[StartMP]])</f>
        <v>7.5996000000017716E-2</v>
      </c>
      <c r="P1840" s="1" t="str">
        <f>IF( AND( Table4[[#This Row],[Route]]=ClosureLocation!$B$3, ClosureLocation!$B$6 &gt;= Table4[[#This Row],[StartMP]], ClosureLocation!$B$6 &lt;= Table4[[#This Row],[EndMP]]), "Yes", "")</f>
        <v/>
      </c>
      <c r="Q1840" s="1" t="str">
        <f>IF( AND( Table4[[#This Row],[Route]]=ClosureLocation!$B$3, ClosureLocation!$B$6 &lt;= Table4[[#This Row],[StartMP]], ClosureLocation!$B$6 &gt;= Table4[[#This Row],[EndMP]]), "Yes", "")</f>
        <v/>
      </c>
      <c r="R1840" s="1" t="str">
        <f>IF( OR( Table4[[#This Row],[PrimaryMatch]]="Yes", Table4[[#This Row],[SecondaryMatch]]="Yes"), "Yes", "")</f>
        <v/>
      </c>
    </row>
    <row r="1841" spans="1:18" hidden="1" x14ac:dyDescent="0.25">
      <c r="A1841" t="s">
        <v>981</v>
      </c>
      <c r="B1841" t="s">
        <v>3205</v>
      </c>
      <c r="C1841" t="s">
        <v>3206</v>
      </c>
      <c r="D1841" t="s">
        <v>3873</v>
      </c>
      <c r="E1841" s="1">
        <v>184.66700700000001</v>
      </c>
      <c r="F1841" s="1">
        <v>184.88000500000001</v>
      </c>
      <c r="K1841" s="39">
        <f>DefaultValues!$B$4</f>
        <v>5</v>
      </c>
      <c r="L1841" s="1">
        <f>DefaultValues!$C$4</f>
        <v>0.5</v>
      </c>
      <c r="M1841" s="1" t="str">
        <f>DefaultValues!$D$4</f>
        <v xml:space="preserve">- Within interchange - </v>
      </c>
      <c r="N1841" s="1">
        <v>184.66700700000001</v>
      </c>
      <c r="O1841" s="1">
        <f>ABS(Table4[[#This Row],[EndMP]]-Table4[[#This Row],[StartMP]])</f>
        <v>0.21299799999999891</v>
      </c>
      <c r="P1841" s="1" t="str">
        <f>IF( AND( Table4[[#This Row],[Route]]=ClosureLocation!$B$3, ClosureLocation!$B$6 &gt;= Table4[[#This Row],[StartMP]], ClosureLocation!$B$6 &lt;= Table4[[#This Row],[EndMP]]), "Yes", "")</f>
        <v/>
      </c>
      <c r="Q1841" s="1" t="str">
        <f>IF( AND( Table4[[#This Row],[Route]]=ClosureLocation!$B$3, ClosureLocation!$B$6 &lt;= Table4[[#This Row],[StartMP]], ClosureLocation!$B$6 &gt;= Table4[[#This Row],[EndMP]]), "Yes", "")</f>
        <v/>
      </c>
      <c r="R1841" s="1" t="str">
        <f>IF( OR( Table4[[#This Row],[PrimaryMatch]]="Yes", Table4[[#This Row],[SecondaryMatch]]="Yes"), "Yes", "")</f>
        <v/>
      </c>
    </row>
    <row r="1842" spans="1:18" hidden="1" x14ac:dyDescent="0.25">
      <c r="A1842" t="s">
        <v>981</v>
      </c>
      <c r="B1842" t="s">
        <v>3205</v>
      </c>
      <c r="C1842" t="s">
        <v>3206</v>
      </c>
      <c r="D1842" t="s">
        <v>3873</v>
      </c>
      <c r="E1842" s="1">
        <v>190.08500699999999</v>
      </c>
      <c r="F1842" s="1">
        <v>190.36700400000001</v>
      </c>
      <c r="K1842" s="39">
        <f>DefaultValues!$B$4</f>
        <v>5</v>
      </c>
      <c r="L1842" s="1">
        <f>DefaultValues!$C$4</f>
        <v>0.5</v>
      </c>
      <c r="M1842" s="1" t="str">
        <f>DefaultValues!$D$4</f>
        <v xml:space="preserve">- Within interchange - </v>
      </c>
      <c r="N1842" s="1">
        <v>190.08500699999999</v>
      </c>
      <c r="O1842" s="1">
        <f>ABS(Table4[[#This Row],[EndMP]]-Table4[[#This Row],[StartMP]])</f>
        <v>0.28199700000001826</v>
      </c>
      <c r="P1842" s="1" t="str">
        <f>IF( AND( Table4[[#This Row],[Route]]=ClosureLocation!$B$3, ClosureLocation!$B$6 &gt;= Table4[[#This Row],[StartMP]], ClosureLocation!$B$6 &lt;= Table4[[#This Row],[EndMP]]), "Yes", "")</f>
        <v/>
      </c>
      <c r="Q1842" s="1" t="str">
        <f>IF( AND( Table4[[#This Row],[Route]]=ClosureLocation!$B$3, ClosureLocation!$B$6 &lt;= Table4[[#This Row],[StartMP]], ClosureLocation!$B$6 &gt;= Table4[[#This Row],[EndMP]]), "Yes", "")</f>
        <v/>
      </c>
      <c r="R1842" s="1" t="str">
        <f>IF( OR( Table4[[#This Row],[PrimaryMatch]]="Yes", Table4[[#This Row],[SecondaryMatch]]="Yes"), "Yes", "")</f>
        <v/>
      </c>
    </row>
    <row r="1843" spans="1:18" hidden="1" x14ac:dyDescent="0.25">
      <c r="A1843" t="s">
        <v>981</v>
      </c>
      <c r="B1843" t="s">
        <v>3205</v>
      </c>
      <c r="C1843" t="s">
        <v>3206</v>
      </c>
      <c r="D1843" t="s">
        <v>3873</v>
      </c>
      <c r="E1843" s="1">
        <v>196</v>
      </c>
      <c r="F1843" s="1">
        <v>196.70100400000001</v>
      </c>
      <c r="K1843" s="39">
        <f>DefaultValues!$B$4</f>
        <v>5</v>
      </c>
      <c r="L1843" s="1">
        <f>DefaultValues!$C$4</f>
        <v>0.5</v>
      </c>
      <c r="M1843" s="1" t="str">
        <f>DefaultValues!$D$4</f>
        <v xml:space="preserve">- Within interchange - </v>
      </c>
      <c r="N1843" s="1">
        <v>196</v>
      </c>
      <c r="O1843" s="1">
        <f>ABS(Table4[[#This Row],[EndMP]]-Table4[[#This Row],[StartMP]])</f>
        <v>0.70100400000001173</v>
      </c>
      <c r="P1843" s="1" t="str">
        <f>IF( AND( Table4[[#This Row],[Route]]=ClosureLocation!$B$3, ClosureLocation!$B$6 &gt;= Table4[[#This Row],[StartMP]], ClosureLocation!$B$6 &lt;= Table4[[#This Row],[EndMP]]), "Yes", "")</f>
        <v/>
      </c>
      <c r="Q1843" s="1" t="str">
        <f>IF( AND( Table4[[#This Row],[Route]]=ClosureLocation!$B$3, ClosureLocation!$B$6 &lt;= Table4[[#This Row],[StartMP]], ClosureLocation!$B$6 &gt;= Table4[[#This Row],[EndMP]]), "Yes", "")</f>
        <v/>
      </c>
      <c r="R1843" s="1" t="str">
        <f>IF( OR( Table4[[#This Row],[PrimaryMatch]]="Yes", Table4[[#This Row],[SecondaryMatch]]="Yes"), "Yes", "")</f>
        <v/>
      </c>
    </row>
    <row r="1844" spans="1:18" hidden="1" x14ac:dyDescent="0.25">
      <c r="A1844" t="s">
        <v>981</v>
      </c>
      <c r="B1844" t="s">
        <v>3205</v>
      </c>
      <c r="C1844" t="s">
        <v>3206</v>
      </c>
      <c r="D1844" t="s">
        <v>3873</v>
      </c>
      <c r="E1844" s="1">
        <v>200.31100499999999</v>
      </c>
      <c r="F1844" s="1">
        <v>200.80900600000001</v>
      </c>
      <c r="K1844" s="39">
        <f>DefaultValues!$B$4</f>
        <v>5</v>
      </c>
      <c r="L1844" s="1">
        <f>DefaultValues!$C$4</f>
        <v>0.5</v>
      </c>
      <c r="M1844" s="1" t="str">
        <f>DefaultValues!$D$4</f>
        <v xml:space="preserve">- Within interchange - </v>
      </c>
      <c r="N1844" s="1">
        <v>200.31100499999999</v>
      </c>
      <c r="O1844" s="1">
        <f>ABS(Table4[[#This Row],[EndMP]]-Table4[[#This Row],[StartMP]])</f>
        <v>0.49800100000001635</v>
      </c>
      <c r="P1844" s="1" t="str">
        <f>IF( AND( Table4[[#This Row],[Route]]=ClosureLocation!$B$3, ClosureLocation!$B$6 &gt;= Table4[[#This Row],[StartMP]], ClosureLocation!$B$6 &lt;= Table4[[#This Row],[EndMP]]), "Yes", "")</f>
        <v/>
      </c>
      <c r="Q1844" s="1" t="str">
        <f>IF( AND( Table4[[#This Row],[Route]]=ClosureLocation!$B$3, ClosureLocation!$B$6 &lt;= Table4[[#This Row],[StartMP]], ClosureLocation!$B$6 &gt;= Table4[[#This Row],[EndMP]]), "Yes", "")</f>
        <v/>
      </c>
      <c r="R1844" s="1" t="str">
        <f>IF( OR( Table4[[#This Row],[PrimaryMatch]]="Yes", Table4[[#This Row],[SecondaryMatch]]="Yes"), "Yes", "")</f>
        <v/>
      </c>
    </row>
    <row r="1845" spans="1:18" hidden="1" x14ac:dyDescent="0.25">
      <c r="A1845" t="s">
        <v>981</v>
      </c>
      <c r="B1845" t="s">
        <v>3205</v>
      </c>
      <c r="C1845" t="s">
        <v>3206</v>
      </c>
      <c r="D1845" t="s">
        <v>3873</v>
      </c>
      <c r="E1845" s="1">
        <v>204.55900600000001</v>
      </c>
      <c r="F1845" s="1">
        <v>204.929993</v>
      </c>
      <c r="K1845" s="39">
        <f>DefaultValues!$B$4</f>
        <v>5</v>
      </c>
      <c r="L1845" s="1">
        <f>DefaultValues!$C$4</f>
        <v>0.5</v>
      </c>
      <c r="M1845" s="1" t="str">
        <f>DefaultValues!$D$4</f>
        <v xml:space="preserve">- Within interchange - </v>
      </c>
      <c r="N1845" s="1">
        <v>204.55900600000001</v>
      </c>
      <c r="O1845" s="1">
        <f>ABS(Table4[[#This Row],[EndMP]]-Table4[[#This Row],[StartMP]])</f>
        <v>0.3709869999999853</v>
      </c>
      <c r="P1845" s="1" t="str">
        <f>IF( AND( Table4[[#This Row],[Route]]=ClosureLocation!$B$3, ClosureLocation!$B$6 &gt;= Table4[[#This Row],[StartMP]], ClosureLocation!$B$6 &lt;= Table4[[#This Row],[EndMP]]), "Yes", "")</f>
        <v/>
      </c>
      <c r="Q1845" s="1" t="str">
        <f>IF( AND( Table4[[#This Row],[Route]]=ClosureLocation!$B$3, ClosureLocation!$B$6 &lt;= Table4[[#This Row],[StartMP]], ClosureLocation!$B$6 &gt;= Table4[[#This Row],[EndMP]]), "Yes", "")</f>
        <v/>
      </c>
      <c r="R1845" s="1" t="str">
        <f>IF( OR( Table4[[#This Row],[PrimaryMatch]]="Yes", Table4[[#This Row],[SecondaryMatch]]="Yes"), "Yes", "")</f>
        <v/>
      </c>
    </row>
    <row r="1846" spans="1:18" hidden="1" x14ac:dyDescent="0.25">
      <c r="A1846" t="s">
        <v>981</v>
      </c>
      <c r="B1846" t="s">
        <v>3205</v>
      </c>
      <c r="C1846" t="s">
        <v>3206</v>
      </c>
      <c r="D1846" t="s">
        <v>3873</v>
      </c>
      <c r="E1846" s="1">
        <v>206.63400300000001</v>
      </c>
      <c r="F1846" s="1">
        <v>207.10000600000001</v>
      </c>
      <c r="K1846" s="39">
        <f>DefaultValues!$B$4</f>
        <v>5</v>
      </c>
      <c r="L1846" s="1">
        <f>DefaultValues!$C$4</f>
        <v>0.5</v>
      </c>
      <c r="M1846" s="1" t="str">
        <f>DefaultValues!$D$4</f>
        <v xml:space="preserve">- Within interchange - </v>
      </c>
      <c r="N1846" s="1">
        <v>206.63400300000001</v>
      </c>
      <c r="O1846" s="1">
        <f>ABS(Table4[[#This Row],[EndMP]]-Table4[[#This Row],[StartMP]])</f>
        <v>0.46600300000000061</v>
      </c>
      <c r="P1846" s="1" t="str">
        <f>IF( AND( Table4[[#This Row],[Route]]=ClosureLocation!$B$3, ClosureLocation!$B$6 &gt;= Table4[[#This Row],[StartMP]], ClosureLocation!$B$6 &lt;= Table4[[#This Row],[EndMP]]), "Yes", "")</f>
        <v/>
      </c>
      <c r="Q1846" s="1" t="str">
        <f>IF( AND( Table4[[#This Row],[Route]]=ClosureLocation!$B$3, ClosureLocation!$B$6 &lt;= Table4[[#This Row],[StartMP]], ClosureLocation!$B$6 &gt;= Table4[[#This Row],[EndMP]]), "Yes", "")</f>
        <v/>
      </c>
      <c r="R1846" s="1" t="str">
        <f>IF( OR( Table4[[#This Row],[PrimaryMatch]]="Yes", Table4[[#This Row],[SecondaryMatch]]="Yes"), "Yes", "")</f>
        <v/>
      </c>
    </row>
    <row r="1847" spans="1:18" hidden="1" x14ac:dyDescent="0.25">
      <c r="A1847" t="s">
        <v>981</v>
      </c>
      <c r="B1847" t="s">
        <v>3205</v>
      </c>
      <c r="C1847" t="s">
        <v>3206</v>
      </c>
      <c r="D1847" t="s">
        <v>3873</v>
      </c>
      <c r="E1847" s="1">
        <v>207.33500699999999</v>
      </c>
      <c r="F1847" s="1">
        <v>207.33500699999999</v>
      </c>
      <c r="K1847" s="39">
        <f>DefaultValues!$B$4</f>
        <v>5</v>
      </c>
      <c r="L1847" s="1">
        <f>DefaultValues!$C$4</f>
        <v>0.5</v>
      </c>
      <c r="M1847" s="1" t="str">
        <f>DefaultValues!$D$4</f>
        <v xml:space="preserve">- Within interchange - </v>
      </c>
      <c r="N1847" s="1">
        <v>207.33500699999999</v>
      </c>
      <c r="O1847" s="1">
        <f>ABS(Table4[[#This Row],[EndMP]]-Table4[[#This Row],[StartMP]])</f>
        <v>0</v>
      </c>
      <c r="P1847" s="1" t="str">
        <f>IF( AND( Table4[[#This Row],[Route]]=ClosureLocation!$B$3, ClosureLocation!$B$6 &gt;= Table4[[#This Row],[StartMP]], ClosureLocation!$B$6 &lt;= Table4[[#This Row],[EndMP]]), "Yes", "")</f>
        <v/>
      </c>
      <c r="Q1847" s="1" t="str">
        <f>IF( AND( Table4[[#This Row],[Route]]=ClosureLocation!$B$3, ClosureLocation!$B$6 &lt;= Table4[[#This Row],[StartMP]], ClosureLocation!$B$6 &gt;= Table4[[#This Row],[EndMP]]), "Yes", "")</f>
        <v/>
      </c>
      <c r="R1847" s="1" t="str">
        <f>IF( OR( Table4[[#This Row],[PrimaryMatch]]="Yes", Table4[[#This Row],[SecondaryMatch]]="Yes"), "Yes", "")</f>
        <v/>
      </c>
    </row>
    <row r="1848" spans="1:18" hidden="1" x14ac:dyDescent="0.25">
      <c r="A1848" t="s">
        <v>981</v>
      </c>
      <c r="B1848" t="s">
        <v>3205</v>
      </c>
      <c r="C1848" t="s">
        <v>3206</v>
      </c>
      <c r="D1848" t="s">
        <v>3873</v>
      </c>
      <c r="E1848" s="1">
        <v>208.47799699999999</v>
      </c>
      <c r="F1848" s="1">
        <v>208.86999499999999</v>
      </c>
      <c r="K1848" s="39">
        <f>DefaultValues!$B$4</f>
        <v>5</v>
      </c>
      <c r="L1848" s="1">
        <f>DefaultValues!$C$4</f>
        <v>0.5</v>
      </c>
      <c r="M1848" s="1" t="str">
        <f>DefaultValues!$D$4</f>
        <v xml:space="preserve">- Within interchange - </v>
      </c>
      <c r="N1848" s="1">
        <v>208.47799699999999</v>
      </c>
      <c r="O1848" s="1">
        <f>ABS(Table4[[#This Row],[EndMP]]-Table4[[#This Row],[StartMP]])</f>
        <v>0.39199800000000096</v>
      </c>
      <c r="P1848" s="1" t="str">
        <f>IF( AND( Table4[[#This Row],[Route]]=ClosureLocation!$B$3, ClosureLocation!$B$6 &gt;= Table4[[#This Row],[StartMP]], ClosureLocation!$B$6 &lt;= Table4[[#This Row],[EndMP]]), "Yes", "")</f>
        <v/>
      </c>
      <c r="Q1848" s="1" t="str">
        <f>IF( AND( Table4[[#This Row],[Route]]=ClosureLocation!$B$3, ClosureLocation!$B$6 &lt;= Table4[[#This Row],[StartMP]], ClosureLocation!$B$6 &gt;= Table4[[#This Row],[EndMP]]), "Yes", "")</f>
        <v/>
      </c>
      <c r="R1848" s="1" t="str">
        <f>IF( OR( Table4[[#This Row],[PrimaryMatch]]="Yes", Table4[[#This Row],[SecondaryMatch]]="Yes"), "Yes", "")</f>
        <v/>
      </c>
    </row>
    <row r="1849" spans="1:18" hidden="1" x14ac:dyDescent="0.25">
      <c r="A1849" t="s">
        <v>981</v>
      </c>
      <c r="B1849" t="s">
        <v>3209</v>
      </c>
      <c r="C1849" t="s">
        <v>3210</v>
      </c>
      <c r="D1849" t="s">
        <v>3878</v>
      </c>
      <c r="E1849" s="1">
        <v>208.86999499999999</v>
      </c>
      <c r="F1849" s="1">
        <v>208.47799699999999</v>
      </c>
      <c r="K1849" s="39">
        <f>DefaultValues!$B$4</f>
        <v>5</v>
      </c>
      <c r="L1849" s="1">
        <f>DefaultValues!$C$4</f>
        <v>0.5</v>
      </c>
      <c r="M1849" s="1" t="str">
        <f>DefaultValues!$D$4</f>
        <v xml:space="preserve">- Within interchange - </v>
      </c>
      <c r="N1849" s="1">
        <v>791.13000499999998</v>
      </c>
      <c r="O1849" s="1">
        <f>ABS(Table4[[#This Row],[EndMP]]-Table4[[#This Row],[StartMP]])</f>
        <v>0.39199800000000096</v>
      </c>
      <c r="P1849" s="1" t="str">
        <f>IF( AND( Table4[[#This Row],[Route]]=ClosureLocation!$B$3, ClosureLocation!$B$6 &gt;= Table4[[#This Row],[StartMP]], ClosureLocation!$B$6 &lt;= Table4[[#This Row],[EndMP]]), "Yes", "")</f>
        <v/>
      </c>
      <c r="Q1849" s="1" t="str">
        <f>IF( AND( Table4[[#This Row],[Route]]=ClosureLocation!$B$3, ClosureLocation!$B$6 &lt;= Table4[[#This Row],[StartMP]], ClosureLocation!$B$6 &gt;= Table4[[#This Row],[EndMP]]), "Yes", "")</f>
        <v/>
      </c>
      <c r="R1849" s="1" t="str">
        <f>IF( OR( Table4[[#This Row],[PrimaryMatch]]="Yes", Table4[[#This Row],[SecondaryMatch]]="Yes"), "Yes", "")</f>
        <v/>
      </c>
    </row>
    <row r="1850" spans="1:18" hidden="1" x14ac:dyDescent="0.25">
      <c r="A1850" t="s">
        <v>981</v>
      </c>
      <c r="B1850" t="s">
        <v>3209</v>
      </c>
      <c r="C1850" t="s">
        <v>3210</v>
      </c>
      <c r="D1850" t="s">
        <v>3878</v>
      </c>
      <c r="E1850" s="1">
        <v>207.33500699999999</v>
      </c>
      <c r="F1850" s="1">
        <v>207.33500699999999</v>
      </c>
      <c r="K1850" s="39">
        <f>DefaultValues!$B$4</f>
        <v>5</v>
      </c>
      <c r="L1850" s="1">
        <f>DefaultValues!$C$4</f>
        <v>0.5</v>
      </c>
      <c r="M1850" s="1" t="str">
        <f>DefaultValues!$D$4</f>
        <v xml:space="preserve">- Within interchange - </v>
      </c>
      <c r="N1850" s="1">
        <v>792.66497800000002</v>
      </c>
      <c r="O1850" s="1">
        <f>ABS(Table4[[#This Row],[EndMP]]-Table4[[#This Row],[StartMP]])</f>
        <v>0</v>
      </c>
      <c r="P1850" s="1" t="str">
        <f>IF( AND( Table4[[#This Row],[Route]]=ClosureLocation!$B$3, ClosureLocation!$B$6 &gt;= Table4[[#This Row],[StartMP]], ClosureLocation!$B$6 &lt;= Table4[[#This Row],[EndMP]]), "Yes", "")</f>
        <v/>
      </c>
      <c r="Q1850" s="1" t="str">
        <f>IF( AND( Table4[[#This Row],[Route]]=ClosureLocation!$B$3, ClosureLocation!$B$6 &lt;= Table4[[#This Row],[StartMP]], ClosureLocation!$B$6 &gt;= Table4[[#This Row],[EndMP]]), "Yes", "")</f>
        <v/>
      </c>
      <c r="R1850" s="1" t="str">
        <f>IF( OR( Table4[[#This Row],[PrimaryMatch]]="Yes", Table4[[#This Row],[SecondaryMatch]]="Yes"), "Yes", "")</f>
        <v/>
      </c>
    </row>
    <row r="1851" spans="1:18" hidden="1" x14ac:dyDescent="0.25">
      <c r="A1851" t="s">
        <v>981</v>
      </c>
      <c r="B1851" t="s">
        <v>3209</v>
      </c>
      <c r="C1851" t="s">
        <v>3210</v>
      </c>
      <c r="D1851" t="s">
        <v>3878</v>
      </c>
      <c r="E1851" s="1">
        <v>206.98199500000001</v>
      </c>
      <c r="F1851" s="1">
        <v>206.63400300000001</v>
      </c>
      <c r="K1851" s="39">
        <f>DefaultValues!$B$4</f>
        <v>5</v>
      </c>
      <c r="L1851" s="1">
        <f>DefaultValues!$C$4</f>
        <v>0.5</v>
      </c>
      <c r="M1851" s="1" t="str">
        <f>DefaultValues!$D$4</f>
        <v xml:space="preserve">- Within interchange - </v>
      </c>
      <c r="N1851" s="1">
        <v>793.01800500000002</v>
      </c>
      <c r="O1851" s="1">
        <f>ABS(Table4[[#This Row],[EndMP]]-Table4[[#This Row],[StartMP]])</f>
        <v>0.34799200000000496</v>
      </c>
      <c r="P1851" s="1" t="str">
        <f>IF( AND( Table4[[#This Row],[Route]]=ClosureLocation!$B$3, ClosureLocation!$B$6 &gt;= Table4[[#This Row],[StartMP]], ClosureLocation!$B$6 &lt;= Table4[[#This Row],[EndMP]]), "Yes", "")</f>
        <v/>
      </c>
      <c r="Q1851" s="1" t="str">
        <f>IF( AND( Table4[[#This Row],[Route]]=ClosureLocation!$B$3, ClosureLocation!$B$6 &lt;= Table4[[#This Row],[StartMP]], ClosureLocation!$B$6 &gt;= Table4[[#This Row],[EndMP]]), "Yes", "")</f>
        <v/>
      </c>
      <c r="R1851" s="1" t="str">
        <f>IF( OR( Table4[[#This Row],[PrimaryMatch]]="Yes", Table4[[#This Row],[SecondaryMatch]]="Yes"), "Yes", "")</f>
        <v/>
      </c>
    </row>
    <row r="1852" spans="1:18" hidden="1" x14ac:dyDescent="0.25">
      <c r="A1852" t="s">
        <v>981</v>
      </c>
      <c r="B1852" t="s">
        <v>3209</v>
      </c>
      <c r="C1852" t="s">
        <v>3210</v>
      </c>
      <c r="D1852" t="s">
        <v>3878</v>
      </c>
      <c r="E1852" s="1">
        <v>204.929993</v>
      </c>
      <c r="F1852" s="1">
        <v>204.662003</v>
      </c>
      <c r="K1852" s="39">
        <f>DefaultValues!$B$4</f>
        <v>5</v>
      </c>
      <c r="L1852" s="1">
        <f>DefaultValues!$C$4</f>
        <v>0.5</v>
      </c>
      <c r="M1852" s="1" t="str">
        <f>DefaultValues!$D$4</f>
        <v xml:space="preserve">- Within interchange - </v>
      </c>
      <c r="N1852" s="1">
        <v>795.07000700000003</v>
      </c>
      <c r="O1852" s="1">
        <f>ABS(Table4[[#This Row],[EndMP]]-Table4[[#This Row],[StartMP]])</f>
        <v>0.26798999999999751</v>
      </c>
      <c r="P1852" s="1" t="str">
        <f>IF( AND( Table4[[#This Row],[Route]]=ClosureLocation!$B$3, ClosureLocation!$B$6 &gt;= Table4[[#This Row],[StartMP]], ClosureLocation!$B$6 &lt;= Table4[[#This Row],[EndMP]]), "Yes", "")</f>
        <v/>
      </c>
      <c r="Q1852" s="1" t="str">
        <f>IF( AND( Table4[[#This Row],[Route]]=ClosureLocation!$B$3, ClosureLocation!$B$6 &lt;= Table4[[#This Row],[StartMP]], ClosureLocation!$B$6 &gt;= Table4[[#This Row],[EndMP]]), "Yes", "")</f>
        <v/>
      </c>
      <c r="R1852" s="1" t="str">
        <f>IF( OR( Table4[[#This Row],[PrimaryMatch]]="Yes", Table4[[#This Row],[SecondaryMatch]]="Yes"), "Yes", "")</f>
        <v/>
      </c>
    </row>
    <row r="1853" spans="1:18" hidden="1" x14ac:dyDescent="0.25">
      <c r="A1853" t="s">
        <v>981</v>
      </c>
      <c r="B1853" t="s">
        <v>3209</v>
      </c>
      <c r="C1853" t="s">
        <v>3210</v>
      </c>
      <c r="D1853" t="s">
        <v>3878</v>
      </c>
      <c r="E1853" s="1">
        <v>200.80900600000001</v>
      </c>
      <c r="F1853" s="1">
        <v>200.31100499999999</v>
      </c>
      <c r="K1853" s="39">
        <f>DefaultValues!$B$4</f>
        <v>5</v>
      </c>
      <c r="L1853" s="1">
        <f>DefaultValues!$C$4</f>
        <v>0.5</v>
      </c>
      <c r="M1853" s="1" t="str">
        <f>DefaultValues!$D$4</f>
        <v xml:space="preserve">- Within interchange - </v>
      </c>
      <c r="N1853" s="1">
        <v>799.19097899999997</v>
      </c>
      <c r="O1853" s="1">
        <f>ABS(Table4[[#This Row],[EndMP]]-Table4[[#This Row],[StartMP]])</f>
        <v>0.49800100000001635</v>
      </c>
      <c r="P1853" s="1" t="str">
        <f>IF( AND( Table4[[#This Row],[Route]]=ClosureLocation!$B$3, ClosureLocation!$B$6 &gt;= Table4[[#This Row],[StartMP]], ClosureLocation!$B$6 &lt;= Table4[[#This Row],[EndMP]]), "Yes", "")</f>
        <v/>
      </c>
      <c r="Q1853" s="1" t="str">
        <f>IF( AND( Table4[[#This Row],[Route]]=ClosureLocation!$B$3, ClosureLocation!$B$6 &lt;= Table4[[#This Row],[StartMP]], ClosureLocation!$B$6 &gt;= Table4[[#This Row],[EndMP]]), "Yes", "")</f>
        <v/>
      </c>
      <c r="R1853" s="1" t="str">
        <f>IF( OR( Table4[[#This Row],[PrimaryMatch]]="Yes", Table4[[#This Row],[SecondaryMatch]]="Yes"), "Yes", "")</f>
        <v/>
      </c>
    </row>
    <row r="1854" spans="1:18" hidden="1" x14ac:dyDescent="0.25">
      <c r="A1854" t="s">
        <v>981</v>
      </c>
      <c r="B1854" t="s">
        <v>3209</v>
      </c>
      <c r="C1854" t="s">
        <v>3210</v>
      </c>
      <c r="D1854" t="s">
        <v>3878</v>
      </c>
      <c r="E1854" s="1">
        <v>196.70100400000001</v>
      </c>
      <c r="F1854" s="1">
        <v>196</v>
      </c>
      <c r="K1854" s="39">
        <f>DefaultValues!$B$4</f>
        <v>5</v>
      </c>
      <c r="L1854" s="1">
        <f>DefaultValues!$C$4</f>
        <v>0.5</v>
      </c>
      <c r="M1854" s="1" t="str">
        <f>DefaultValues!$D$4</f>
        <v xml:space="preserve">- Within interchange - </v>
      </c>
      <c r="N1854" s="1">
        <v>803.29901099999995</v>
      </c>
      <c r="O1854" s="1">
        <f>ABS(Table4[[#This Row],[EndMP]]-Table4[[#This Row],[StartMP]])</f>
        <v>0.70100400000001173</v>
      </c>
      <c r="P1854" s="1" t="str">
        <f>IF( AND( Table4[[#This Row],[Route]]=ClosureLocation!$B$3, ClosureLocation!$B$6 &gt;= Table4[[#This Row],[StartMP]], ClosureLocation!$B$6 &lt;= Table4[[#This Row],[EndMP]]), "Yes", "")</f>
        <v/>
      </c>
      <c r="Q1854" s="1" t="str">
        <f>IF( AND( Table4[[#This Row],[Route]]=ClosureLocation!$B$3, ClosureLocation!$B$6 &lt;= Table4[[#This Row],[StartMP]], ClosureLocation!$B$6 &gt;= Table4[[#This Row],[EndMP]]), "Yes", "")</f>
        <v/>
      </c>
      <c r="R1854" s="1" t="str">
        <f>IF( OR( Table4[[#This Row],[PrimaryMatch]]="Yes", Table4[[#This Row],[SecondaryMatch]]="Yes"), "Yes", "")</f>
        <v/>
      </c>
    </row>
    <row r="1855" spans="1:18" hidden="1" x14ac:dyDescent="0.25">
      <c r="A1855" t="s">
        <v>981</v>
      </c>
      <c r="B1855" t="s">
        <v>3209</v>
      </c>
      <c r="C1855" t="s">
        <v>3210</v>
      </c>
      <c r="D1855" t="s">
        <v>3878</v>
      </c>
      <c r="E1855" s="1">
        <v>190.36700400000001</v>
      </c>
      <c r="F1855" s="1">
        <v>190.08500699999999</v>
      </c>
      <c r="K1855" s="39">
        <f>DefaultValues!$B$4</f>
        <v>5</v>
      </c>
      <c r="L1855" s="1">
        <f>DefaultValues!$C$4</f>
        <v>0.5</v>
      </c>
      <c r="M1855" s="1" t="str">
        <f>DefaultValues!$D$4</f>
        <v xml:space="preserve">- Within interchange - </v>
      </c>
      <c r="N1855" s="1">
        <v>809.63299600000005</v>
      </c>
      <c r="O1855" s="1">
        <f>ABS(Table4[[#This Row],[EndMP]]-Table4[[#This Row],[StartMP]])</f>
        <v>0.28199700000001826</v>
      </c>
      <c r="P1855" s="1" t="str">
        <f>IF( AND( Table4[[#This Row],[Route]]=ClosureLocation!$B$3, ClosureLocation!$B$6 &gt;= Table4[[#This Row],[StartMP]], ClosureLocation!$B$6 &lt;= Table4[[#This Row],[EndMP]]), "Yes", "")</f>
        <v/>
      </c>
      <c r="Q1855" s="1" t="str">
        <f>IF( AND( Table4[[#This Row],[Route]]=ClosureLocation!$B$3, ClosureLocation!$B$6 &lt;= Table4[[#This Row],[StartMP]], ClosureLocation!$B$6 &gt;= Table4[[#This Row],[EndMP]]), "Yes", "")</f>
        <v/>
      </c>
      <c r="R1855" s="1" t="str">
        <f>IF( OR( Table4[[#This Row],[PrimaryMatch]]="Yes", Table4[[#This Row],[SecondaryMatch]]="Yes"), "Yes", "")</f>
        <v/>
      </c>
    </row>
    <row r="1856" spans="1:18" hidden="1" x14ac:dyDescent="0.25">
      <c r="A1856" t="s">
        <v>981</v>
      </c>
      <c r="B1856" t="s">
        <v>3209</v>
      </c>
      <c r="C1856" t="s">
        <v>3210</v>
      </c>
      <c r="D1856" t="s">
        <v>3878</v>
      </c>
      <c r="E1856" s="1">
        <v>184.88000500000001</v>
      </c>
      <c r="F1856" s="1">
        <v>184.66700700000001</v>
      </c>
      <c r="K1856" s="39">
        <f>DefaultValues!$B$4</f>
        <v>5</v>
      </c>
      <c r="L1856" s="1">
        <f>DefaultValues!$C$4</f>
        <v>0.5</v>
      </c>
      <c r="M1856" s="1" t="str">
        <f>DefaultValues!$D$4</f>
        <v xml:space="preserve">- Within interchange - </v>
      </c>
      <c r="N1856" s="1">
        <v>815.11999500000002</v>
      </c>
      <c r="O1856" s="1">
        <f>ABS(Table4[[#This Row],[EndMP]]-Table4[[#This Row],[StartMP]])</f>
        <v>0.21299799999999891</v>
      </c>
      <c r="P1856" s="1" t="str">
        <f>IF( AND( Table4[[#This Row],[Route]]=ClosureLocation!$B$3, ClosureLocation!$B$6 &gt;= Table4[[#This Row],[StartMP]], ClosureLocation!$B$6 &lt;= Table4[[#This Row],[EndMP]]), "Yes", "")</f>
        <v/>
      </c>
      <c r="Q1856" s="1" t="str">
        <f>IF( AND( Table4[[#This Row],[Route]]=ClosureLocation!$B$3, ClosureLocation!$B$6 &lt;= Table4[[#This Row],[StartMP]], ClosureLocation!$B$6 &gt;= Table4[[#This Row],[EndMP]]), "Yes", "")</f>
        <v/>
      </c>
      <c r="R1856" s="1" t="str">
        <f>IF( OR( Table4[[#This Row],[PrimaryMatch]]="Yes", Table4[[#This Row],[SecondaryMatch]]="Yes"), "Yes", "")</f>
        <v/>
      </c>
    </row>
    <row r="1857" spans="1:18" hidden="1" x14ac:dyDescent="0.25">
      <c r="A1857" t="s">
        <v>990</v>
      </c>
      <c r="B1857" t="s">
        <v>3205</v>
      </c>
      <c r="C1857" t="s">
        <v>3206</v>
      </c>
      <c r="D1857" t="s">
        <v>3883</v>
      </c>
      <c r="E1857" s="1">
        <v>226.796997</v>
      </c>
      <c r="F1857" s="1">
        <v>227.246002</v>
      </c>
      <c r="K1857" s="39">
        <f>DefaultValues!$B$4</f>
        <v>5</v>
      </c>
      <c r="L1857" s="1">
        <f>DefaultValues!$C$4</f>
        <v>0.5</v>
      </c>
      <c r="M1857" s="1" t="str">
        <f>DefaultValues!$D$4</f>
        <v xml:space="preserve">- Within interchange - </v>
      </c>
      <c r="N1857" s="1">
        <v>226.796997</v>
      </c>
      <c r="O1857" s="1">
        <f>ABS(Table4[[#This Row],[EndMP]]-Table4[[#This Row],[StartMP]])</f>
        <v>0.44900499999999965</v>
      </c>
      <c r="P1857" s="1" t="str">
        <f>IF( AND( Table4[[#This Row],[Route]]=ClosureLocation!$B$3, ClosureLocation!$B$6 &gt;= Table4[[#This Row],[StartMP]], ClosureLocation!$B$6 &lt;= Table4[[#This Row],[EndMP]]), "Yes", "")</f>
        <v/>
      </c>
      <c r="Q1857" s="1" t="str">
        <f>IF( AND( Table4[[#This Row],[Route]]=ClosureLocation!$B$3, ClosureLocation!$B$6 &lt;= Table4[[#This Row],[StartMP]], ClosureLocation!$B$6 &gt;= Table4[[#This Row],[EndMP]]), "Yes", "")</f>
        <v/>
      </c>
      <c r="R1857" s="1" t="str">
        <f>IF( OR( Table4[[#This Row],[PrimaryMatch]]="Yes", Table4[[#This Row],[SecondaryMatch]]="Yes"), "Yes", "")</f>
        <v/>
      </c>
    </row>
    <row r="1858" spans="1:18" hidden="1" x14ac:dyDescent="0.25">
      <c r="A1858" t="s">
        <v>990</v>
      </c>
      <c r="B1858" t="s">
        <v>3205</v>
      </c>
      <c r="C1858" t="s">
        <v>3206</v>
      </c>
      <c r="D1858" t="s">
        <v>3883</v>
      </c>
      <c r="E1858" s="1">
        <v>234.08900499999999</v>
      </c>
      <c r="F1858" s="1">
        <v>234.08900499999999</v>
      </c>
      <c r="K1858" s="39">
        <f>DefaultValues!$B$4</f>
        <v>5</v>
      </c>
      <c r="L1858" s="1">
        <f>DefaultValues!$C$4</f>
        <v>0.5</v>
      </c>
      <c r="M1858" s="1" t="str">
        <f>DefaultValues!$D$4</f>
        <v xml:space="preserve">- Within interchange - </v>
      </c>
      <c r="N1858" s="1">
        <v>234.08900499999999</v>
      </c>
      <c r="O1858" s="1">
        <f>ABS(Table4[[#This Row],[EndMP]]-Table4[[#This Row],[StartMP]])</f>
        <v>0</v>
      </c>
      <c r="P1858" s="1" t="str">
        <f>IF( AND( Table4[[#This Row],[Route]]=ClosureLocation!$B$3, ClosureLocation!$B$6 &gt;= Table4[[#This Row],[StartMP]], ClosureLocation!$B$6 &lt;= Table4[[#This Row],[EndMP]]), "Yes", "")</f>
        <v/>
      </c>
      <c r="Q1858" s="1" t="str">
        <f>IF( AND( Table4[[#This Row],[Route]]=ClosureLocation!$B$3, ClosureLocation!$B$6 &lt;= Table4[[#This Row],[StartMP]], ClosureLocation!$B$6 &gt;= Table4[[#This Row],[EndMP]]), "Yes", "")</f>
        <v/>
      </c>
      <c r="R1858" s="1" t="str">
        <f>IF( OR( Table4[[#This Row],[PrimaryMatch]]="Yes", Table4[[#This Row],[SecondaryMatch]]="Yes"), "Yes", "")</f>
        <v/>
      </c>
    </row>
    <row r="1859" spans="1:18" hidden="1" x14ac:dyDescent="0.25">
      <c r="A1859" t="s">
        <v>990</v>
      </c>
      <c r="B1859" t="s">
        <v>3205</v>
      </c>
      <c r="C1859" t="s">
        <v>3206</v>
      </c>
      <c r="D1859" t="s">
        <v>3883</v>
      </c>
      <c r="E1859" s="1">
        <v>234.85699500000001</v>
      </c>
      <c r="F1859" s="1">
        <v>235.31100499999999</v>
      </c>
      <c r="K1859" s="39">
        <f>DefaultValues!$B$4</f>
        <v>5</v>
      </c>
      <c r="L1859" s="1">
        <f>DefaultValues!$C$4</f>
        <v>0.5</v>
      </c>
      <c r="M1859" s="1" t="str">
        <f>DefaultValues!$D$4</f>
        <v xml:space="preserve">- Within interchange - </v>
      </c>
      <c r="N1859" s="1">
        <v>234.85699500000001</v>
      </c>
      <c r="O1859" s="1">
        <f>ABS(Table4[[#This Row],[EndMP]]-Table4[[#This Row],[StartMP]])</f>
        <v>0.45400999999998248</v>
      </c>
      <c r="P1859" s="1" t="str">
        <f>IF( AND( Table4[[#This Row],[Route]]=ClosureLocation!$B$3, ClosureLocation!$B$6 &gt;= Table4[[#This Row],[StartMP]], ClosureLocation!$B$6 &lt;= Table4[[#This Row],[EndMP]]), "Yes", "")</f>
        <v/>
      </c>
      <c r="Q1859" s="1" t="str">
        <f>IF( AND( Table4[[#This Row],[Route]]=ClosureLocation!$B$3, ClosureLocation!$B$6 &lt;= Table4[[#This Row],[StartMP]], ClosureLocation!$B$6 &gt;= Table4[[#This Row],[EndMP]]), "Yes", "")</f>
        <v/>
      </c>
      <c r="R1859" s="1" t="str">
        <f>IF( OR( Table4[[#This Row],[PrimaryMatch]]="Yes", Table4[[#This Row],[SecondaryMatch]]="Yes"), "Yes", "")</f>
        <v/>
      </c>
    </row>
    <row r="1860" spans="1:18" hidden="1" x14ac:dyDescent="0.25">
      <c r="A1860" t="s">
        <v>990</v>
      </c>
      <c r="B1860" t="s">
        <v>3205</v>
      </c>
      <c r="C1860" t="s">
        <v>3206</v>
      </c>
      <c r="D1860" t="s">
        <v>3883</v>
      </c>
      <c r="E1860" s="1">
        <v>241.33200099999999</v>
      </c>
      <c r="F1860" s="1">
        <v>241.86099200000001</v>
      </c>
      <c r="K1860" s="39">
        <f>DefaultValues!$B$4</f>
        <v>5</v>
      </c>
      <c r="L1860" s="1">
        <f>DefaultValues!$C$4</f>
        <v>0.5</v>
      </c>
      <c r="M1860" s="1" t="str">
        <f>DefaultValues!$D$4</f>
        <v xml:space="preserve">- Within interchange - </v>
      </c>
      <c r="N1860" s="1">
        <v>241.33200099999999</v>
      </c>
      <c r="O1860" s="1">
        <f>ABS(Table4[[#This Row],[EndMP]]-Table4[[#This Row],[StartMP]])</f>
        <v>0.52899100000001908</v>
      </c>
      <c r="P1860" s="1" t="str">
        <f>IF( AND( Table4[[#This Row],[Route]]=ClosureLocation!$B$3, ClosureLocation!$B$6 &gt;= Table4[[#This Row],[StartMP]], ClosureLocation!$B$6 &lt;= Table4[[#This Row],[EndMP]]), "Yes", "")</f>
        <v/>
      </c>
      <c r="Q1860" s="1" t="str">
        <f>IF( AND( Table4[[#This Row],[Route]]=ClosureLocation!$B$3, ClosureLocation!$B$6 &lt;= Table4[[#This Row],[StartMP]], ClosureLocation!$B$6 &gt;= Table4[[#This Row],[EndMP]]), "Yes", "")</f>
        <v/>
      </c>
      <c r="R1860" s="1" t="str">
        <f>IF( OR( Table4[[#This Row],[PrimaryMatch]]="Yes", Table4[[#This Row],[SecondaryMatch]]="Yes"), "Yes", "")</f>
        <v/>
      </c>
    </row>
    <row r="1861" spans="1:18" hidden="1" x14ac:dyDescent="0.25">
      <c r="A1861" t="s">
        <v>990</v>
      </c>
      <c r="B1861" t="s">
        <v>3205</v>
      </c>
      <c r="C1861" t="s">
        <v>3206</v>
      </c>
      <c r="D1861" t="s">
        <v>3883</v>
      </c>
      <c r="E1861" s="1">
        <v>265.38299599999999</v>
      </c>
      <c r="F1861" s="1">
        <v>265.76299999999998</v>
      </c>
      <c r="K1861" s="39">
        <f>DefaultValues!$B$4</f>
        <v>5</v>
      </c>
      <c r="L1861" s="1">
        <f>DefaultValues!$C$4</f>
        <v>0.5</v>
      </c>
      <c r="M1861" s="1" t="str">
        <f>DefaultValues!$D$4</f>
        <v xml:space="preserve">- Within interchange - </v>
      </c>
      <c r="N1861" s="1">
        <v>265.38299599999999</v>
      </c>
      <c r="O1861" s="1">
        <f>ABS(Table4[[#This Row],[EndMP]]-Table4[[#This Row],[StartMP]])</f>
        <v>0.38000399999998535</v>
      </c>
      <c r="P1861" s="1" t="str">
        <f>IF( AND( Table4[[#This Row],[Route]]=ClosureLocation!$B$3, ClosureLocation!$B$6 &gt;= Table4[[#This Row],[StartMP]], ClosureLocation!$B$6 &lt;= Table4[[#This Row],[EndMP]]), "Yes", "")</f>
        <v/>
      </c>
      <c r="Q1861" s="1" t="str">
        <f>IF( AND( Table4[[#This Row],[Route]]=ClosureLocation!$B$3, ClosureLocation!$B$6 &lt;= Table4[[#This Row],[StartMP]], ClosureLocation!$B$6 &gt;= Table4[[#This Row],[EndMP]]), "Yes", "")</f>
        <v/>
      </c>
      <c r="R1861" s="1" t="str">
        <f>IF( OR( Table4[[#This Row],[PrimaryMatch]]="Yes", Table4[[#This Row],[SecondaryMatch]]="Yes"), "Yes", "")</f>
        <v/>
      </c>
    </row>
    <row r="1862" spans="1:18" hidden="1" x14ac:dyDescent="0.25">
      <c r="A1862" t="s">
        <v>990</v>
      </c>
      <c r="B1862" t="s">
        <v>3209</v>
      </c>
      <c r="C1862" t="s">
        <v>3210</v>
      </c>
      <c r="D1862" t="s">
        <v>3889</v>
      </c>
      <c r="E1862" s="1">
        <v>241.86099200000001</v>
      </c>
      <c r="F1862" s="1">
        <v>241.33200099999999</v>
      </c>
      <c r="K1862" s="39">
        <f>DefaultValues!$B$4</f>
        <v>5</v>
      </c>
      <c r="L1862" s="1">
        <f>DefaultValues!$C$4</f>
        <v>0.5</v>
      </c>
      <c r="M1862" s="1" t="str">
        <f>DefaultValues!$D$4</f>
        <v xml:space="preserve">- Within interchange - </v>
      </c>
      <c r="N1862" s="1">
        <v>758.13897699999995</v>
      </c>
      <c r="O1862" s="1">
        <f>ABS(Table4[[#This Row],[EndMP]]-Table4[[#This Row],[StartMP]])</f>
        <v>0.52899100000001908</v>
      </c>
      <c r="P1862" s="1" t="str">
        <f>IF( AND( Table4[[#This Row],[Route]]=ClosureLocation!$B$3, ClosureLocation!$B$6 &gt;= Table4[[#This Row],[StartMP]], ClosureLocation!$B$6 &lt;= Table4[[#This Row],[EndMP]]), "Yes", "")</f>
        <v/>
      </c>
      <c r="Q1862" s="1" t="str">
        <f>IF( AND( Table4[[#This Row],[Route]]=ClosureLocation!$B$3, ClosureLocation!$B$6 &lt;= Table4[[#This Row],[StartMP]], ClosureLocation!$B$6 &gt;= Table4[[#This Row],[EndMP]]), "Yes", "")</f>
        <v/>
      </c>
      <c r="R1862" s="1" t="str">
        <f>IF( OR( Table4[[#This Row],[PrimaryMatch]]="Yes", Table4[[#This Row],[SecondaryMatch]]="Yes"), "Yes", "")</f>
        <v/>
      </c>
    </row>
    <row r="1863" spans="1:18" hidden="1" x14ac:dyDescent="0.25">
      <c r="A1863" t="s">
        <v>990</v>
      </c>
      <c r="B1863" t="s">
        <v>3209</v>
      </c>
      <c r="C1863" t="s">
        <v>3210</v>
      </c>
      <c r="D1863" t="s">
        <v>3889</v>
      </c>
      <c r="E1863" s="1">
        <v>235.31100499999999</v>
      </c>
      <c r="F1863" s="1">
        <v>234.85699500000001</v>
      </c>
      <c r="K1863" s="39">
        <f>DefaultValues!$B$4</f>
        <v>5</v>
      </c>
      <c r="L1863" s="1">
        <f>DefaultValues!$C$4</f>
        <v>0.5</v>
      </c>
      <c r="M1863" s="1" t="str">
        <f>DefaultValues!$D$4</f>
        <v xml:space="preserve">- Within interchange - </v>
      </c>
      <c r="N1863" s="1">
        <v>764.68902600000001</v>
      </c>
      <c r="O1863" s="1">
        <f>ABS(Table4[[#This Row],[EndMP]]-Table4[[#This Row],[StartMP]])</f>
        <v>0.45400999999998248</v>
      </c>
      <c r="P1863" s="1" t="str">
        <f>IF( AND( Table4[[#This Row],[Route]]=ClosureLocation!$B$3, ClosureLocation!$B$6 &gt;= Table4[[#This Row],[StartMP]], ClosureLocation!$B$6 &lt;= Table4[[#This Row],[EndMP]]), "Yes", "")</f>
        <v/>
      </c>
      <c r="Q1863" s="1" t="str">
        <f>IF( AND( Table4[[#This Row],[Route]]=ClosureLocation!$B$3, ClosureLocation!$B$6 &lt;= Table4[[#This Row],[StartMP]], ClosureLocation!$B$6 &gt;= Table4[[#This Row],[EndMP]]), "Yes", "")</f>
        <v/>
      </c>
      <c r="R1863" s="1" t="str">
        <f>IF( OR( Table4[[#This Row],[PrimaryMatch]]="Yes", Table4[[#This Row],[SecondaryMatch]]="Yes"), "Yes", "")</f>
        <v/>
      </c>
    </row>
    <row r="1864" spans="1:18" hidden="1" x14ac:dyDescent="0.25">
      <c r="A1864" t="s">
        <v>990</v>
      </c>
      <c r="B1864" t="s">
        <v>3209</v>
      </c>
      <c r="C1864" t="s">
        <v>3210</v>
      </c>
      <c r="D1864" t="s">
        <v>3889</v>
      </c>
      <c r="E1864" s="1">
        <v>234.08900499999999</v>
      </c>
      <c r="F1864" s="1">
        <v>234.08900499999999</v>
      </c>
      <c r="K1864" s="39">
        <f>DefaultValues!$B$4</f>
        <v>5</v>
      </c>
      <c r="L1864" s="1">
        <f>DefaultValues!$C$4</f>
        <v>0.5</v>
      </c>
      <c r="M1864" s="1" t="str">
        <f>DefaultValues!$D$4</f>
        <v xml:space="preserve">- Within interchange - </v>
      </c>
      <c r="N1864" s="1">
        <v>765.91101100000003</v>
      </c>
      <c r="O1864" s="1">
        <f>ABS(Table4[[#This Row],[EndMP]]-Table4[[#This Row],[StartMP]])</f>
        <v>0</v>
      </c>
      <c r="P1864" s="1" t="str">
        <f>IF( AND( Table4[[#This Row],[Route]]=ClosureLocation!$B$3, ClosureLocation!$B$6 &gt;= Table4[[#This Row],[StartMP]], ClosureLocation!$B$6 &lt;= Table4[[#This Row],[EndMP]]), "Yes", "")</f>
        <v/>
      </c>
      <c r="Q1864" s="1" t="str">
        <f>IF( AND( Table4[[#This Row],[Route]]=ClosureLocation!$B$3, ClosureLocation!$B$6 &lt;= Table4[[#This Row],[StartMP]], ClosureLocation!$B$6 &gt;= Table4[[#This Row],[EndMP]]), "Yes", "")</f>
        <v/>
      </c>
      <c r="R1864" s="1" t="str">
        <f>IF( OR( Table4[[#This Row],[PrimaryMatch]]="Yes", Table4[[#This Row],[SecondaryMatch]]="Yes"), "Yes", "")</f>
        <v/>
      </c>
    </row>
    <row r="1865" spans="1:18" hidden="1" x14ac:dyDescent="0.25">
      <c r="A1865" t="s">
        <v>1008</v>
      </c>
      <c r="B1865" t="s">
        <v>3205</v>
      </c>
      <c r="C1865" t="s">
        <v>3206</v>
      </c>
      <c r="D1865" t="s">
        <v>3901</v>
      </c>
      <c r="E1865" s="1">
        <v>0</v>
      </c>
      <c r="F1865" s="1">
        <v>0.501</v>
      </c>
      <c r="K1865" s="39">
        <f>DefaultValues!$B$4</f>
        <v>5</v>
      </c>
      <c r="L1865" s="1">
        <f>DefaultValues!$C$4</f>
        <v>0.5</v>
      </c>
      <c r="M1865" s="1" t="str">
        <f>DefaultValues!$D$4</f>
        <v xml:space="preserve">- Within interchange - </v>
      </c>
      <c r="N1865" s="1">
        <v>0</v>
      </c>
      <c r="O1865" s="1">
        <f>ABS(Table4[[#This Row],[EndMP]]-Table4[[#This Row],[StartMP]])</f>
        <v>0.501</v>
      </c>
      <c r="P1865" s="1" t="str">
        <f>IF( AND( Table4[[#This Row],[Route]]=ClosureLocation!$B$3, ClosureLocation!$B$6 &gt;= Table4[[#This Row],[StartMP]], ClosureLocation!$B$6 &lt;= Table4[[#This Row],[EndMP]]), "Yes", "")</f>
        <v/>
      </c>
      <c r="Q1865" s="1" t="str">
        <f>IF( AND( Table4[[#This Row],[Route]]=ClosureLocation!$B$3, ClosureLocation!$B$6 &lt;= Table4[[#This Row],[StartMP]], ClosureLocation!$B$6 &gt;= Table4[[#This Row],[EndMP]]), "Yes", "")</f>
        <v/>
      </c>
      <c r="R1865" s="1" t="str">
        <f>IF( OR( Table4[[#This Row],[PrimaryMatch]]="Yes", Table4[[#This Row],[SecondaryMatch]]="Yes"), "Yes", "")</f>
        <v/>
      </c>
    </row>
    <row r="1866" spans="1:18" hidden="1" x14ac:dyDescent="0.25">
      <c r="A1866" t="s">
        <v>1008</v>
      </c>
      <c r="B1866" t="s">
        <v>3209</v>
      </c>
      <c r="C1866" t="s">
        <v>3210</v>
      </c>
      <c r="D1866" t="s">
        <v>3903</v>
      </c>
      <c r="E1866" s="1">
        <v>0.501</v>
      </c>
      <c r="F1866" s="1">
        <v>0</v>
      </c>
      <c r="K1866" s="39">
        <f>DefaultValues!$B$4</f>
        <v>5</v>
      </c>
      <c r="L1866" s="1">
        <f>DefaultValues!$C$4</f>
        <v>0.5</v>
      </c>
      <c r="M1866" s="1" t="str">
        <f>DefaultValues!$D$4</f>
        <v xml:space="preserve">- Within interchange - </v>
      </c>
      <c r="N1866" s="1">
        <v>999.49902299999997</v>
      </c>
      <c r="O1866" s="1">
        <f>ABS(Table4[[#This Row],[EndMP]]-Table4[[#This Row],[StartMP]])</f>
        <v>0.501</v>
      </c>
      <c r="P1866" s="1" t="str">
        <f>IF( AND( Table4[[#This Row],[Route]]=ClosureLocation!$B$3, ClosureLocation!$B$6 &gt;= Table4[[#This Row],[StartMP]], ClosureLocation!$B$6 &lt;= Table4[[#This Row],[EndMP]]), "Yes", "")</f>
        <v/>
      </c>
      <c r="Q1866" s="1" t="str">
        <f>IF( AND( Table4[[#This Row],[Route]]=ClosureLocation!$B$3, ClosureLocation!$B$6 &lt;= Table4[[#This Row],[StartMP]], ClosureLocation!$B$6 &gt;= Table4[[#This Row],[EndMP]]), "Yes", "")</f>
        <v/>
      </c>
      <c r="R1866" s="1" t="str">
        <f>IF( OR( Table4[[#This Row],[PrimaryMatch]]="Yes", Table4[[#This Row],[SecondaryMatch]]="Yes"), "Yes", "")</f>
        <v/>
      </c>
    </row>
    <row r="1867" spans="1:18" hidden="1" x14ac:dyDescent="0.25">
      <c r="A1867" t="s">
        <v>1014</v>
      </c>
      <c r="B1867" t="s">
        <v>3205</v>
      </c>
      <c r="C1867" t="s">
        <v>3206</v>
      </c>
      <c r="D1867" t="s">
        <v>3907</v>
      </c>
      <c r="E1867" s="1">
        <v>265.84899899999999</v>
      </c>
      <c r="F1867" s="1">
        <v>266.33200099999999</v>
      </c>
      <c r="K1867" s="39">
        <f>DefaultValues!$B$4</f>
        <v>5</v>
      </c>
      <c r="L1867" s="1">
        <f>DefaultValues!$C$4</f>
        <v>0.5</v>
      </c>
      <c r="M1867" s="1" t="str">
        <f>DefaultValues!$D$4</f>
        <v xml:space="preserve">- Within interchange - </v>
      </c>
      <c r="N1867" s="1">
        <v>265.84899899999999</v>
      </c>
      <c r="O1867" s="1">
        <f>ABS(Table4[[#This Row],[EndMP]]-Table4[[#This Row],[StartMP]])</f>
        <v>0.48300199999999904</v>
      </c>
      <c r="P1867" s="1" t="str">
        <f>IF( AND( Table4[[#This Row],[Route]]=ClosureLocation!$B$3, ClosureLocation!$B$6 &gt;= Table4[[#This Row],[StartMP]], ClosureLocation!$B$6 &lt;= Table4[[#This Row],[EndMP]]), "Yes", "")</f>
        <v/>
      </c>
      <c r="Q1867" s="1" t="str">
        <f>IF( AND( Table4[[#This Row],[Route]]=ClosureLocation!$B$3, ClosureLocation!$B$6 &lt;= Table4[[#This Row],[StartMP]], ClosureLocation!$B$6 &gt;= Table4[[#This Row],[EndMP]]), "Yes", "")</f>
        <v/>
      </c>
      <c r="R1867" s="1" t="str">
        <f>IF( OR( Table4[[#This Row],[PrimaryMatch]]="Yes", Table4[[#This Row],[SecondaryMatch]]="Yes"), "Yes", "")</f>
        <v/>
      </c>
    </row>
    <row r="1868" spans="1:18" hidden="1" x14ac:dyDescent="0.25">
      <c r="A1868" t="s">
        <v>1014</v>
      </c>
      <c r="B1868" t="s">
        <v>3205</v>
      </c>
      <c r="C1868" t="s">
        <v>3206</v>
      </c>
      <c r="D1868" t="s">
        <v>3907</v>
      </c>
      <c r="E1868" s="1">
        <v>270.10998499999999</v>
      </c>
      <c r="F1868" s="1">
        <v>270.25299100000001</v>
      </c>
      <c r="K1868" s="39">
        <f>DefaultValues!$B$4</f>
        <v>5</v>
      </c>
      <c r="L1868" s="1">
        <f>DefaultValues!$C$4</f>
        <v>0.5</v>
      </c>
      <c r="M1868" s="1" t="str">
        <f>DefaultValues!$D$4</f>
        <v xml:space="preserve">- Within interchange - </v>
      </c>
      <c r="N1868" s="1">
        <v>270.10998499999999</v>
      </c>
      <c r="O1868" s="1">
        <f>ABS(Table4[[#This Row],[EndMP]]-Table4[[#This Row],[StartMP]])</f>
        <v>0.14300600000001396</v>
      </c>
      <c r="P1868" s="1" t="str">
        <f>IF( AND( Table4[[#This Row],[Route]]=ClosureLocation!$B$3, ClosureLocation!$B$6 &gt;= Table4[[#This Row],[StartMP]], ClosureLocation!$B$6 &lt;= Table4[[#This Row],[EndMP]]), "Yes", "")</f>
        <v/>
      </c>
      <c r="Q1868" s="1" t="str">
        <f>IF( AND( Table4[[#This Row],[Route]]=ClosureLocation!$B$3, ClosureLocation!$B$6 &lt;= Table4[[#This Row],[StartMP]], ClosureLocation!$B$6 &gt;= Table4[[#This Row],[EndMP]]), "Yes", "")</f>
        <v/>
      </c>
      <c r="R1868" s="1" t="str">
        <f>IF( OR( Table4[[#This Row],[PrimaryMatch]]="Yes", Table4[[#This Row],[SecondaryMatch]]="Yes"), "Yes", "")</f>
        <v/>
      </c>
    </row>
    <row r="1869" spans="1:18" hidden="1" x14ac:dyDescent="0.25">
      <c r="A1869" t="s">
        <v>1018</v>
      </c>
      <c r="B1869" t="s">
        <v>3205</v>
      </c>
      <c r="C1869" t="s">
        <v>3222</v>
      </c>
      <c r="D1869" t="s">
        <v>3910</v>
      </c>
      <c r="E1869" s="1">
        <v>59.164000999999999</v>
      </c>
      <c r="F1869" s="1">
        <v>59.278998999999999</v>
      </c>
      <c r="K1869" s="39">
        <f>DefaultValues!$B$4</f>
        <v>5</v>
      </c>
      <c r="L1869" s="1">
        <f>DefaultValues!$C$4</f>
        <v>0.5</v>
      </c>
      <c r="M1869" s="1" t="str">
        <f>DefaultValues!$D$4</f>
        <v xml:space="preserve">- Within interchange - </v>
      </c>
      <c r="N1869" s="1">
        <v>59.164000999999999</v>
      </c>
      <c r="O1869" s="1">
        <f>ABS(Table4[[#This Row],[EndMP]]-Table4[[#This Row],[StartMP]])</f>
        <v>0.11499799999999993</v>
      </c>
      <c r="P1869" s="1" t="str">
        <f>IF( AND( Table4[[#This Row],[Route]]=ClosureLocation!$B$3, ClosureLocation!$B$6 &gt;= Table4[[#This Row],[StartMP]], ClosureLocation!$B$6 &lt;= Table4[[#This Row],[EndMP]]), "Yes", "")</f>
        <v/>
      </c>
      <c r="Q1869" s="1" t="str">
        <f>IF( AND( Table4[[#This Row],[Route]]=ClosureLocation!$B$3, ClosureLocation!$B$6 &lt;= Table4[[#This Row],[StartMP]], ClosureLocation!$B$6 &gt;= Table4[[#This Row],[EndMP]]), "Yes", "")</f>
        <v/>
      </c>
      <c r="R1869" s="1" t="str">
        <f>IF( OR( Table4[[#This Row],[PrimaryMatch]]="Yes", Table4[[#This Row],[SecondaryMatch]]="Yes"), "Yes", "")</f>
        <v/>
      </c>
    </row>
    <row r="1870" spans="1:18" hidden="1" x14ac:dyDescent="0.25">
      <c r="A1870" t="s">
        <v>1018</v>
      </c>
      <c r="B1870" t="s">
        <v>3209</v>
      </c>
      <c r="C1870" t="s">
        <v>3226</v>
      </c>
      <c r="D1870" t="s">
        <v>3912</v>
      </c>
      <c r="E1870" s="1">
        <v>59.278998999999999</v>
      </c>
      <c r="F1870" s="1">
        <v>59.164000999999999</v>
      </c>
      <c r="K1870" s="39">
        <f>DefaultValues!$B$4</f>
        <v>5</v>
      </c>
      <c r="L1870" s="1">
        <f>DefaultValues!$C$4</f>
        <v>0.5</v>
      </c>
      <c r="M1870" s="1" t="str">
        <f>DefaultValues!$D$4</f>
        <v xml:space="preserve">- Within interchange - </v>
      </c>
      <c r="N1870" s="1">
        <v>940.72100799999998</v>
      </c>
      <c r="O1870" s="1">
        <f>ABS(Table4[[#This Row],[EndMP]]-Table4[[#This Row],[StartMP]])</f>
        <v>0.11499799999999993</v>
      </c>
      <c r="P1870" s="1" t="str">
        <f>IF( AND( Table4[[#This Row],[Route]]=ClosureLocation!$B$3, ClosureLocation!$B$6 &gt;= Table4[[#This Row],[StartMP]], ClosureLocation!$B$6 &lt;= Table4[[#This Row],[EndMP]]), "Yes", "")</f>
        <v/>
      </c>
      <c r="Q1870" s="1" t="str">
        <f>IF( AND( Table4[[#This Row],[Route]]=ClosureLocation!$B$3, ClosureLocation!$B$6 &lt;= Table4[[#This Row],[StartMP]], ClosureLocation!$B$6 &gt;= Table4[[#This Row],[EndMP]]), "Yes", "")</f>
        <v/>
      </c>
      <c r="R1870" s="1" t="str">
        <f>IF( OR( Table4[[#This Row],[PrimaryMatch]]="Yes", Table4[[#This Row],[SecondaryMatch]]="Yes"), "Yes", "")</f>
        <v/>
      </c>
    </row>
    <row r="1871" spans="1:18" hidden="1" x14ac:dyDescent="0.25">
      <c r="A1871" t="s">
        <v>1022</v>
      </c>
      <c r="B1871" t="s">
        <v>3205</v>
      </c>
      <c r="C1871" t="s">
        <v>3222</v>
      </c>
      <c r="D1871" t="s">
        <v>3914</v>
      </c>
      <c r="E1871" s="1">
        <v>100</v>
      </c>
      <c r="F1871" s="1">
        <v>100.125</v>
      </c>
      <c r="K1871" s="39">
        <f>DefaultValues!$B$4</f>
        <v>5</v>
      </c>
      <c r="L1871" s="1">
        <f>DefaultValues!$C$4</f>
        <v>0.5</v>
      </c>
      <c r="M1871" s="1" t="str">
        <f>DefaultValues!$D$4</f>
        <v xml:space="preserve">- Within interchange - </v>
      </c>
      <c r="N1871" s="1">
        <v>100</v>
      </c>
      <c r="O1871" s="1">
        <f>ABS(Table4[[#This Row],[EndMP]]-Table4[[#This Row],[StartMP]])</f>
        <v>0.125</v>
      </c>
      <c r="P1871" s="1" t="str">
        <f>IF( AND( Table4[[#This Row],[Route]]=ClosureLocation!$B$3, ClosureLocation!$B$6 &gt;= Table4[[#This Row],[StartMP]], ClosureLocation!$B$6 &lt;= Table4[[#This Row],[EndMP]]), "Yes", "")</f>
        <v/>
      </c>
      <c r="Q1871" s="1" t="str">
        <f>IF( AND( Table4[[#This Row],[Route]]=ClosureLocation!$B$3, ClosureLocation!$B$6 &lt;= Table4[[#This Row],[StartMP]], ClosureLocation!$B$6 &gt;= Table4[[#This Row],[EndMP]]), "Yes", "")</f>
        <v/>
      </c>
      <c r="R1871" s="1" t="str">
        <f>IF( OR( Table4[[#This Row],[PrimaryMatch]]="Yes", Table4[[#This Row],[SecondaryMatch]]="Yes"), "Yes", "")</f>
        <v/>
      </c>
    </row>
    <row r="1872" spans="1:18" hidden="1" x14ac:dyDescent="0.25">
      <c r="A1872" t="s">
        <v>1022</v>
      </c>
      <c r="B1872" t="s">
        <v>3209</v>
      </c>
      <c r="C1872" t="s">
        <v>3226</v>
      </c>
      <c r="D1872" t="s">
        <v>3916</v>
      </c>
      <c r="E1872" s="1">
        <v>100.125</v>
      </c>
      <c r="F1872" s="1">
        <v>100</v>
      </c>
      <c r="K1872" s="39">
        <f>DefaultValues!$B$4</f>
        <v>5</v>
      </c>
      <c r="L1872" s="1">
        <f>DefaultValues!$C$4</f>
        <v>0.5</v>
      </c>
      <c r="M1872" s="1" t="str">
        <f>DefaultValues!$D$4</f>
        <v xml:space="preserve">- Within interchange - </v>
      </c>
      <c r="N1872" s="1">
        <v>899.875</v>
      </c>
      <c r="O1872" s="1">
        <f>ABS(Table4[[#This Row],[EndMP]]-Table4[[#This Row],[StartMP]])</f>
        <v>0.125</v>
      </c>
      <c r="P1872" s="1" t="str">
        <f>IF( AND( Table4[[#This Row],[Route]]=ClosureLocation!$B$3, ClosureLocation!$B$6 &gt;= Table4[[#This Row],[StartMP]], ClosureLocation!$B$6 &lt;= Table4[[#This Row],[EndMP]]), "Yes", "")</f>
        <v/>
      </c>
      <c r="Q1872" s="1" t="str">
        <f>IF( AND( Table4[[#This Row],[Route]]=ClosureLocation!$B$3, ClosureLocation!$B$6 &lt;= Table4[[#This Row],[StartMP]], ClosureLocation!$B$6 &gt;= Table4[[#This Row],[EndMP]]), "Yes", "")</f>
        <v/>
      </c>
      <c r="R1872" s="1" t="str">
        <f>IF( OR( Table4[[#This Row],[PrimaryMatch]]="Yes", Table4[[#This Row],[SecondaryMatch]]="Yes"), "Yes", "")</f>
        <v/>
      </c>
    </row>
    <row r="1873" spans="1:18" hidden="1" x14ac:dyDescent="0.25">
      <c r="A1873" t="s">
        <v>1025</v>
      </c>
      <c r="B1873" t="s">
        <v>3205</v>
      </c>
      <c r="C1873" t="s">
        <v>3222</v>
      </c>
      <c r="D1873" t="s">
        <v>3918</v>
      </c>
      <c r="E1873" s="1">
        <v>0</v>
      </c>
      <c r="F1873" s="1">
        <v>0.16800000000000001</v>
      </c>
      <c r="K1873" s="39">
        <f>DefaultValues!$B$4</f>
        <v>5</v>
      </c>
      <c r="L1873" s="1">
        <f>DefaultValues!$C$4</f>
        <v>0.5</v>
      </c>
      <c r="M1873" s="1" t="str">
        <f>DefaultValues!$D$4</f>
        <v xml:space="preserve">- Within interchange - </v>
      </c>
      <c r="N1873" s="1">
        <v>0</v>
      </c>
      <c r="O1873" s="1">
        <f>ABS(Table4[[#This Row],[EndMP]]-Table4[[#This Row],[StartMP]])</f>
        <v>0.16800000000000001</v>
      </c>
      <c r="P1873" s="1" t="str">
        <f>IF( AND( Table4[[#This Row],[Route]]=ClosureLocation!$B$3, ClosureLocation!$B$6 &gt;= Table4[[#This Row],[StartMP]], ClosureLocation!$B$6 &lt;= Table4[[#This Row],[EndMP]]), "Yes", "")</f>
        <v/>
      </c>
      <c r="Q1873" s="1" t="str">
        <f>IF( AND( Table4[[#This Row],[Route]]=ClosureLocation!$B$3, ClosureLocation!$B$6 &lt;= Table4[[#This Row],[StartMP]], ClosureLocation!$B$6 &gt;= Table4[[#This Row],[EndMP]]), "Yes", "")</f>
        <v/>
      </c>
      <c r="R1873" s="1" t="str">
        <f>IF( OR( Table4[[#This Row],[PrimaryMatch]]="Yes", Table4[[#This Row],[SecondaryMatch]]="Yes"), "Yes", "")</f>
        <v/>
      </c>
    </row>
    <row r="1874" spans="1:18" hidden="1" x14ac:dyDescent="0.25">
      <c r="A1874" t="s">
        <v>1025</v>
      </c>
      <c r="B1874" t="s">
        <v>3205</v>
      </c>
      <c r="C1874" t="s">
        <v>3222</v>
      </c>
      <c r="D1874" t="s">
        <v>3918</v>
      </c>
      <c r="E1874" s="1">
        <v>1.054</v>
      </c>
      <c r="F1874" s="1">
        <v>1.1599999999999999</v>
      </c>
      <c r="K1874" s="39">
        <f>DefaultValues!$B$4</f>
        <v>5</v>
      </c>
      <c r="L1874" s="1">
        <f>DefaultValues!$C$4</f>
        <v>0.5</v>
      </c>
      <c r="M1874" s="1" t="str">
        <f>DefaultValues!$D$4</f>
        <v xml:space="preserve">- Within interchange - </v>
      </c>
      <c r="N1874" s="1">
        <v>1.054</v>
      </c>
      <c r="O1874" s="1">
        <f>ABS(Table4[[#This Row],[EndMP]]-Table4[[#This Row],[StartMP]])</f>
        <v>0.10599999999999987</v>
      </c>
      <c r="P1874" s="1" t="str">
        <f>IF( AND( Table4[[#This Row],[Route]]=ClosureLocation!$B$3, ClosureLocation!$B$6 &gt;= Table4[[#This Row],[StartMP]], ClosureLocation!$B$6 &lt;= Table4[[#This Row],[EndMP]]), "Yes", "")</f>
        <v/>
      </c>
      <c r="Q1874" s="1" t="str">
        <f>IF( AND( Table4[[#This Row],[Route]]=ClosureLocation!$B$3, ClosureLocation!$B$6 &lt;= Table4[[#This Row],[StartMP]], ClosureLocation!$B$6 &gt;= Table4[[#This Row],[EndMP]]), "Yes", "")</f>
        <v/>
      </c>
      <c r="R1874" s="1" t="str">
        <f>IF( OR( Table4[[#This Row],[PrimaryMatch]]="Yes", Table4[[#This Row],[SecondaryMatch]]="Yes"), "Yes", "")</f>
        <v/>
      </c>
    </row>
    <row r="1875" spans="1:18" hidden="1" x14ac:dyDescent="0.25">
      <c r="A1875" t="s">
        <v>1025</v>
      </c>
      <c r="B1875" t="s">
        <v>3205</v>
      </c>
      <c r="C1875" t="s">
        <v>3222</v>
      </c>
      <c r="D1875" t="s">
        <v>3918</v>
      </c>
      <c r="E1875" s="1">
        <v>5.9569999999999999</v>
      </c>
      <c r="F1875" s="1">
        <v>6.07</v>
      </c>
      <c r="K1875" s="39">
        <f>DefaultValues!$B$4</f>
        <v>5</v>
      </c>
      <c r="L1875" s="1">
        <f>DefaultValues!$C$4</f>
        <v>0.5</v>
      </c>
      <c r="M1875" s="1" t="str">
        <f>DefaultValues!$D$4</f>
        <v xml:space="preserve">- Within interchange - </v>
      </c>
      <c r="N1875" s="1">
        <v>5.9569999999999999</v>
      </c>
      <c r="O1875" s="1">
        <f>ABS(Table4[[#This Row],[EndMP]]-Table4[[#This Row],[StartMP]])</f>
        <v>0.11300000000000043</v>
      </c>
      <c r="P1875" s="1" t="str">
        <f>IF( AND( Table4[[#This Row],[Route]]=ClosureLocation!$B$3, ClosureLocation!$B$6 &gt;= Table4[[#This Row],[StartMP]], ClosureLocation!$B$6 &lt;= Table4[[#This Row],[EndMP]]), "Yes", "")</f>
        <v/>
      </c>
      <c r="Q1875" s="1" t="str">
        <f>IF( AND( Table4[[#This Row],[Route]]=ClosureLocation!$B$3, ClosureLocation!$B$6 &lt;= Table4[[#This Row],[StartMP]], ClosureLocation!$B$6 &gt;= Table4[[#This Row],[EndMP]]), "Yes", "")</f>
        <v/>
      </c>
      <c r="R1875" s="1" t="str">
        <f>IF( OR( Table4[[#This Row],[PrimaryMatch]]="Yes", Table4[[#This Row],[SecondaryMatch]]="Yes"), "Yes", "")</f>
        <v/>
      </c>
    </row>
    <row r="1876" spans="1:18" hidden="1" x14ac:dyDescent="0.25">
      <c r="A1876" t="s">
        <v>1025</v>
      </c>
      <c r="B1876" t="s">
        <v>3205</v>
      </c>
      <c r="C1876" t="s">
        <v>3222</v>
      </c>
      <c r="D1876" t="s">
        <v>3918</v>
      </c>
      <c r="E1876" s="1">
        <v>8.5660000000000007</v>
      </c>
      <c r="F1876" s="1">
        <v>8.8089999999999993</v>
      </c>
      <c r="K1876" s="39">
        <f>DefaultValues!$B$4</f>
        <v>5</v>
      </c>
      <c r="L1876" s="1">
        <f>DefaultValues!$C$4</f>
        <v>0.5</v>
      </c>
      <c r="M1876" s="1" t="str">
        <f>DefaultValues!$D$4</f>
        <v xml:space="preserve">- Within interchange - </v>
      </c>
      <c r="N1876" s="1">
        <v>8.5660000000000007</v>
      </c>
      <c r="O1876" s="1">
        <f>ABS(Table4[[#This Row],[EndMP]]-Table4[[#This Row],[StartMP]])</f>
        <v>0.24299999999999855</v>
      </c>
      <c r="P1876" s="1" t="str">
        <f>IF( AND( Table4[[#This Row],[Route]]=ClosureLocation!$B$3, ClosureLocation!$B$6 &gt;= Table4[[#This Row],[StartMP]], ClosureLocation!$B$6 &lt;= Table4[[#This Row],[EndMP]]), "Yes", "")</f>
        <v/>
      </c>
      <c r="Q1876" s="1" t="str">
        <f>IF( AND( Table4[[#This Row],[Route]]=ClosureLocation!$B$3, ClosureLocation!$B$6 &lt;= Table4[[#This Row],[StartMP]], ClosureLocation!$B$6 &gt;= Table4[[#This Row],[EndMP]]), "Yes", "")</f>
        <v/>
      </c>
      <c r="R1876" s="1" t="str">
        <f>IF( OR( Table4[[#This Row],[PrimaryMatch]]="Yes", Table4[[#This Row],[SecondaryMatch]]="Yes"), "Yes", "")</f>
        <v/>
      </c>
    </row>
    <row r="1877" spans="1:18" hidden="1" x14ac:dyDescent="0.25">
      <c r="A1877" t="s">
        <v>1025</v>
      </c>
      <c r="B1877" t="s">
        <v>3205</v>
      </c>
      <c r="C1877" t="s">
        <v>3222</v>
      </c>
      <c r="D1877" t="s">
        <v>3918</v>
      </c>
      <c r="E1877" s="1">
        <v>14.709</v>
      </c>
      <c r="F1877" s="1">
        <v>14.77</v>
      </c>
      <c r="K1877" s="39">
        <f>DefaultValues!$B$4</f>
        <v>5</v>
      </c>
      <c r="L1877" s="1">
        <f>DefaultValues!$C$4</f>
        <v>0.5</v>
      </c>
      <c r="M1877" s="1" t="str">
        <f>DefaultValues!$D$4</f>
        <v xml:space="preserve">- Within interchange - </v>
      </c>
      <c r="N1877" s="1">
        <v>14.709</v>
      </c>
      <c r="O1877" s="1">
        <f>ABS(Table4[[#This Row],[EndMP]]-Table4[[#This Row],[StartMP]])</f>
        <v>6.0999999999999943E-2</v>
      </c>
      <c r="P1877" s="1" t="str">
        <f>IF( AND( Table4[[#This Row],[Route]]=ClosureLocation!$B$3, ClosureLocation!$B$6 &gt;= Table4[[#This Row],[StartMP]], ClosureLocation!$B$6 &lt;= Table4[[#This Row],[EndMP]]), "Yes", "")</f>
        <v/>
      </c>
      <c r="Q1877" s="1" t="str">
        <f>IF( AND( Table4[[#This Row],[Route]]=ClosureLocation!$B$3, ClosureLocation!$B$6 &lt;= Table4[[#This Row],[StartMP]], ClosureLocation!$B$6 &gt;= Table4[[#This Row],[EndMP]]), "Yes", "")</f>
        <v/>
      </c>
      <c r="R1877" s="1" t="str">
        <f>IF( OR( Table4[[#This Row],[PrimaryMatch]]="Yes", Table4[[#This Row],[SecondaryMatch]]="Yes"), "Yes", "")</f>
        <v/>
      </c>
    </row>
    <row r="1878" spans="1:18" hidden="1" x14ac:dyDescent="0.25">
      <c r="A1878" t="s">
        <v>1025</v>
      </c>
      <c r="B1878" t="s">
        <v>3209</v>
      </c>
      <c r="C1878" t="s">
        <v>3226</v>
      </c>
      <c r="D1878" t="s">
        <v>3923</v>
      </c>
      <c r="E1878" s="1">
        <v>14.77</v>
      </c>
      <c r="F1878" s="1">
        <v>14.709</v>
      </c>
      <c r="K1878" s="39">
        <f>DefaultValues!$B$4</f>
        <v>5</v>
      </c>
      <c r="L1878" s="1">
        <f>DefaultValues!$C$4</f>
        <v>0.5</v>
      </c>
      <c r="M1878" s="1" t="str">
        <f>DefaultValues!$D$4</f>
        <v xml:space="preserve">- Within interchange - </v>
      </c>
      <c r="N1878" s="1">
        <v>985.22997999999995</v>
      </c>
      <c r="O1878" s="1">
        <f>ABS(Table4[[#This Row],[EndMP]]-Table4[[#This Row],[StartMP]])</f>
        <v>6.0999999999999943E-2</v>
      </c>
      <c r="P1878" s="1" t="str">
        <f>IF( AND( Table4[[#This Row],[Route]]=ClosureLocation!$B$3, ClosureLocation!$B$6 &gt;= Table4[[#This Row],[StartMP]], ClosureLocation!$B$6 &lt;= Table4[[#This Row],[EndMP]]), "Yes", "")</f>
        <v/>
      </c>
      <c r="Q1878" s="1" t="str">
        <f>IF( AND( Table4[[#This Row],[Route]]=ClosureLocation!$B$3, ClosureLocation!$B$6 &lt;= Table4[[#This Row],[StartMP]], ClosureLocation!$B$6 &gt;= Table4[[#This Row],[EndMP]]), "Yes", "")</f>
        <v/>
      </c>
      <c r="R1878" s="1" t="str">
        <f>IF( OR( Table4[[#This Row],[PrimaryMatch]]="Yes", Table4[[#This Row],[SecondaryMatch]]="Yes"), "Yes", "")</f>
        <v/>
      </c>
    </row>
    <row r="1879" spans="1:18" hidden="1" x14ac:dyDescent="0.25">
      <c r="A1879" t="s">
        <v>1025</v>
      </c>
      <c r="B1879" t="s">
        <v>3209</v>
      </c>
      <c r="C1879" t="s">
        <v>3226</v>
      </c>
      <c r="D1879" t="s">
        <v>3923</v>
      </c>
      <c r="E1879" s="1">
        <v>8.8089999999999993</v>
      </c>
      <c r="F1879" s="1">
        <v>8.5660000000000007</v>
      </c>
      <c r="K1879" s="39">
        <f>DefaultValues!$B$4</f>
        <v>5</v>
      </c>
      <c r="L1879" s="1">
        <f>DefaultValues!$C$4</f>
        <v>0.5</v>
      </c>
      <c r="M1879" s="1" t="str">
        <f>DefaultValues!$D$4</f>
        <v xml:space="preserve">- Within interchange - </v>
      </c>
      <c r="N1879" s="1">
        <v>991.19097899999997</v>
      </c>
      <c r="O1879" s="1">
        <f>ABS(Table4[[#This Row],[EndMP]]-Table4[[#This Row],[StartMP]])</f>
        <v>0.24299999999999855</v>
      </c>
      <c r="P1879" s="1" t="str">
        <f>IF( AND( Table4[[#This Row],[Route]]=ClosureLocation!$B$3, ClosureLocation!$B$6 &gt;= Table4[[#This Row],[StartMP]], ClosureLocation!$B$6 &lt;= Table4[[#This Row],[EndMP]]), "Yes", "")</f>
        <v/>
      </c>
      <c r="Q1879" s="1" t="str">
        <f>IF( AND( Table4[[#This Row],[Route]]=ClosureLocation!$B$3, ClosureLocation!$B$6 &lt;= Table4[[#This Row],[StartMP]], ClosureLocation!$B$6 &gt;= Table4[[#This Row],[EndMP]]), "Yes", "")</f>
        <v/>
      </c>
      <c r="R1879" s="1" t="str">
        <f>IF( OR( Table4[[#This Row],[PrimaryMatch]]="Yes", Table4[[#This Row],[SecondaryMatch]]="Yes"), "Yes", "")</f>
        <v/>
      </c>
    </row>
    <row r="1880" spans="1:18" hidden="1" x14ac:dyDescent="0.25">
      <c r="A1880" t="s">
        <v>1025</v>
      </c>
      <c r="B1880" t="s">
        <v>3209</v>
      </c>
      <c r="C1880" t="s">
        <v>3226</v>
      </c>
      <c r="D1880" t="s">
        <v>3923</v>
      </c>
      <c r="E1880" s="1">
        <v>6.07</v>
      </c>
      <c r="F1880" s="1">
        <v>5.9569999999999999</v>
      </c>
      <c r="K1880" s="39">
        <f>DefaultValues!$B$4</f>
        <v>5</v>
      </c>
      <c r="L1880" s="1">
        <f>DefaultValues!$C$4</f>
        <v>0.5</v>
      </c>
      <c r="M1880" s="1" t="str">
        <f>DefaultValues!$D$4</f>
        <v xml:space="preserve">- Within interchange - </v>
      </c>
      <c r="N1880" s="1">
        <v>993.92999299999997</v>
      </c>
      <c r="O1880" s="1">
        <f>ABS(Table4[[#This Row],[EndMP]]-Table4[[#This Row],[StartMP]])</f>
        <v>0.11300000000000043</v>
      </c>
      <c r="P1880" s="1" t="str">
        <f>IF( AND( Table4[[#This Row],[Route]]=ClosureLocation!$B$3, ClosureLocation!$B$6 &gt;= Table4[[#This Row],[StartMP]], ClosureLocation!$B$6 &lt;= Table4[[#This Row],[EndMP]]), "Yes", "")</f>
        <v/>
      </c>
      <c r="Q1880" s="1" t="str">
        <f>IF( AND( Table4[[#This Row],[Route]]=ClosureLocation!$B$3, ClosureLocation!$B$6 &lt;= Table4[[#This Row],[StartMP]], ClosureLocation!$B$6 &gt;= Table4[[#This Row],[EndMP]]), "Yes", "")</f>
        <v/>
      </c>
      <c r="R1880" s="1" t="str">
        <f>IF( OR( Table4[[#This Row],[PrimaryMatch]]="Yes", Table4[[#This Row],[SecondaryMatch]]="Yes"), "Yes", "")</f>
        <v/>
      </c>
    </row>
    <row r="1881" spans="1:18" hidden="1" x14ac:dyDescent="0.25">
      <c r="A1881" t="s">
        <v>1025</v>
      </c>
      <c r="B1881" t="s">
        <v>3209</v>
      </c>
      <c r="C1881" t="s">
        <v>3226</v>
      </c>
      <c r="D1881" t="s">
        <v>3923</v>
      </c>
      <c r="E1881" s="1">
        <v>1.1599999999999999</v>
      </c>
      <c r="F1881" s="1">
        <v>1.054</v>
      </c>
      <c r="K1881" s="39">
        <f>DefaultValues!$B$4</f>
        <v>5</v>
      </c>
      <c r="L1881" s="1">
        <f>DefaultValues!$C$4</f>
        <v>0.5</v>
      </c>
      <c r="M1881" s="1" t="str">
        <f>DefaultValues!$D$4</f>
        <v xml:space="preserve">- Within interchange - </v>
      </c>
      <c r="N1881" s="1">
        <v>998.84002699999996</v>
      </c>
      <c r="O1881" s="1">
        <f>ABS(Table4[[#This Row],[EndMP]]-Table4[[#This Row],[StartMP]])</f>
        <v>0.10599999999999987</v>
      </c>
      <c r="P1881" s="1" t="str">
        <f>IF( AND( Table4[[#This Row],[Route]]=ClosureLocation!$B$3, ClosureLocation!$B$6 &gt;= Table4[[#This Row],[StartMP]], ClosureLocation!$B$6 &lt;= Table4[[#This Row],[EndMP]]), "Yes", "")</f>
        <v/>
      </c>
      <c r="Q1881" s="1" t="str">
        <f>IF( AND( Table4[[#This Row],[Route]]=ClosureLocation!$B$3, ClosureLocation!$B$6 &lt;= Table4[[#This Row],[StartMP]], ClosureLocation!$B$6 &gt;= Table4[[#This Row],[EndMP]]), "Yes", "")</f>
        <v/>
      </c>
      <c r="R1881" s="1" t="str">
        <f>IF( OR( Table4[[#This Row],[PrimaryMatch]]="Yes", Table4[[#This Row],[SecondaryMatch]]="Yes"), "Yes", "")</f>
        <v/>
      </c>
    </row>
    <row r="1882" spans="1:18" hidden="1" x14ac:dyDescent="0.25">
      <c r="A1882" t="s">
        <v>1025</v>
      </c>
      <c r="B1882" t="s">
        <v>3209</v>
      </c>
      <c r="C1882" t="s">
        <v>3226</v>
      </c>
      <c r="D1882" t="s">
        <v>3923</v>
      </c>
      <c r="E1882" s="1">
        <v>0.16800000000000001</v>
      </c>
      <c r="F1882" s="1">
        <v>0</v>
      </c>
      <c r="K1882" s="39">
        <f>DefaultValues!$B$4</f>
        <v>5</v>
      </c>
      <c r="L1882" s="1">
        <f>DefaultValues!$C$4</f>
        <v>0.5</v>
      </c>
      <c r="M1882" s="1" t="str">
        <f>DefaultValues!$D$4</f>
        <v xml:space="preserve">- Within interchange - </v>
      </c>
      <c r="N1882" s="1">
        <v>999.83196999999996</v>
      </c>
      <c r="O1882" s="1">
        <f>ABS(Table4[[#This Row],[EndMP]]-Table4[[#This Row],[StartMP]])</f>
        <v>0.16800000000000001</v>
      </c>
      <c r="P1882" s="1" t="str">
        <f>IF( AND( Table4[[#This Row],[Route]]=ClosureLocation!$B$3, ClosureLocation!$B$6 &gt;= Table4[[#This Row],[StartMP]], ClosureLocation!$B$6 &lt;= Table4[[#This Row],[EndMP]]), "Yes", "")</f>
        <v/>
      </c>
      <c r="Q1882" s="1" t="str">
        <f>IF( AND( Table4[[#This Row],[Route]]=ClosureLocation!$B$3, ClosureLocation!$B$6 &lt;= Table4[[#This Row],[StartMP]], ClosureLocation!$B$6 &gt;= Table4[[#This Row],[EndMP]]), "Yes", "")</f>
        <v/>
      </c>
      <c r="R1882" s="1" t="str">
        <f>IF( OR( Table4[[#This Row],[PrimaryMatch]]="Yes", Table4[[#This Row],[SecondaryMatch]]="Yes"), "Yes", "")</f>
        <v/>
      </c>
    </row>
    <row r="1883" spans="1:18" hidden="1" x14ac:dyDescent="0.25">
      <c r="A1883" t="s">
        <v>1034</v>
      </c>
      <c r="B1883" t="s">
        <v>3205</v>
      </c>
      <c r="C1883" t="s">
        <v>3222</v>
      </c>
      <c r="D1883" t="s">
        <v>3928</v>
      </c>
      <c r="E1883" s="1">
        <v>16.827000000000002</v>
      </c>
      <c r="F1883" s="1">
        <v>17.013999999999999</v>
      </c>
      <c r="K1883" s="39">
        <f>DefaultValues!$B$4</f>
        <v>5</v>
      </c>
      <c r="L1883" s="1">
        <f>DefaultValues!$C$4</f>
        <v>0.5</v>
      </c>
      <c r="M1883" s="1" t="str">
        <f>DefaultValues!$D$4</f>
        <v xml:space="preserve">- Within interchange - </v>
      </c>
      <c r="N1883" s="1">
        <v>16.827000000000002</v>
      </c>
      <c r="O1883" s="1">
        <f>ABS(Table4[[#This Row],[EndMP]]-Table4[[#This Row],[StartMP]])</f>
        <v>0.18699999999999761</v>
      </c>
      <c r="P1883" s="1" t="str">
        <f>IF( AND( Table4[[#This Row],[Route]]=ClosureLocation!$B$3, ClosureLocation!$B$6 &gt;= Table4[[#This Row],[StartMP]], ClosureLocation!$B$6 &lt;= Table4[[#This Row],[EndMP]]), "Yes", "")</f>
        <v/>
      </c>
      <c r="Q1883" s="1" t="str">
        <f>IF( AND( Table4[[#This Row],[Route]]=ClosureLocation!$B$3, ClosureLocation!$B$6 &lt;= Table4[[#This Row],[StartMP]], ClosureLocation!$B$6 &gt;= Table4[[#This Row],[EndMP]]), "Yes", "")</f>
        <v/>
      </c>
      <c r="R1883" s="1" t="str">
        <f>IF( OR( Table4[[#This Row],[PrimaryMatch]]="Yes", Table4[[#This Row],[SecondaryMatch]]="Yes"), "Yes", "")</f>
        <v/>
      </c>
    </row>
    <row r="1884" spans="1:18" hidden="1" x14ac:dyDescent="0.25">
      <c r="A1884" t="s">
        <v>1034</v>
      </c>
      <c r="B1884" t="s">
        <v>3205</v>
      </c>
      <c r="C1884" t="s">
        <v>3222</v>
      </c>
      <c r="D1884" t="s">
        <v>3928</v>
      </c>
      <c r="E1884" s="1">
        <v>21.563998999999999</v>
      </c>
      <c r="F1884" s="1">
        <v>21.733999000000001</v>
      </c>
      <c r="K1884" s="39">
        <f>DefaultValues!$B$4</f>
        <v>5</v>
      </c>
      <c r="L1884" s="1">
        <f>DefaultValues!$C$4</f>
        <v>0.5</v>
      </c>
      <c r="M1884" s="1" t="str">
        <f>DefaultValues!$D$4</f>
        <v xml:space="preserve">- Within interchange - </v>
      </c>
      <c r="N1884" s="1">
        <v>21.563998999999999</v>
      </c>
      <c r="O1884" s="1">
        <f>ABS(Table4[[#This Row],[EndMP]]-Table4[[#This Row],[StartMP]])</f>
        <v>0.17000000000000171</v>
      </c>
      <c r="P1884" s="1" t="str">
        <f>IF( AND( Table4[[#This Row],[Route]]=ClosureLocation!$B$3, ClosureLocation!$B$6 &gt;= Table4[[#This Row],[StartMP]], ClosureLocation!$B$6 &lt;= Table4[[#This Row],[EndMP]]), "Yes", "")</f>
        <v/>
      </c>
      <c r="Q1884" s="1" t="str">
        <f>IF( AND( Table4[[#This Row],[Route]]=ClosureLocation!$B$3, ClosureLocation!$B$6 &lt;= Table4[[#This Row],[StartMP]], ClosureLocation!$B$6 &gt;= Table4[[#This Row],[EndMP]]), "Yes", "")</f>
        <v/>
      </c>
      <c r="R1884" s="1" t="str">
        <f>IF( OR( Table4[[#This Row],[PrimaryMatch]]="Yes", Table4[[#This Row],[SecondaryMatch]]="Yes"), "Yes", "")</f>
        <v/>
      </c>
    </row>
    <row r="1885" spans="1:18" hidden="1" x14ac:dyDescent="0.25">
      <c r="A1885" t="s">
        <v>1034</v>
      </c>
      <c r="B1885" t="s">
        <v>3209</v>
      </c>
      <c r="C1885" t="s">
        <v>3226</v>
      </c>
      <c r="D1885" t="s">
        <v>3930</v>
      </c>
      <c r="E1885" s="1">
        <v>21.733999000000001</v>
      </c>
      <c r="F1885" s="1">
        <v>21.563998999999999</v>
      </c>
      <c r="K1885" s="39">
        <f>DefaultValues!$B$4</f>
        <v>5</v>
      </c>
      <c r="L1885" s="1">
        <f>DefaultValues!$C$4</f>
        <v>0.5</v>
      </c>
      <c r="M1885" s="1" t="str">
        <f>DefaultValues!$D$4</f>
        <v xml:space="preserve">- Within interchange - </v>
      </c>
      <c r="N1885" s="1">
        <v>978.26599099999999</v>
      </c>
      <c r="O1885" s="1">
        <f>ABS(Table4[[#This Row],[EndMP]]-Table4[[#This Row],[StartMP]])</f>
        <v>0.17000000000000171</v>
      </c>
      <c r="P1885" s="1" t="str">
        <f>IF( AND( Table4[[#This Row],[Route]]=ClosureLocation!$B$3, ClosureLocation!$B$6 &gt;= Table4[[#This Row],[StartMP]], ClosureLocation!$B$6 &lt;= Table4[[#This Row],[EndMP]]), "Yes", "")</f>
        <v/>
      </c>
      <c r="Q1885" s="1" t="str">
        <f>IF( AND( Table4[[#This Row],[Route]]=ClosureLocation!$B$3, ClosureLocation!$B$6 &lt;= Table4[[#This Row],[StartMP]], ClosureLocation!$B$6 &gt;= Table4[[#This Row],[EndMP]]), "Yes", "")</f>
        <v/>
      </c>
      <c r="R1885" s="1" t="str">
        <f>IF( OR( Table4[[#This Row],[PrimaryMatch]]="Yes", Table4[[#This Row],[SecondaryMatch]]="Yes"), "Yes", "")</f>
        <v/>
      </c>
    </row>
    <row r="1886" spans="1:18" hidden="1" x14ac:dyDescent="0.25">
      <c r="A1886" t="s">
        <v>1034</v>
      </c>
      <c r="B1886" t="s">
        <v>3209</v>
      </c>
      <c r="C1886" t="s">
        <v>3226</v>
      </c>
      <c r="D1886" t="s">
        <v>3930</v>
      </c>
      <c r="E1886" s="1">
        <v>17.013999999999999</v>
      </c>
      <c r="F1886" s="1">
        <v>16.827000000000002</v>
      </c>
      <c r="K1886" s="39">
        <f>DefaultValues!$B$4</f>
        <v>5</v>
      </c>
      <c r="L1886" s="1">
        <f>DefaultValues!$C$4</f>
        <v>0.5</v>
      </c>
      <c r="M1886" s="1" t="str">
        <f>DefaultValues!$D$4</f>
        <v xml:space="preserve">- Within interchange - </v>
      </c>
      <c r="N1886" s="1">
        <v>982.98602300000005</v>
      </c>
      <c r="O1886" s="1">
        <f>ABS(Table4[[#This Row],[EndMP]]-Table4[[#This Row],[StartMP]])</f>
        <v>0.18699999999999761</v>
      </c>
      <c r="P1886" s="1" t="str">
        <f>IF( AND( Table4[[#This Row],[Route]]=ClosureLocation!$B$3, ClosureLocation!$B$6 &gt;= Table4[[#This Row],[StartMP]], ClosureLocation!$B$6 &lt;= Table4[[#This Row],[EndMP]]), "Yes", "")</f>
        <v/>
      </c>
      <c r="Q1886" s="1" t="str">
        <f>IF( AND( Table4[[#This Row],[Route]]=ClosureLocation!$B$3, ClosureLocation!$B$6 &lt;= Table4[[#This Row],[StartMP]], ClosureLocation!$B$6 &gt;= Table4[[#This Row],[EndMP]]), "Yes", "")</f>
        <v/>
      </c>
      <c r="R1886" s="1" t="str">
        <f>IF( OR( Table4[[#This Row],[PrimaryMatch]]="Yes", Table4[[#This Row],[SecondaryMatch]]="Yes"), "Yes", "")</f>
        <v/>
      </c>
    </row>
    <row r="1887" spans="1:18" hidden="1" x14ac:dyDescent="0.25">
      <c r="A1887" t="s">
        <v>1045</v>
      </c>
      <c r="B1887" t="s">
        <v>3205</v>
      </c>
      <c r="C1887" t="s">
        <v>3206</v>
      </c>
      <c r="D1887" t="s">
        <v>3940</v>
      </c>
      <c r="E1887" s="1">
        <v>22.341000000000001</v>
      </c>
      <c r="F1887" s="1">
        <v>22.605</v>
      </c>
      <c r="K1887" s="39">
        <f>DefaultValues!$B$4</f>
        <v>5</v>
      </c>
      <c r="L1887" s="1">
        <f>DefaultValues!$C$4</f>
        <v>0.5</v>
      </c>
      <c r="M1887" s="1" t="str">
        <f>DefaultValues!$D$4</f>
        <v xml:space="preserve">- Within interchange - </v>
      </c>
      <c r="N1887" s="1">
        <v>22.341000000000001</v>
      </c>
      <c r="O1887" s="1">
        <f>ABS(Table4[[#This Row],[EndMP]]-Table4[[#This Row],[StartMP]])</f>
        <v>0.26399999999999935</v>
      </c>
      <c r="P1887" s="1" t="str">
        <f>IF( AND( Table4[[#This Row],[Route]]=ClosureLocation!$B$3, ClosureLocation!$B$6 &gt;= Table4[[#This Row],[StartMP]], ClosureLocation!$B$6 &lt;= Table4[[#This Row],[EndMP]]), "Yes", "")</f>
        <v/>
      </c>
      <c r="Q1887" s="1" t="str">
        <f>IF( AND( Table4[[#This Row],[Route]]=ClosureLocation!$B$3, ClosureLocation!$B$6 &lt;= Table4[[#This Row],[StartMP]], ClosureLocation!$B$6 &gt;= Table4[[#This Row],[EndMP]]), "Yes", "")</f>
        <v/>
      </c>
      <c r="R1887" s="1" t="str">
        <f>IF( OR( Table4[[#This Row],[PrimaryMatch]]="Yes", Table4[[#This Row],[SecondaryMatch]]="Yes"), "Yes", "")</f>
        <v/>
      </c>
    </row>
    <row r="1888" spans="1:18" hidden="1" x14ac:dyDescent="0.25">
      <c r="A1888" t="s">
        <v>1045</v>
      </c>
      <c r="B1888" t="s">
        <v>3209</v>
      </c>
      <c r="C1888" t="s">
        <v>3210</v>
      </c>
      <c r="D1888" t="s">
        <v>3942</v>
      </c>
      <c r="E1888" s="1">
        <v>22.605</v>
      </c>
      <c r="F1888" s="1">
        <v>22.341000000000001</v>
      </c>
      <c r="K1888" s="39">
        <f>DefaultValues!$B$4</f>
        <v>5</v>
      </c>
      <c r="L1888" s="1">
        <f>DefaultValues!$C$4</f>
        <v>0.5</v>
      </c>
      <c r="M1888" s="1" t="str">
        <f>DefaultValues!$D$4</f>
        <v xml:space="preserve">- Within interchange - </v>
      </c>
      <c r="N1888" s="1">
        <v>977.39502000000005</v>
      </c>
      <c r="O1888" s="1">
        <f>ABS(Table4[[#This Row],[EndMP]]-Table4[[#This Row],[StartMP]])</f>
        <v>0.26399999999999935</v>
      </c>
      <c r="P1888" s="1" t="str">
        <f>IF( AND( Table4[[#This Row],[Route]]=ClosureLocation!$B$3, ClosureLocation!$B$6 &gt;= Table4[[#This Row],[StartMP]], ClosureLocation!$B$6 &lt;= Table4[[#This Row],[EndMP]]), "Yes", "")</f>
        <v/>
      </c>
      <c r="Q1888" s="1" t="str">
        <f>IF( AND( Table4[[#This Row],[Route]]=ClosureLocation!$B$3, ClosureLocation!$B$6 &lt;= Table4[[#This Row],[StartMP]], ClosureLocation!$B$6 &gt;= Table4[[#This Row],[EndMP]]), "Yes", "")</f>
        <v/>
      </c>
      <c r="R1888" s="1" t="str">
        <f>IF( OR( Table4[[#This Row],[PrimaryMatch]]="Yes", Table4[[#This Row],[SecondaryMatch]]="Yes"), "Yes", "")</f>
        <v/>
      </c>
    </row>
    <row r="1889" spans="1:18" hidden="1" x14ac:dyDescent="0.25">
      <c r="A1889" t="s">
        <v>1070</v>
      </c>
      <c r="B1889" t="s">
        <v>3205</v>
      </c>
      <c r="C1889" t="s">
        <v>3206</v>
      </c>
      <c r="D1889" t="s">
        <v>3961</v>
      </c>
      <c r="E1889" s="1">
        <v>0</v>
      </c>
      <c r="F1889" s="1">
        <v>0.10100000000000001</v>
      </c>
      <c r="K1889" s="39">
        <f>DefaultValues!$B$4</f>
        <v>5</v>
      </c>
      <c r="L1889" s="1">
        <f>DefaultValues!$C$4</f>
        <v>0.5</v>
      </c>
      <c r="M1889" s="1" t="str">
        <f>DefaultValues!$D$4</f>
        <v xml:space="preserve">- Within interchange - </v>
      </c>
      <c r="N1889" s="1">
        <v>0</v>
      </c>
      <c r="O1889" s="1">
        <f>ABS(Table4[[#This Row],[EndMP]]-Table4[[#This Row],[StartMP]])</f>
        <v>0.10100000000000001</v>
      </c>
      <c r="P1889" s="1" t="str">
        <f>IF( AND( Table4[[#This Row],[Route]]=ClosureLocation!$B$3, ClosureLocation!$B$6 &gt;= Table4[[#This Row],[StartMP]], ClosureLocation!$B$6 &lt;= Table4[[#This Row],[EndMP]]), "Yes", "")</f>
        <v/>
      </c>
      <c r="Q1889" s="1" t="str">
        <f>IF( AND( Table4[[#This Row],[Route]]=ClosureLocation!$B$3, ClosureLocation!$B$6 &lt;= Table4[[#This Row],[StartMP]], ClosureLocation!$B$6 &gt;= Table4[[#This Row],[EndMP]]), "Yes", "")</f>
        <v/>
      </c>
      <c r="R1889" s="1" t="str">
        <f>IF( OR( Table4[[#This Row],[PrimaryMatch]]="Yes", Table4[[#This Row],[SecondaryMatch]]="Yes"), "Yes", "")</f>
        <v/>
      </c>
    </row>
    <row r="1890" spans="1:18" hidden="1" x14ac:dyDescent="0.25">
      <c r="A1890" t="s">
        <v>1070</v>
      </c>
      <c r="B1890" t="s">
        <v>3205</v>
      </c>
      <c r="C1890" t="s">
        <v>3206</v>
      </c>
      <c r="D1890" t="s">
        <v>3961</v>
      </c>
      <c r="E1890" s="1">
        <v>4.9740000000000002</v>
      </c>
      <c r="F1890" s="1">
        <v>5.0460000000000003</v>
      </c>
      <c r="K1890" s="39">
        <f>DefaultValues!$B$4</f>
        <v>5</v>
      </c>
      <c r="L1890" s="1">
        <f>DefaultValues!$C$4</f>
        <v>0.5</v>
      </c>
      <c r="M1890" s="1" t="str">
        <f>DefaultValues!$D$4</f>
        <v xml:space="preserve">- Within interchange - </v>
      </c>
      <c r="N1890" s="1">
        <v>4.9740000000000002</v>
      </c>
      <c r="O1890" s="1">
        <f>ABS(Table4[[#This Row],[EndMP]]-Table4[[#This Row],[StartMP]])</f>
        <v>7.2000000000000064E-2</v>
      </c>
      <c r="P1890" s="1" t="str">
        <f>IF( AND( Table4[[#This Row],[Route]]=ClosureLocation!$B$3, ClosureLocation!$B$6 &gt;= Table4[[#This Row],[StartMP]], ClosureLocation!$B$6 &lt;= Table4[[#This Row],[EndMP]]), "Yes", "")</f>
        <v/>
      </c>
      <c r="Q1890" s="1" t="str">
        <f>IF( AND( Table4[[#This Row],[Route]]=ClosureLocation!$B$3, ClosureLocation!$B$6 &lt;= Table4[[#This Row],[StartMP]], ClosureLocation!$B$6 &gt;= Table4[[#This Row],[EndMP]]), "Yes", "")</f>
        <v/>
      </c>
      <c r="R1890" s="1" t="str">
        <f>IF( OR( Table4[[#This Row],[PrimaryMatch]]="Yes", Table4[[#This Row],[SecondaryMatch]]="Yes"), "Yes", "")</f>
        <v/>
      </c>
    </row>
    <row r="1891" spans="1:18" hidden="1" x14ac:dyDescent="0.25">
      <c r="A1891" t="s">
        <v>1070</v>
      </c>
      <c r="B1891" t="s">
        <v>3205</v>
      </c>
      <c r="C1891" t="s">
        <v>3206</v>
      </c>
      <c r="D1891" t="s">
        <v>3961</v>
      </c>
      <c r="E1891" s="1">
        <v>8.9079999999999995</v>
      </c>
      <c r="F1891" s="1">
        <v>9.0489999999999995</v>
      </c>
      <c r="K1891" s="39">
        <f>DefaultValues!$B$4</f>
        <v>5</v>
      </c>
      <c r="L1891" s="1">
        <f>DefaultValues!$C$4</f>
        <v>0.5</v>
      </c>
      <c r="M1891" s="1" t="str">
        <f>DefaultValues!$D$4</f>
        <v xml:space="preserve">- Within interchange - </v>
      </c>
      <c r="N1891" s="1">
        <v>8.9079999999999995</v>
      </c>
      <c r="O1891" s="1">
        <f>ABS(Table4[[#This Row],[EndMP]]-Table4[[#This Row],[StartMP]])</f>
        <v>0.14100000000000001</v>
      </c>
      <c r="P1891" s="1" t="str">
        <f>IF( AND( Table4[[#This Row],[Route]]=ClosureLocation!$B$3, ClosureLocation!$B$6 &gt;= Table4[[#This Row],[StartMP]], ClosureLocation!$B$6 &lt;= Table4[[#This Row],[EndMP]]), "Yes", "")</f>
        <v/>
      </c>
      <c r="Q1891" s="1" t="str">
        <f>IF( AND( Table4[[#This Row],[Route]]=ClosureLocation!$B$3, ClosureLocation!$B$6 &lt;= Table4[[#This Row],[StartMP]], ClosureLocation!$B$6 &gt;= Table4[[#This Row],[EndMP]]), "Yes", "")</f>
        <v/>
      </c>
      <c r="R1891" s="1" t="str">
        <f>IF( OR( Table4[[#This Row],[PrimaryMatch]]="Yes", Table4[[#This Row],[SecondaryMatch]]="Yes"), "Yes", "")</f>
        <v/>
      </c>
    </row>
    <row r="1892" spans="1:18" hidden="1" x14ac:dyDescent="0.25">
      <c r="A1892" t="s">
        <v>1070</v>
      </c>
      <c r="B1892" t="s">
        <v>3205</v>
      </c>
      <c r="C1892" t="s">
        <v>3206</v>
      </c>
      <c r="D1892" t="s">
        <v>3961</v>
      </c>
      <c r="E1892" s="1">
        <v>9.7899999999999991</v>
      </c>
      <c r="F1892" s="1">
        <v>10</v>
      </c>
      <c r="K1892" s="39">
        <f>DefaultValues!$B$4</f>
        <v>5</v>
      </c>
      <c r="L1892" s="1">
        <f>DefaultValues!$C$4</f>
        <v>0.5</v>
      </c>
      <c r="M1892" s="1" t="str">
        <f>DefaultValues!$D$4</f>
        <v xml:space="preserve">- Within interchange - </v>
      </c>
      <c r="N1892" s="1">
        <v>9.7899999999999991</v>
      </c>
      <c r="O1892" s="1">
        <f>ABS(Table4[[#This Row],[EndMP]]-Table4[[#This Row],[StartMP]])</f>
        <v>0.21000000000000085</v>
      </c>
      <c r="P1892" s="1" t="str">
        <f>IF( AND( Table4[[#This Row],[Route]]=ClosureLocation!$B$3, ClosureLocation!$B$6 &gt;= Table4[[#This Row],[StartMP]], ClosureLocation!$B$6 &lt;= Table4[[#This Row],[EndMP]]), "Yes", "")</f>
        <v/>
      </c>
      <c r="Q1892" s="1" t="str">
        <f>IF( AND( Table4[[#This Row],[Route]]=ClosureLocation!$B$3, ClosureLocation!$B$6 &lt;= Table4[[#This Row],[StartMP]], ClosureLocation!$B$6 &gt;= Table4[[#This Row],[EndMP]]), "Yes", "")</f>
        <v/>
      </c>
      <c r="R1892" s="1" t="str">
        <f>IF( OR( Table4[[#This Row],[PrimaryMatch]]="Yes", Table4[[#This Row],[SecondaryMatch]]="Yes"), "Yes", "")</f>
        <v/>
      </c>
    </row>
    <row r="1893" spans="1:18" hidden="1" x14ac:dyDescent="0.25">
      <c r="A1893" t="s">
        <v>1070</v>
      </c>
      <c r="B1893" t="s">
        <v>3205</v>
      </c>
      <c r="C1893" t="s">
        <v>3206</v>
      </c>
      <c r="D1893" t="s">
        <v>3961</v>
      </c>
      <c r="E1893" s="1">
        <v>14.153</v>
      </c>
      <c r="F1893" s="1">
        <v>14.375999999999999</v>
      </c>
      <c r="K1893" s="39">
        <f>DefaultValues!$B$4</f>
        <v>5</v>
      </c>
      <c r="L1893" s="1">
        <f>DefaultValues!$C$4</f>
        <v>0.5</v>
      </c>
      <c r="M1893" s="1" t="str">
        <f>DefaultValues!$D$4</f>
        <v xml:space="preserve">- Within interchange - </v>
      </c>
      <c r="N1893" s="1">
        <v>14.153</v>
      </c>
      <c r="O1893" s="1">
        <f>ABS(Table4[[#This Row],[EndMP]]-Table4[[#This Row],[StartMP]])</f>
        <v>0.22299999999999898</v>
      </c>
      <c r="P1893" s="1" t="str">
        <f>IF( AND( Table4[[#This Row],[Route]]=ClosureLocation!$B$3, ClosureLocation!$B$6 &gt;= Table4[[#This Row],[StartMP]], ClosureLocation!$B$6 &lt;= Table4[[#This Row],[EndMP]]), "Yes", "")</f>
        <v/>
      </c>
      <c r="Q1893" s="1" t="str">
        <f>IF( AND( Table4[[#This Row],[Route]]=ClosureLocation!$B$3, ClosureLocation!$B$6 &lt;= Table4[[#This Row],[StartMP]], ClosureLocation!$B$6 &gt;= Table4[[#This Row],[EndMP]]), "Yes", "")</f>
        <v/>
      </c>
      <c r="R1893" s="1" t="str">
        <f>IF( OR( Table4[[#This Row],[PrimaryMatch]]="Yes", Table4[[#This Row],[SecondaryMatch]]="Yes"), "Yes", "")</f>
        <v/>
      </c>
    </row>
    <row r="1894" spans="1:18" hidden="1" x14ac:dyDescent="0.25">
      <c r="A1894" t="s">
        <v>1070</v>
      </c>
      <c r="B1894" t="s">
        <v>3209</v>
      </c>
      <c r="C1894" t="s">
        <v>3210</v>
      </c>
      <c r="D1894" t="s">
        <v>3963</v>
      </c>
      <c r="E1894" s="1">
        <v>14.375999999999999</v>
      </c>
      <c r="F1894" s="1">
        <v>14.153</v>
      </c>
      <c r="K1894" s="39">
        <f>DefaultValues!$B$4</f>
        <v>5</v>
      </c>
      <c r="L1894" s="1">
        <f>DefaultValues!$C$4</f>
        <v>0.5</v>
      </c>
      <c r="M1894" s="1" t="str">
        <f>DefaultValues!$D$4</f>
        <v xml:space="preserve">- Within interchange - </v>
      </c>
      <c r="N1894" s="1">
        <v>985.62402299999997</v>
      </c>
      <c r="O1894" s="1">
        <f>ABS(Table4[[#This Row],[EndMP]]-Table4[[#This Row],[StartMP]])</f>
        <v>0.22299999999999898</v>
      </c>
      <c r="P1894" s="1" t="str">
        <f>IF( AND( Table4[[#This Row],[Route]]=ClosureLocation!$B$3, ClosureLocation!$B$6 &gt;= Table4[[#This Row],[StartMP]], ClosureLocation!$B$6 &lt;= Table4[[#This Row],[EndMP]]), "Yes", "")</f>
        <v/>
      </c>
      <c r="Q1894" s="1" t="str">
        <f>IF( AND( Table4[[#This Row],[Route]]=ClosureLocation!$B$3, ClosureLocation!$B$6 &lt;= Table4[[#This Row],[StartMP]], ClosureLocation!$B$6 &gt;= Table4[[#This Row],[EndMP]]), "Yes", "")</f>
        <v/>
      </c>
      <c r="R1894" s="1" t="str">
        <f>IF( OR( Table4[[#This Row],[PrimaryMatch]]="Yes", Table4[[#This Row],[SecondaryMatch]]="Yes"), "Yes", "")</f>
        <v/>
      </c>
    </row>
    <row r="1895" spans="1:18" hidden="1" x14ac:dyDescent="0.25">
      <c r="A1895" t="s">
        <v>1070</v>
      </c>
      <c r="B1895" t="s">
        <v>3209</v>
      </c>
      <c r="C1895" t="s">
        <v>3210</v>
      </c>
      <c r="D1895" t="s">
        <v>3963</v>
      </c>
      <c r="E1895" s="1">
        <v>10</v>
      </c>
      <c r="F1895" s="1">
        <v>9.7899999999999991</v>
      </c>
      <c r="K1895" s="39">
        <f>DefaultValues!$B$4</f>
        <v>5</v>
      </c>
      <c r="L1895" s="1">
        <f>DefaultValues!$C$4</f>
        <v>0.5</v>
      </c>
      <c r="M1895" s="1" t="str">
        <f>DefaultValues!$D$4</f>
        <v xml:space="preserve">- Within interchange - </v>
      </c>
      <c r="N1895" s="1">
        <v>990</v>
      </c>
      <c r="O1895" s="1">
        <f>ABS(Table4[[#This Row],[EndMP]]-Table4[[#This Row],[StartMP]])</f>
        <v>0.21000000000000085</v>
      </c>
      <c r="P1895" s="1" t="str">
        <f>IF( AND( Table4[[#This Row],[Route]]=ClosureLocation!$B$3, ClosureLocation!$B$6 &gt;= Table4[[#This Row],[StartMP]], ClosureLocation!$B$6 &lt;= Table4[[#This Row],[EndMP]]), "Yes", "")</f>
        <v/>
      </c>
      <c r="Q1895" s="1" t="str">
        <f>IF( AND( Table4[[#This Row],[Route]]=ClosureLocation!$B$3, ClosureLocation!$B$6 &lt;= Table4[[#This Row],[StartMP]], ClosureLocation!$B$6 &gt;= Table4[[#This Row],[EndMP]]), "Yes", "")</f>
        <v/>
      </c>
      <c r="R1895" s="1" t="str">
        <f>IF( OR( Table4[[#This Row],[PrimaryMatch]]="Yes", Table4[[#This Row],[SecondaryMatch]]="Yes"), "Yes", "")</f>
        <v/>
      </c>
    </row>
    <row r="1896" spans="1:18" hidden="1" x14ac:dyDescent="0.25">
      <c r="A1896" t="s">
        <v>1070</v>
      </c>
      <c r="B1896" t="s">
        <v>3209</v>
      </c>
      <c r="C1896" t="s">
        <v>3210</v>
      </c>
      <c r="D1896" t="s">
        <v>3963</v>
      </c>
      <c r="E1896" s="1">
        <v>9.0489999999999995</v>
      </c>
      <c r="F1896" s="1">
        <v>8.9079999999999995</v>
      </c>
      <c r="K1896" s="39">
        <f>DefaultValues!$B$4</f>
        <v>5</v>
      </c>
      <c r="L1896" s="1">
        <f>DefaultValues!$C$4</f>
        <v>0.5</v>
      </c>
      <c r="M1896" s="1" t="str">
        <f>DefaultValues!$D$4</f>
        <v xml:space="preserve">- Within interchange - </v>
      </c>
      <c r="N1896" s="1">
        <v>990.95098900000005</v>
      </c>
      <c r="O1896" s="1">
        <f>ABS(Table4[[#This Row],[EndMP]]-Table4[[#This Row],[StartMP]])</f>
        <v>0.14100000000000001</v>
      </c>
      <c r="P1896" s="1" t="str">
        <f>IF( AND( Table4[[#This Row],[Route]]=ClosureLocation!$B$3, ClosureLocation!$B$6 &gt;= Table4[[#This Row],[StartMP]], ClosureLocation!$B$6 &lt;= Table4[[#This Row],[EndMP]]), "Yes", "")</f>
        <v/>
      </c>
      <c r="Q1896" s="1" t="str">
        <f>IF( AND( Table4[[#This Row],[Route]]=ClosureLocation!$B$3, ClosureLocation!$B$6 &lt;= Table4[[#This Row],[StartMP]], ClosureLocation!$B$6 &gt;= Table4[[#This Row],[EndMP]]), "Yes", "")</f>
        <v/>
      </c>
      <c r="R1896" s="1" t="str">
        <f>IF( OR( Table4[[#This Row],[PrimaryMatch]]="Yes", Table4[[#This Row],[SecondaryMatch]]="Yes"), "Yes", "")</f>
        <v/>
      </c>
    </row>
    <row r="1897" spans="1:18" hidden="1" x14ac:dyDescent="0.25">
      <c r="A1897" t="s">
        <v>1070</v>
      </c>
      <c r="B1897" t="s">
        <v>3209</v>
      </c>
      <c r="C1897" t="s">
        <v>3210</v>
      </c>
      <c r="D1897" t="s">
        <v>3963</v>
      </c>
      <c r="E1897" s="1">
        <v>5.0460000000000003</v>
      </c>
      <c r="F1897" s="1">
        <v>4.9740000000000002</v>
      </c>
      <c r="K1897" s="39">
        <f>DefaultValues!$B$4</f>
        <v>5</v>
      </c>
      <c r="L1897" s="1">
        <f>DefaultValues!$C$4</f>
        <v>0.5</v>
      </c>
      <c r="M1897" s="1" t="str">
        <f>DefaultValues!$D$4</f>
        <v xml:space="preserve">- Within interchange - </v>
      </c>
      <c r="N1897" s="1">
        <v>994.953979</v>
      </c>
      <c r="O1897" s="1">
        <f>ABS(Table4[[#This Row],[EndMP]]-Table4[[#This Row],[StartMP]])</f>
        <v>7.2000000000000064E-2</v>
      </c>
      <c r="P1897" s="1" t="str">
        <f>IF( AND( Table4[[#This Row],[Route]]=ClosureLocation!$B$3, ClosureLocation!$B$6 &gt;= Table4[[#This Row],[StartMP]], ClosureLocation!$B$6 &lt;= Table4[[#This Row],[EndMP]]), "Yes", "")</f>
        <v/>
      </c>
      <c r="Q1897" s="1" t="str">
        <f>IF( AND( Table4[[#This Row],[Route]]=ClosureLocation!$B$3, ClosureLocation!$B$6 &lt;= Table4[[#This Row],[StartMP]], ClosureLocation!$B$6 &gt;= Table4[[#This Row],[EndMP]]), "Yes", "")</f>
        <v/>
      </c>
      <c r="R1897" s="1" t="str">
        <f>IF( OR( Table4[[#This Row],[PrimaryMatch]]="Yes", Table4[[#This Row],[SecondaryMatch]]="Yes"), "Yes", "")</f>
        <v/>
      </c>
    </row>
    <row r="1898" spans="1:18" hidden="1" x14ac:dyDescent="0.25">
      <c r="A1898" t="s">
        <v>1070</v>
      </c>
      <c r="B1898" t="s">
        <v>3209</v>
      </c>
      <c r="C1898" t="s">
        <v>3210</v>
      </c>
      <c r="D1898" t="s">
        <v>3963</v>
      </c>
      <c r="E1898" s="1">
        <v>0.10100000000000001</v>
      </c>
      <c r="F1898" s="1">
        <v>0</v>
      </c>
      <c r="K1898" s="39">
        <f>DefaultValues!$B$4</f>
        <v>5</v>
      </c>
      <c r="L1898" s="1">
        <f>DefaultValues!$C$4</f>
        <v>0.5</v>
      </c>
      <c r="M1898" s="1" t="str">
        <f>DefaultValues!$D$4</f>
        <v xml:space="preserve">- Within interchange - </v>
      </c>
      <c r="N1898" s="1">
        <v>999.89898700000003</v>
      </c>
      <c r="O1898" s="1">
        <f>ABS(Table4[[#This Row],[EndMP]]-Table4[[#This Row],[StartMP]])</f>
        <v>0.10100000000000001</v>
      </c>
      <c r="P1898" s="1" t="str">
        <f>IF( AND( Table4[[#This Row],[Route]]=ClosureLocation!$B$3, ClosureLocation!$B$6 &gt;= Table4[[#This Row],[StartMP]], ClosureLocation!$B$6 &lt;= Table4[[#This Row],[EndMP]]), "Yes", "")</f>
        <v/>
      </c>
      <c r="Q1898" s="1" t="str">
        <f>IF( AND( Table4[[#This Row],[Route]]=ClosureLocation!$B$3, ClosureLocation!$B$6 &lt;= Table4[[#This Row],[StartMP]], ClosureLocation!$B$6 &gt;= Table4[[#This Row],[EndMP]]), "Yes", "")</f>
        <v/>
      </c>
      <c r="R1898" s="1" t="str">
        <f>IF( OR( Table4[[#This Row],[PrimaryMatch]]="Yes", Table4[[#This Row],[SecondaryMatch]]="Yes"), "Yes", "")</f>
        <v/>
      </c>
    </row>
    <row r="1899" spans="1:18" hidden="1" x14ac:dyDescent="0.25">
      <c r="A1899" t="s">
        <v>1072</v>
      </c>
      <c r="B1899" t="s">
        <v>3205</v>
      </c>
      <c r="C1899" t="s">
        <v>3222</v>
      </c>
      <c r="D1899" t="s">
        <v>3965</v>
      </c>
      <c r="E1899" s="1">
        <v>58.652999999999999</v>
      </c>
      <c r="F1899" s="1">
        <v>58.811999999999998</v>
      </c>
      <c r="K1899" s="39">
        <f>DefaultValues!$B$4</f>
        <v>5</v>
      </c>
      <c r="L1899" s="1">
        <f>DefaultValues!$C$4</f>
        <v>0.5</v>
      </c>
      <c r="M1899" s="1" t="str">
        <f>DefaultValues!$D$4</f>
        <v xml:space="preserve">- Within interchange - </v>
      </c>
      <c r="N1899" s="1">
        <v>58.652999999999999</v>
      </c>
      <c r="O1899" s="1">
        <f>ABS(Table4[[#This Row],[EndMP]]-Table4[[#This Row],[StartMP]])</f>
        <v>0.15899999999999892</v>
      </c>
      <c r="P1899" s="1" t="str">
        <f>IF( AND( Table4[[#This Row],[Route]]=ClosureLocation!$B$3, ClosureLocation!$B$6 &gt;= Table4[[#This Row],[StartMP]], ClosureLocation!$B$6 &lt;= Table4[[#This Row],[EndMP]]), "Yes", "")</f>
        <v/>
      </c>
      <c r="Q1899" s="1" t="str">
        <f>IF( AND( Table4[[#This Row],[Route]]=ClosureLocation!$B$3, ClosureLocation!$B$6 &lt;= Table4[[#This Row],[StartMP]], ClosureLocation!$B$6 &gt;= Table4[[#This Row],[EndMP]]), "Yes", "")</f>
        <v/>
      </c>
      <c r="R1899" s="1" t="str">
        <f>IF( OR( Table4[[#This Row],[PrimaryMatch]]="Yes", Table4[[#This Row],[SecondaryMatch]]="Yes"), "Yes", "")</f>
        <v/>
      </c>
    </row>
    <row r="1900" spans="1:18" hidden="1" x14ac:dyDescent="0.25">
      <c r="A1900" t="s">
        <v>1072</v>
      </c>
      <c r="B1900" t="s">
        <v>3209</v>
      </c>
      <c r="C1900" t="s">
        <v>3226</v>
      </c>
      <c r="D1900" t="s">
        <v>3969</v>
      </c>
      <c r="E1900" s="1">
        <v>58.811999999999998</v>
      </c>
      <c r="F1900" s="1">
        <v>58.652999999999999</v>
      </c>
      <c r="K1900" s="39">
        <f>DefaultValues!$B$4</f>
        <v>5</v>
      </c>
      <c r="L1900" s="1">
        <f>DefaultValues!$C$4</f>
        <v>0.5</v>
      </c>
      <c r="M1900" s="1" t="str">
        <f>DefaultValues!$D$4</f>
        <v xml:space="preserve">- Within interchange - </v>
      </c>
      <c r="N1900" s="1">
        <v>941.18798800000002</v>
      </c>
      <c r="O1900" s="1">
        <f>ABS(Table4[[#This Row],[EndMP]]-Table4[[#This Row],[StartMP]])</f>
        <v>0.15899999999999892</v>
      </c>
      <c r="P1900" s="1" t="str">
        <f>IF( AND( Table4[[#This Row],[Route]]=ClosureLocation!$B$3, ClosureLocation!$B$6 &gt;= Table4[[#This Row],[StartMP]], ClosureLocation!$B$6 &lt;= Table4[[#This Row],[EndMP]]), "Yes", "")</f>
        <v/>
      </c>
      <c r="Q1900" s="1" t="str">
        <f>IF( AND( Table4[[#This Row],[Route]]=ClosureLocation!$B$3, ClosureLocation!$B$6 &lt;= Table4[[#This Row],[StartMP]], ClosureLocation!$B$6 &gt;= Table4[[#This Row],[EndMP]]), "Yes", "")</f>
        <v/>
      </c>
      <c r="R1900" s="1" t="str">
        <f>IF( OR( Table4[[#This Row],[PrimaryMatch]]="Yes", Table4[[#This Row],[SecondaryMatch]]="Yes"), "Yes", "")</f>
        <v/>
      </c>
    </row>
    <row r="1901" spans="1:18" hidden="1" x14ac:dyDescent="0.25">
      <c r="A1901" t="s">
        <v>1105</v>
      </c>
      <c r="B1901" t="s">
        <v>3205</v>
      </c>
      <c r="C1901" t="s">
        <v>3210</v>
      </c>
      <c r="D1901" t="s">
        <v>4675</v>
      </c>
      <c r="E1901" s="1">
        <v>9.5000000000000001E-2</v>
      </c>
      <c r="F1901" s="1">
        <v>0.17199999999999999</v>
      </c>
      <c r="K1901" s="39">
        <f>DefaultValues!$B$4</f>
        <v>5</v>
      </c>
      <c r="L1901" s="1">
        <f>DefaultValues!$C$4</f>
        <v>0.5</v>
      </c>
      <c r="M1901" s="1" t="str">
        <f>DefaultValues!$D$4</f>
        <v xml:space="preserve">- Within interchange - </v>
      </c>
      <c r="N1901" s="1">
        <v>9.5000000000000001E-2</v>
      </c>
      <c r="O1901" s="1">
        <f>ABS(Table4[[#This Row],[EndMP]]-Table4[[#This Row],[StartMP]])</f>
        <v>7.6999999999999985E-2</v>
      </c>
      <c r="P1901" s="1" t="str">
        <f>IF( AND( Table4[[#This Row],[Route]]=ClosureLocation!$B$3, ClosureLocation!$B$6 &gt;= Table4[[#This Row],[StartMP]], ClosureLocation!$B$6 &lt;= Table4[[#This Row],[EndMP]]), "Yes", "")</f>
        <v/>
      </c>
      <c r="Q1901" s="1" t="str">
        <f>IF( AND( Table4[[#This Row],[Route]]=ClosureLocation!$B$3, ClosureLocation!$B$6 &lt;= Table4[[#This Row],[StartMP]], ClosureLocation!$B$6 &gt;= Table4[[#This Row],[EndMP]]), "Yes", "")</f>
        <v/>
      </c>
      <c r="R1901" s="1" t="str">
        <f>IF( OR( Table4[[#This Row],[PrimaryMatch]]="Yes", Table4[[#This Row],[SecondaryMatch]]="Yes"), "Yes", "")</f>
        <v/>
      </c>
    </row>
    <row r="1902" spans="1:18" hidden="1" x14ac:dyDescent="0.25">
      <c r="A1902" t="s">
        <v>1105</v>
      </c>
      <c r="B1902" t="s">
        <v>3209</v>
      </c>
      <c r="C1902" t="s">
        <v>3206</v>
      </c>
      <c r="D1902" t="s">
        <v>4676</v>
      </c>
      <c r="E1902" s="1">
        <v>0.17199999999999999</v>
      </c>
      <c r="F1902" s="1">
        <v>9.5000000000000001E-2</v>
      </c>
      <c r="K1902" s="39">
        <f>DefaultValues!$B$4</f>
        <v>5</v>
      </c>
      <c r="L1902" s="1">
        <f>DefaultValues!$C$4</f>
        <v>0.5</v>
      </c>
      <c r="M1902" s="1" t="str">
        <f>DefaultValues!$D$4</f>
        <v xml:space="preserve">- Within interchange - </v>
      </c>
      <c r="N1902" s="1">
        <v>999.82800299999997</v>
      </c>
      <c r="O1902" s="1">
        <f>ABS(Table4[[#This Row],[EndMP]]-Table4[[#This Row],[StartMP]])</f>
        <v>7.6999999999999985E-2</v>
      </c>
      <c r="P1902" s="1" t="str">
        <f>IF( AND( Table4[[#This Row],[Route]]=ClosureLocation!$B$3, ClosureLocation!$B$6 &gt;= Table4[[#This Row],[StartMP]], ClosureLocation!$B$6 &lt;= Table4[[#This Row],[EndMP]]), "Yes", "")</f>
        <v/>
      </c>
      <c r="Q1902" s="1" t="str">
        <f>IF( AND( Table4[[#This Row],[Route]]=ClosureLocation!$B$3, ClosureLocation!$B$6 &lt;= Table4[[#This Row],[StartMP]], ClosureLocation!$B$6 &gt;= Table4[[#This Row],[EndMP]]), "Yes", "")</f>
        <v/>
      </c>
      <c r="R1902" s="1" t="str">
        <f>IF( OR( Table4[[#This Row],[PrimaryMatch]]="Yes", Table4[[#This Row],[SecondaryMatch]]="Yes"), "Yes", "")</f>
        <v/>
      </c>
    </row>
    <row r="1903" spans="1:18" hidden="1" x14ac:dyDescent="0.25">
      <c r="A1903" t="s">
        <v>1110</v>
      </c>
      <c r="B1903" t="s">
        <v>3205</v>
      </c>
      <c r="C1903" t="s">
        <v>3226</v>
      </c>
      <c r="D1903" t="s">
        <v>4677</v>
      </c>
      <c r="E1903" s="1">
        <v>4.9029999999999996</v>
      </c>
      <c r="F1903" s="1">
        <v>5.2889999999999997</v>
      </c>
      <c r="K1903" s="39">
        <f>DefaultValues!$B$4</f>
        <v>5</v>
      </c>
      <c r="L1903" s="1">
        <f>DefaultValues!$C$4</f>
        <v>0.5</v>
      </c>
      <c r="M1903" s="1" t="str">
        <f>DefaultValues!$D$4</f>
        <v xml:space="preserve">- Within interchange - </v>
      </c>
      <c r="N1903" s="1">
        <v>4.9029999999999996</v>
      </c>
      <c r="O1903" s="1">
        <f>ABS(Table4[[#This Row],[EndMP]]-Table4[[#This Row],[StartMP]])</f>
        <v>0.38600000000000012</v>
      </c>
      <c r="P1903" s="1" t="str">
        <f>IF( AND( Table4[[#This Row],[Route]]=ClosureLocation!$B$3, ClosureLocation!$B$6 &gt;= Table4[[#This Row],[StartMP]], ClosureLocation!$B$6 &lt;= Table4[[#This Row],[EndMP]]), "Yes", "")</f>
        <v/>
      </c>
      <c r="Q1903" s="1" t="str">
        <f>IF( AND( Table4[[#This Row],[Route]]=ClosureLocation!$B$3, ClosureLocation!$B$6 &lt;= Table4[[#This Row],[StartMP]], ClosureLocation!$B$6 &gt;= Table4[[#This Row],[EndMP]]), "Yes", "")</f>
        <v/>
      </c>
      <c r="R1903" s="1" t="str">
        <f>IF( OR( Table4[[#This Row],[PrimaryMatch]]="Yes", Table4[[#This Row],[SecondaryMatch]]="Yes"), "Yes", "")</f>
        <v/>
      </c>
    </row>
    <row r="1904" spans="1:18" hidden="1" x14ac:dyDescent="0.25">
      <c r="A1904" t="s">
        <v>1110</v>
      </c>
      <c r="B1904" t="s">
        <v>3209</v>
      </c>
      <c r="C1904" t="s">
        <v>3222</v>
      </c>
      <c r="D1904" t="s">
        <v>4678</v>
      </c>
      <c r="E1904" s="1">
        <v>5.2889999999999997</v>
      </c>
      <c r="F1904" s="1">
        <v>4.9029999999999996</v>
      </c>
      <c r="K1904" s="39">
        <f>DefaultValues!$B$4</f>
        <v>5</v>
      </c>
      <c r="L1904" s="1">
        <f>DefaultValues!$C$4</f>
        <v>0.5</v>
      </c>
      <c r="M1904" s="1" t="str">
        <f>DefaultValues!$D$4</f>
        <v xml:space="preserve">- Within interchange - </v>
      </c>
      <c r="N1904" s="1">
        <v>994.71099900000002</v>
      </c>
      <c r="O1904" s="1">
        <f>ABS(Table4[[#This Row],[EndMP]]-Table4[[#This Row],[StartMP]])</f>
        <v>0.38600000000000012</v>
      </c>
      <c r="P1904" s="1" t="str">
        <f>IF( AND( Table4[[#This Row],[Route]]=ClosureLocation!$B$3, ClosureLocation!$B$6 &gt;= Table4[[#This Row],[StartMP]], ClosureLocation!$B$6 &lt;= Table4[[#This Row],[EndMP]]), "Yes", "")</f>
        <v/>
      </c>
      <c r="Q1904" s="1" t="str">
        <f>IF( AND( Table4[[#This Row],[Route]]=ClosureLocation!$B$3, ClosureLocation!$B$6 &lt;= Table4[[#This Row],[StartMP]], ClosureLocation!$B$6 &gt;= Table4[[#This Row],[EndMP]]), "Yes", "")</f>
        <v/>
      </c>
      <c r="R1904" s="1" t="str">
        <f>IF( OR( Table4[[#This Row],[PrimaryMatch]]="Yes", Table4[[#This Row],[SecondaryMatch]]="Yes"), "Yes", "")</f>
        <v/>
      </c>
    </row>
    <row r="1905" spans="1:18" hidden="1" x14ac:dyDescent="0.25">
      <c r="A1905" t="s">
        <v>1140</v>
      </c>
      <c r="B1905" t="s">
        <v>3205</v>
      </c>
      <c r="C1905" t="s">
        <v>3206</v>
      </c>
      <c r="D1905" t="s">
        <v>4008</v>
      </c>
      <c r="E1905" s="1">
        <v>13.911</v>
      </c>
      <c r="F1905" s="1">
        <v>13.978999999999999</v>
      </c>
      <c r="K1905" s="39">
        <f>DefaultValues!$B$4</f>
        <v>5</v>
      </c>
      <c r="L1905" s="1">
        <f>DefaultValues!$C$4</f>
        <v>0.5</v>
      </c>
      <c r="M1905" s="1" t="str">
        <f>DefaultValues!$D$4</f>
        <v xml:space="preserve">- Within interchange - </v>
      </c>
      <c r="N1905" s="1">
        <v>13.911</v>
      </c>
      <c r="O1905" s="1">
        <f>ABS(Table4[[#This Row],[EndMP]]-Table4[[#This Row],[StartMP]])</f>
        <v>6.7999999999999616E-2</v>
      </c>
      <c r="P1905" s="1" t="str">
        <f>IF( AND( Table4[[#This Row],[Route]]=ClosureLocation!$B$3, ClosureLocation!$B$6 &gt;= Table4[[#This Row],[StartMP]], ClosureLocation!$B$6 &lt;= Table4[[#This Row],[EndMP]]), "Yes", "")</f>
        <v/>
      </c>
      <c r="Q1905" s="1" t="str">
        <f>IF( AND( Table4[[#This Row],[Route]]=ClosureLocation!$B$3, ClosureLocation!$B$6 &lt;= Table4[[#This Row],[StartMP]], ClosureLocation!$B$6 &gt;= Table4[[#This Row],[EndMP]]), "Yes", "")</f>
        <v/>
      </c>
      <c r="R1905" s="1" t="str">
        <f>IF( OR( Table4[[#This Row],[PrimaryMatch]]="Yes", Table4[[#This Row],[SecondaryMatch]]="Yes"), "Yes", "")</f>
        <v/>
      </c>
    </row>
    <row r="1906" spans="1:18" hidden="1" x14ac:dyDescent="0.25">
      <c r="A1906" t="s">
        <v>1140</v>
      </c>
      <c r="B1906" t="s">
        <v>3205</v>
      </c>
      <c r="C1906" t="s">
        <v>3206</v>
      </c>
      <c r="D1906" t="s">
        <v>4008</v>
      </c>
      <c r="E1906" s="1">
        <v>42.505001</v>
      </c>
      <c r="F1906" s="1">
        <v>42.965000000000003</v>
      </c>
      <c r="K1906" s="39">
        <f>DefaultValues!$B$4</f>
        <v>5</v>
      </c>
      <c r="L1906" s="1">
        <f>DefaultValues!$C$4</f>
        <v>0.5</v>
      </c>
      <c r="M1906" s="1" t="str">
        <f>DefaultValues!$D$4</f>
        <v xml:space="preserve">- Within interchange - </v>
      </c>
      <c r="N1906" s="1">
        <v>42.505001</v>
      </c>
      <c r="O1906" s="1">
        <f>ABS(Table4[[#This Row],[EndMP]]-Table4[[#This Row],[StartMP]])</f>
        <v>0.45999900000000338</v>
      </c>
      <c r="P1906" s="1" t="str">
        <f>IF( AND( Table4[[#This Row],[Route]]=ClosureLocation!$B$3, ClosureLocation!$B$6 &gt;= Table4[[#This Row],[StartMP]], ClosureLocation!$B$6 &lt;= Table4[[#This Row],[EndMP]]), "Yes", "")</f>
        <v/>
      </c>
      <c r="Q1906" s="1" t="str">
        <f>IF( AND( Table4[[#This Row],[Route]]=ClosureLocation!$B$3, ClosureLocation!$B$6 &lt;= Table4[[#This Row],[StartMP]], ClosureLocation!$B$6 &gt;= Table4[[#This Row],[EndMP]]), "Yes", "")</f>
        <v/>
      </c>
      <c r="R1906" s="1" t="str">
        <f>IF( OR( Table4[[#This Row],[PrimaryMatch]]="Yes", Table4[[#This Row],[SecondaryMatch]]="Yes"), "Yes", "")</f>
        <v/>
      </c>
    </row>
    <row r="1907" spans="1:18" hidden="1" x14ac:dyDescent="0.25">
      <c r="A1907" t="s">
        <v>1140</v>
      </c>
      <c r="B1907" t="s">
        <v>3205</v>
      </c>
      <c r="C1907" t="s">
        <v>3206</v>
      </c>
      <c r="D1907" t="s">
        <v>4008</v>
      </c>
      <c r="E1907" s="1">
        <v>43.571998999999998</v>
      </c>
      <c r="F1907" s="1">
        <v>44.042000000000002</v>
      </c>
      <c r="K1907" s="39">
        <f>DefaultValues!$B$4</f>
        <v>5</v>
      </c>
      <c r="L1907" s="1">
        <f>DefaultValues!$C$4</f>
        <v>0.5</v>
      </c>
      <c r="M1907" s="1" t="str">
        <f>DefaultValues!$D$4</f>
        <v xml:space="preserve">- Within interchange - </v>
      </c>
      <c r="N1907" s="1">
        <v>43.571998999999998</v>
      </c>
      <c r="O1907" s="1">
        <f>ABS(Table4[[#This Row],[EndMP]]-Table4[[#This Row],[StartMP]])</f>
        <v>0.47000100000000344</v>
      </c>
      <c r="P1907" s="1" t="str">
        <f>IF( AND( Table4[[#This Row],[Route]]=ClosureLocation!$B$3, ClosureLocation!$B$6 &gt;= Table4[[#This Row],[StartMP]], ClosureLocation!$B$6 &lt;= Table4[[#This Row],[EndMP]]), "Yes", "")</f>
        <v/>
      </c>
      <c r="Q1907" s="1" t="str">
        <f>IF( AND( Table4[[#This Row],[Route]]=ClosureLocation!$B$3, ClosureLocation!$B$6 &lt;= Table4[[#This Row],[StartMP]], ClosureLocation!$B$6 &gt;= Table4[[#This Row],[EndMP]]), "Yes", "")</f>
        <v/>
      </c>
      <c r="R1907" s="1" t="str">
        <f>IF( OR( Table4[[#This Row],[PrimaryMatch]]="Yes", Table4[[#This Row],[SecondaryMatch]]="Yes"), "Yes", "")</f>
        <v/>
      </c>
    </row>
    <row r="1908" spans="1:18" hidden="1" x14ac:dyDescent="0.25">
      <c r="A1908" t="s">
        <v>1140</v>
      </c>
      <c r="B1908" t="s">
        <v>3205</v>
      </c>
      <c r="C1908" t="s">
        <v>3206</v>
      </c>
      <c r="D1908" t="s">
        <v>4008</v>
      </c>
      <c r="E1908" s="1">
        <v>46.015999000000001</v>
      </c>
      <c r="F1908" s="1">
        <v>46.48</v>
      </c>
      <c r="K1908" s="39">
        <f>DefaultValues!$B$4</f>
        <v>5</v>
      </c>
      <c r="L1908" s="1">
        <f>DefaultValues!$C$4</f>
        <v>0.5</v>
      </c>
      <c r="M1908" s="1" t="str">
        <f>DefaultValues!$D$4</f>
        <v xml:space="preserve">- Within interchange - </v>
      </c>
      <c r="N1908" s="1">
        <v>46.015999000000001</v>
      </c>
      <c r="O1908" s="1">
        <f>ABS(Table4[[#This Row],[EndMP]]-Table4[[#This Row],[StartMP]])</f>
        <v>0.46400099999999611</v>
      </c>
      <c r="P1908" s="1" t="str">
        <f>IF( AND( Table4[[#This Row],[Route]]=ClosureLocation!$B$3, ClosureLocation!$B$6 &gt;= Table4[[#This Row],[StartMP]], ClosureLocation!$B$6 &lt;= Table4[[#This Row],[EndMP]]), "Yes", "")</f>
        <v/>
      </c>
      <c r="Q1908" s="1" t="str">
        <f>IF( AND( Table4[[#This Row],[Route]]=ClosureLocation!$B$3, ClosureLocation!$B$6 &lt;= Table4[[#This Row],[StartMP]], ClosureLocation!$B$6 &gt;= Table4[[#This Row],[EndMP]]), "Yes", "")</f>
        <v/>
      </c>
      <c r="R1908" s="1" t="str">
        <f>IF( OR( Table4[[#This Row],[PrimaryMatch]]="Yes", Table4[[#This Row],[SecondaryMatch]]="Yes"), "Yes", "")</f>
        <v/>
      </c>
    </row>
    <row r="1909" spans="1:18" hidden="1" x14ac:dyDescent="0.25">
      <c r="A1909" t="s">
        <v>1140</v>
      </c>
      <c r="B1909" t="s">
        <v>3205</v>
      </c>
      <c r="C1909" t="s">
        <v>3206</v>
      </c>
      <c r="D1909" t="s">
        <v>4008</v>
      </c>
      <c r="E1909" s="1">
        <v>47.417000000000002</v>
      </c>
      <c r="F1909" s="1">
        <v>47.495998</v>
      </c>
      <c r="K1909" s="39">
        <f>DefaultValues!$B$4</f>
        <v>5</v>
      </c>
      <c r="L1909" s="1">
        <f>DefaultValues!$C$4</f>
        <v>0.5</v>
      </c>
      <c r="M1909" s="1" t="str">
        <f>DefaultValues!$D$4</f>
        <v xml:space="preserve">- Within interchange - </v>
      </c>
      <c r="N1909" s="1">
        <v>47.417000000000002</v>
      </c>
      <c r="O1909" s="1">
        <f>ABS(Table4[[#This Row],[EndMP]]-Table4[[#This Row],[StartMP]])</f>
        <v>7.8997999999998569E-2</v>
      </c>
      <c r="P1909" s="1" t="str">
        <f>IF( AND( Table4[[#This Row],[Route]]=ClosureLocation!$B$3, ClosureLocation!$B$6 &gt;= Table4[[#This Row],[StartMP]], ClosureLocation!$B$6 &lt;= Table4[[#This Row],[EndMP]]), "Yes", "")</f>
        <v/>
      </c>
      <c r="Q1909" s="1" t="str">
        <f>IF( AND( Table4[[#This Row],[Route]]=ClosureLocation!$B$3, ClosureLocation!$B$6 &lt;= Table4[[#This Row],[StartMP]], ClosureLocation!$B$6 &gt;= Table4[[#This Row],[EndMP]]), "Yes", "")</f>
        <v/>
      </c>
      <c r="R1909" s="1" t="str">
        <f>IF( OR( Table4[[#This Row],[PrimaryMatch]]="Yes", Table4[[#This Row],[SecondaryMatch]]="Yes"), "Yes", "")</f>
        <v/>
      </c>
    </row>
    <row r="1910" spans="1:18" hidden="1" x14ac:dyDescent="0.25">
      <c r="A1910" t="s">
        <v>1140</v>
      </c>
      <c r="B1910" t="s">
        <v>3209</v>
      </c>
      <c r="C1910" t="s">
        <v>3210</v>
      </c>
      <c r="D1910" t="s">
        <v>4011</v>
      </c>
      <c r="E1910" s="1">
        <v>47.495998</v>
      </c>
      <c r="F1910" s="1">
        <v>47.417000000000002</v>
      </c>
      <c r="K1910" s="39">
        <f>DefaultValues!$B$4</f>
        <v>5</v>
      </c>
      <c r="L1910" s="1">
        <f>DefaultValues!$C$4</f>
        <v>0.5</v>
      </c>
      <c r="M1910" s="1" t="str">
        <f>DefaultValues!$D$4</f>
        <v xml:space="preserve">- Within interchange - </v>
      </c>
      <c r="N1910" s="1">
        <v>952.50402799999995</v>
      </c>
      <c r="O1910" s="1">
        <f>ABS(Table4[[#This Row],[EndMP]]-Table4[[#This Row],[StartMP]])</f>
        <v>7.8997999999998569E-2</v>
      </c>
      <c r="P1910" s="1" t="str">
        <f>IF( AND( Table4[[#This Row],[Route]]=ClosureLocation!$B$3, ClosureLocation!$B$6 &gt;= Table4[[#This Row],[StartMP]], ClosureLocation!$B$6 &lt;= Table4[[#This Row],[EndMP]]), "Yes", "")</f>
        <v/>
      </c>
      <c r="Q1910" s="1" t="str">
        <f>IF( AND( Table4[[#This Row],[Route]]=ClosureLocation!$B$3, ClosureLocation!$B$6 &lt;= Table4[[#This Row],[StartMP]], ClosureLocation!$B$6 &gt;= Table4[[#This Row],[EndMP]]), "Yes", "")</f>
        <v/>
      </c>
      <c r="R1910" s="1" t="str">
        <f>IF( OR( Table4[[#This Row],[PrimaryMatch]]="Yes", Table4[[#This Row],[SecondaryMatch]]="Yes"), "Yes", "")</f>
        <v/>
      </c>
    </row>
    <row r="1911" spans="1:18" hidden="1" x14ac:dyDescent="0.25">
      <c r="A1911" t="s">
        <v>1140</v>
      </c>
      <c r="B1911" t="s">
        <v>3209</v>
      </c>
      <c r="C1911" t="s">
        <v>3210</v>
      </c>
      <c r="D1911" t="s">
        <v>4011</v>
      </c>
      <c r="E1911" s="1">
        <v>46.48</v>
      </c>
      <c r="F1911" s="1">
        <v>46.015999000000001</v>
      </c>
      <c r="K1911" s="39">
        <f>DefaultValues!$B$4</f>
        <v>5</v>
      </c>
      <c r="L1911" s="1">
        <f>DefaultValues!$C$4</f>
        <v>0.5</v>
      </c>
      <c r="M1911" s="1" t="str">
        <f>DefaultValues!$D$4</f>
        <v xml:space="preserve">- Within interchange - </v>
      </c>
      <c r="N1911" s="1">
        <v>953.52002000000005</v>
      </c>
      <c r="O1911" s="1">
        <f>ABS(Table4[[#This Row],[EndMP]]-Table4[[#This Row],[StartMP]])</f>
        <v>0.46400099999999611</v>
      </c>
      <c r="P1911" s="1" t="str">
        <f>IF( AND( Table4[[#This Row],[Route]]=ClosureLocation!$B$3, ClosureLocation!$B$6 &gt;= Table4[[#This Row],[StartMP]], ClosureLocation!$B$6 &lt;= Table4[[#This Row],[EndMP]]), "Yes", "")</f>
        <v/>
      </c>
      <c r="Q1911" s="1" t="str">
        <f>IF( AND( Table4[[#This Row],[Route]]=ClosureLocation!$B$3, ClosureLocation!$B$6 &lt;= Table4[[#This Row],[StartMP]], ClosureLocation!$B$6 &gt;= Table4[[#This Row],[EndMP]]), "Yes", "")</f>
        <v/>
      </c>
      <c r="R1911" s="1" t="str">
        <f>IF( OR( Table4[[#This Row],[PrimaryMatch]]="Yes", Table4[[#This Row],[SecondaryMatch]]="Yes"), "Yes", "")</f>
        <v/>
      </c>
    </row>
    <row r="1912" spans="1:18" hidden="1" x14ac:dyDescent="0.25">
      <c r="A1912" t="s">
        <v>1140</v>
      </c>
      <c r="B1912" t="s">
        <v>3209</v>
      </c>
      <c r="C1912" t="s">
        <v>3210</v>
      </c>
      <c r="D1912" t="s">
        <v>4011</v>
      </c>
      <c r="E1912" s="1">
        <v>44.042000000000002</v>
      </c>
      <c r="F1912" s="1">
        <v>43.571998999999998</v>
      </c>
      <c r="K1912" s="39">
        <f>DefaultValues!$B$4</f>
        <v>5</v>
      </c>
      <c r="L1912" s="1">
        <f>DefaultValues!$C$4</f>
        <v>0.5</v>
      </c>
      <c r="M1912" s="1" t="str">
        <f>DefaultValues!$D$4</f>
        <v xml:space="preserve">- Within interchange - </v>
      </c>
      <c r="N1912" s="1">
        <v>955.95800799999995</v>
      </c>
      <c r="O1912" s="1">
        <f>ABS(Table4[[#This Row],[EndMP]]-Table4[[#This Row],[StartMP]])</f>
        <v>0.47000100000000344</v>
      </c>
      <c r="P1912" s="1" t="str">
        <f>IF( AND( Table4[[#This Row],[Route]]=ClosureLocation!$B$3, ClosureLocation!$B$6 &gt;= Table4[[#This Row],[StartMP]], ClosureLocation!$B$6 &lt;= Table4[[#This Row],[EndMP]]), "Yes", "")</f>
        <v/>
      </c>
      <c r="Q1912" s="1" t="str">
        <f>IF( AND( Table4[[#This Row],[Route]]=ClosureLocation!$B$3, ClosureLocation!$B$6 &lt;= Table4[[#This Row],[StartMP]], ClosureLocation!$B$6 &gt;= Table4[[#This Row],[EndMP]]), "Yes", "")</f>
        <v/>
      </c>
      <c r="R1912" s="1" t="str">
        <f>IF( OR( Table4[[#This Row],[PrimaryMatch]]="Yes", Table4[[#This Row],[SecondaryMatch]]="Yes"), "Yes", "")</f>
        <v/>
      </c>
    </row>
    <row r="1913" spans="1:18" hidden="1" x14ac:dyDescent="0.25">
      <c r="A1913" t="s">
        <v>1140</v>
      </c>
      <c r="B1913" t="s">
        <v>3209</v>
      </c>
      <c r="C1913" t="s">
        <v>3210</v>
      </c>
      <c r="D1913" t="s">
        <v>4011</v>
      </c>
      <c r="E1913" s="1">
        <v>42.965000000000003</v>
      </c>
      <c r="F1913" s="1">
        <v>42.505001</v>
      </c>
      <c r="K1913" s="39">
        <f>DefaultValues!$B$4</f>
        <v>5</v>
      </c>
      <c r="L1913" s="1">
        <f>DefaultValues!$C$4</f>
        <v>0.5</v>
      </c>
      <c r="M1913" s="1" t="str">
        <f>DefaultValues!$D$4</f>
        <v xml:space="preserve">- Within interchange - </v>
      </c>
      <c r="N1913" s="1">
        <v>957.03497300000004</v>
      </c>
      <c r="O1913" s="1">
        <f>ABS(Table4[[#This Row],[EndMP]]-Table4[[#This Row],[StartMP]])</f>
        <v>0.45999900000000338</v>
      </c>
      <c r="P1913" s="1" t="str">
        <f>IF( AND( Table4[[#This Row],[Route]]=ClosureLocation!$B$3, ClosureLocation!$B$6 &gt;= Table4[[#This Row],[StartMP]], ClosureLocation!$B$6 &lt;= Table4[[#This Row],[EndMP]]), "Yes", "")</f>
        <v/>
      </c>
      <c r="Q1913" s="1" t="str">
        <f>IF( AND( Table4[[#This Row],[Route]]=ClosureLocation!$B$3, ClosureLocation!$B$6 &lt;= Table4[[#This Row],[StartMP]], ClosureLocation!$B$6 &gt;= Table4[[#This Row],[EndMP]]), "Yes", "")</f>
        <v/>
      </c>
      <c r="R1913" s="1" t="str">
        <f>IF( OR( Table4[[#This Row],[PrimaryMatch]]="Yes", Table4[[#This Row],[SecondaryMatch]]="Yes"), "Yes", "")</f>
        <v/>
      </c>
    </row>
    <row r="1914" spans="1:18" hidden="1" x14ac:dyDescent="0.25">
      <c r="A1914" t="s">
        <v>1140</v>
      </c>
      <c r="B1914" t="s">
        <v>3209</v>
      </c>
      <c r="C1914" t="s">
        <v>3210</v>
      </c>
      <c r="D1914" t="s">
        <v>4011</v>
      </c>
      <c r="E1914" s="1">
        <v>13.978999999999999</v>
      </c>
      <c r="F1914" s="1">
        <v>13.911</v>
      </c>
      <c r="K1914" s="39">
        <f>DefaultValues!$B$4</f>
        <v>5</v>
      </c>
      <c r="L1914" s="1">
        <f>DefaultValues!$C$4</f>
        <v>0.5</v>
      </c>
      <c r="M1914" s="1" t="str">
        <f>DefaultValues!$D$4</f>
        <v xml:space="preserve">- Within interchange - </v>
      </c>
      <c r="N1914" s="1">
        <v>986.02099599999997</v>
      </c>
      <c r="O1914" s="1">
        <f>ABS(Table4[[#This Row],[EndMP]]-Table4[[#This Row],[StartMP]])</f>
        <v>6.7999999999999616E-2</v>
      </c>
      <c r="P1914" s="1" t="str">
        <f>IF( AND( Table4[[#This Row],[Route]]=ClosureLocation!$B$3, ClosureLocation!$B$6 &gt;= Table4[[#This Row],[StartMP]], ClosureLocation!$B$6 &lt;= Table4[[#This Row],[EndMP]]), "Yes", "")</f>
        <v/>
      </c>
      <c r="Q1914" s="1" t="str">
        <f>IF( AND( Table4[[#This Row],[Route]]=ClosureLocation!$B$3, ClosureLocation!$B$6 &lt;= Table4[[#This Row],[StartMP]], ClosureLocation!$B$6 &gt;= Table4[[#This Row],[EndMP]]), "Yes", "")</f>
        <v/>
      </c>
      <c r="R1914" s="1" t="str">
        <f>IF( OR( Table4[[#This Row],[PrimaryMatch]]="Yes", Table4[[#This Row],[SecondaryMatch]]="Yes"), "Yes", "")</f>
        <v/>
      </c>
    </row>
    <row r="1915" spans="1:18" hidden="1" x14ac:dyDescent="0.25">
      <c r="A1915" t="s">
        <v>1167</v>
      </c>
      <c r="B1915" t="s">
        <v>3205</v>
      </c>
      <c r="C1915" t="s">
        <v>3222</v>
      </c>
      <c r="D1915" t="s">
        <v>4024</v>
      </c>
      <c r="E1915" s="1">
        <v>44.859000999999999</v>
      </c>
      <c r="F1915" s="1">
        <v>45.765999000000001</v>
      </c>
      <c r="K1915" s="39">
        <f>DefaultValues!$B$4</f>
        <v>5</v>
      </c>
      <c r="L1915" s="1">
        <f>DefaultValues!$C$4</f>
        <v>0.5</v>
      </c>
      <c r="M1915" s="1" t="str">
        <f>DefaultValues!$D$4</f>
        <v xml:space="preserve">- Within interchange - </v>
      </c>
      <c r="N1915" s="1">
        <v>44.859000999999999</v>
      </c>
      <c r="O1915" s="1">
        <f>ABS(Table4[[#This Row],[EndMP]]-Table4[[#This Row],[StartMP]])</f>
        <v>0.90699800000000153</v>
      </c>
      <c r="P1915" s="1" t="str">
        <f>IF( AND( Table4[[#This Row],[Route]]=ClosureLocation!$B$3, ClosureLocation!$B$6 &gt;= Table4[[#This Row],[StartMP]], ClosureLocation!$B$6 &lt;= Table4[[#This Row],[EndMP]]), "Yes", "")</f>
        <v/>
      </c>
      <c r="Q1915" s="1" t="str">
        <f>IF( AND( Table4[[#This Row],[Route]]=ClosureLocation!$B$3, ClosureLocation!$B$6 &lt;= Table4[[#This Row],[StartMP]], ClosureLocation!$B$6 &gt;= Table4[[#This Row],[EndMP]]), "Yes", "")</f>
        <v/>
      </c>
      <c r="R1915" s="1" t="str">
        <f>IF( OR( Table4[[#This Row],[PrimaryMatch]]="Yes", Table4[[#This Row],[SecondaryMatch]]="Yes"), "Yes", "")</f>
        <v/>
      </c>
    </row>
    <row r="1916" spans="1:18" hidden="1" x14ac:dyDescent="0.25">
      <c r="A1916" t="s">
        <v>1167</v>
      </c>
      <c r="B1916" t="s">
        <v>3209</v>
      </c>
      <c r="C1916" t="s">
        <v>3226</v>
      </c>
      <c r="D1916" t="s">
        <v>4029</v>
      </c>
      <c r="E1916" s="1">
        <v>45.765999000000001</v>
      </c>
      <c r="F1916" s="1">
        <v>44.859000999999999</v>
      </c>
      <c r="K1916" s="39">
        <f>DefaultValues!$B$4</f>
        <v>5</v>
      </c>
      <c r="L1916" s="1">
        <f>DefaultValues!$C$4</f>
        <v>0.5</v>
      </c>
      <c r="M1916" s="1" t="str">
        <f>DefaultValues!$D$4</f>
        <v xml:space="preserve">- Within interchange - </v>
      </c>
      <c r="N1916" s="1">
        <v>954.23400900000001</v>
      </c>
      <c r="O1916" s="1">
        <f>ABS(Table4[[#This Row],[EndMP]]-Table4[[#This Row],[StartMP]])</f>
        <v>0.90699800000000153</v>
      </c>
      <c r="P1916" s="1" t="str">
        <f>IF( AND( Table4[[#This Row],[Route]]=ClosureLocation!$B$3, ClosureLocation!$B$6 &gt;= Table4[[#This Row],[StartMP]], ClosureLocation!$B$6 &lt;= Table4[[#This Row],[EndMP]]), "Yes", "")</f>
        <v/>
      </c>
      <c r="Q1916" s="1" t="str">
        <f>IF( AND( Table4[[#This Row],[Route]]=ClosureLocation!$B$3, ClosureLocation!$B$6 &lt;= Table4[[#This Row],[StartMP]], ClosureLocation!$B$6 &gt;= Table4[[#This Row],[EndMP]]), "Yes", "")</f>
        <v/>
      </c>
      <c r="R1916" s="1" t="str">
        <f>IF( OR( Table4[[#This Row],[PrimaryMatch]]="Yes", Table4[[#This Row],[SecondaryMatch]]="Yes"), "Yes", "")</f>
        <v/>
      </c>
    </row>
    <row r="1917" spans="1:18" hidden="1" x14ac:dyDescent="0.25">
      <c r="A1917" t="s">
        <v>1172</v>
      </c>
      <c r="B1917" t="s">
        <v>3205</v>
      </c>
      <c r="C1917" t="s">
        <v>3222</v>
      </c>
      <c r="D1917" t="s">
        <v>4034</v>
      </c>
      <c r="E1917" s="1">
        <v>63.639999000000003</v>
      </c>
      <c r="F1917" s="1">
        <v>63.700001</v>
      </c>
      <c r="K1917" s="39">
        <f>DefaultValues!$B$4</f>
        <v>5</v>
      </c>
      <c r="L1917" s="1">
        <f>DefaultValues!$C$4</f>
        <v>0.5</v>
      </c>
      <c r="M1917" s="1" t="str">
        <f>DefaultValues!$D$4</f>
        <v xml:space="preserve">- Within interchange - </v>
      </c>
      <c r="N1917" s="1">
        <v>63.639999000000003</v>
      </c>
      <c r="O1917" s="1">
        <f>ABS(Table4[[#This Row],[EndMP]]-Table4[[#This Row],[StartMP]])</f>
        <v>6.0001999999997224E-2</v>
      </c>
      <c r="P1917" s="1" t="str">
        <f>IF( AND( Table4[[#This Row],[Route]]=ClosureLocation!$B$3, ClosureLocation!$B$6 &gt;= Table4[[#This Row],[StartMP]], ClosureLocation!$B$6 &lt;= Table4[[#This Row],[EndMP]]), "Yes", "")</f>
        <v/>
      </c>
      <c r="Q1917" s="1" t="str">
        <f>IF( AND( Table4[[#This Row],[Route]]=ClosureLocation!$B$3, ClosureLocation!$B$6 &lt;= Table4[[#This Row],[StartMP]], ClosureLocation!$B$6 &gt;= Table4[[#This Row],[EndMP]]), "Yes", "")</f>
        <v/>
      </c>
      <c r="R1917" s="1" t="str">
        <f>IF( OR( Table4[[#This Row],[PrimaryMatch]]="Yes", Table4[[#This Row],[SecondaryMatch]]="Yes"), "Yes", "")</f>
        <v/>
      </c>
    </row>
    <row r="1918" spans="1:18" hidden="1" x14ac:dyDescent="0.25">
      <c r="A1918" t="s">
        <v>1172</v>
      </c>
      <c r="B1918" t="s">
        <v>3209</v>
      </c>
      <c r="C1918" t="s">
        <v>3226</v>
      </c>
      <c r="D1918" t="s">
        <v>4036</v>
      </c>
      <c r="E1918" s="1">
        <v>63.700001</v>
      </c>
      <c r="F1918" s="1">
        <v>63.639999000000003</v>
      </c>
      <c r="K1918" s="39">
        <f>DefaultValues!$B$4</f>
        <v>5</v>
      </c>
      <c r="L1918" s="1">
        <f>DefaultValues!$C$4</f>
        <v>0.5</v>
      </c>
      <c r="M1918" s="1" t="str">
        <f>DefaultValues!$D$4</f>
        <v xml:space="preserve">- Within interchange - </v>
      </c>
      <c r="N1918" s="1">
        <v>936.29998799999998</v>
      </c>
      <c r="O1918" s="1">
        <f>ABS(Table4[[#This Row],[EndMP]]-Table4[[#This Row],[StartMP]])</f>
        <v>6.0001999999997224E-2</v>
      </c>
      <c r="P1918" s="1" t="str">
        <f>IF( AND( Table4[[#This Row],[Route]]=ClosureLocation!$B$3, ClosureLocation!$B$6 &gt;= Table4[[#This Row],[StartMP]], ClosureLocation!$B$6 &lt;= Table4[[#This Row],[EndMP]]), "Yes", "")</f>
        <v/>
      </c>
      <c r="Q1918" s="1" t="str">
        <f>IF( AND( Table4[[#This Row],[Route]]=ClosureLocation!$B$3, ClosureLocation!$B$6 &lt;= Table4[[#This Row],[StartMP]], ClosureLocation!$B$6 &gt;= Table4[[#This Row],[EndMP]]), "Yes", "")</f>
        <v/>
      </c>
      <c r="R1918" s="1" t="str">
        <f>IF( OR( Table4[[#This Row],[PrimaryMatch]]="Yes", Table4[[#This Row],[SecondaryMatch]]="Yes"), "Yes", "")</f>
        <v/>
      </c>
    </row>
    <row r="1919" spans="1:18" hidden="1" x14ac:dyDescent="0.25">
      <c r="A1919" t="s">
        <v>1180</v>
      </c>
      <c r="B1919" t="s">
        <v>3205</v>
      </c>
      <c r="C1919" t="s">
        <v>3206</v>
      </c>
      <c r="D1919" t="s">
        <v>4038</v>
      </c>
      <c r="E1919" s="1">
        <v>0</v>
      </c>
      <c r="F1919" s="1">
        <v>0.15</v>
      </c>
      <c r="K1919" s="39">
        <f>DefaultValues!$B$4</f>
        <v>5</v>
      </c>
      <c r="L1919" s="1">
        <f>DefaultValues!$C$4</f>
        <v>0.5</v>
      </c>
      <c r="M1919" s="1" t="str">
        <f>DefaultValues!$D$4</f>
        <v xml:space="preserve">- Within interchange - </v>
      </c>
      <c r="N1919" s="1">
        <v>0</v>
      </c>
      <c r="O1919" s="1">
        <f>ABS(Table4[[#This Row],[EndMP]]-Table4[[#This Row],[StartMP]])</f>
        <v>0.15</v>
      </c>
      <c r="P1919" s="1" t="str">
        <f>IF( AND( Table4[[#This Row],[Route]]=ClosureLocation!$B$3, ClosureLocation!$B$6 &gt;= Table4[[#This Row],[StartMP]], ClosureLocation!$B$6 &lt;= Table4[[#This Row],[EndMP]]), "Yes", "")</f>
        <v/>
      </c>
      <c r="Q1919" s="1" t="str">
        <f>IF( AND( Table4[[#This Row],[Route]]=ClosureLocation!$B$3, ClosureLocation!$B$6 &lt;= Table4[[#This Row],[StartMP]], ClosureLocation!$B$6 &gt;= Table4[[#This Row],[EndMP]]), "Yes", "")</f>
        <v/>
      </c>
      <c r="R1919" s="1" t="str">
        <f>IF( OR( Table4[[#This Row],[PrimaryMatch]]="Yes", Table4[[#This Row],[SecondaryMatch]]="Yes"), "Yes", "")</f>
        <v/>
      </c>
    </row>
    <row r="1920" spans="1:18" hidden="1" x14ac:dyDescent="0.25">
      <c r="A1920" t="s">
        <v>1180</v>
      </c>
      <c r="B1920" t="s">
        <v>3205</v>
      </c>
      <c r="C1920" t="s">
        <v>3206</v>
      </c>
      <c r="D1920" t="s">
        <v>4038</v>
      </c>
      <c r="E1920" s="1">
        <v>7.3109999999999999</v>
      </c>
      <c r="F1920" s="1">
        <v>7.7220000000000004</v>
      </c>
      <c r="K1920" s="39">
        <f>DefaultValues!$B$4</f>
        <v>5</v>
      </c>
      <c r="L1920" s="1">
        <f>DefaultValues!$C$4</f>
        <v>0.5</v>
      </c>
      <c r="M1920" s="1" t="str">
        <f>DefaultValues!$D$4</f>
        <v xml:space="preserve">- Within interchange - </v>
      </c>
      <c r="N1920" s="1">
        <v>7.3109999999999999</v>
      </c>
      <c r="O1920" s="1">
        <f>ABS(Table4[[#This Row],[EndMP]]-Table4[[#This Row],[StartMP]])</f>
        <v>0.41100000000000048</v>
      </c>
      <c r="P1920" s="1" t="str">
        <f>IF( AND( Table4[[#This Row],[Route]]=ClosureLocation!$B$3, ClosureLocation!$B$6 &gt;= Table4[[#This Row],[StartMP]], ClosureLocation!$B$6 &lt;= Table4[[#This Row],[EndMP]]), "Yes", "")</f>
        <v/>
      </c>
      <c r="Q1920" s="1" t="str">
        <f>IF( AND( Table4[[#This Row],[Route]]=ClosureLocation!$B$3, ClosureLocation!$B$6 &lt;= Table4[[#This Row],[StartMP]], ClosureLocation!$B$6 &gt;= Table4[[#This Row],[EndMP]]), "Yes", "")</f>
        <v/>
      </c>
      <c r="R1920" s="1" t="str">
        <f>IF( OR( Table4[[#This Row],[PrimaryMatch]]="Yes", Table4[[#This Row],[SecondaryMatch]]="Yes"), "Yes", "")</f>
        <v/>
      </c>
    </row>
    <row r="1921" spans="1:18" hidden="1" x14ac:dyDescent="0.25">
      <c r="A1921" t="s">
        <v>1180</v>
      </c>
      <c r="B1921" t="s">
        <v>3205</v>
      </c>
      <c r="C1921" t="s">
        <v>3206</v>
      </c>
      <c r="D1921" t="s">
        <v>4038</v>
      </c>
      <c r="E1921" s="1">
        <v>12.367000000000001</v>
      </c>
      <c r="F1921" s="1">
        <v>12.531000000000001</v>
      </c>
      <c r="K1921" s="39">
        <f>DefaultValues!$B$4</f>
        <v>5</v>
      </c>
      <c r="L1921" s="1">
        <f>DefaultValues!$C$4</f>
        <v>0.5</v>
      </c>
      <c r="M1921" s="1" t="str">
        <f>DefaultValues!$D$4</f>
        <v xml:space="preserve">- Within interchange - </v>
      </c>
      <c r="N1921" s="1">
        <v>12.367000000000001</v>
      </c>
      <c r="O1921" s="1">
        <f>ABS(Table4[[#This Row],[EndMP]]-Table4[[#This Row],[StartMP]])</f>
        <v>0.1639999999999997</v>
      </c>
      <c r="P1921" s="1" t="str">
        <f>IF( AND( Table4[[#This Row],[Route]]=ClosureLocation!$B$3, ClosureLocation!$B$6 &gt;= Table4[[#This Row],[StartMP]], ClosureLocation!$B$6 &lt;= Table4[[#This Row],[EndMP]]), "Yes", "")</f>
        <v/>
      </c>
      <c r="Q1921" s="1" t="str">
        <f>IF( AND( Table4[[#This Row],[Route]]=ClosureLocation!$B$3, ClosureLocation!$B$6 &lt;= Table4[[#This Row],[StartMP]], ClosureLocation!$B$6 &gt;= Table4[[#This Row],[EndMP]]), "Yes", "")</f>
        <v/>
      </c>
      <c r="R1921" s="1" t="str">
        <f>IF( OR( Table4[[#This Row],[PrimaryMatch]]="Yes", Table4[[#This Row],[SecondaryMatch]]="Yes"), "Yes", "")</f>
        <v/>
      </c>
    </row>
    <row r="1922" spans="1:18" hidden="1" x14ac:dyDescent="0.25">
      <c r="A1922" t="s">
        <v>1180</v>
      </c>
      <c r="B1922" t="s">
        <v>3205</v>
      </c>
      <c r="C1922" t="s">
        <v>3206</v>
      </c>
      <c r="D1922" t="s">
        <v>4038</v>
      </c>
      <c r="E1922" s="1">
        <v>16.617999999999999</v>
      </c>
      <c r="F1922" s="1">
        <v>17.040001</v>
      </c>
      <c r="K1922" s="39">
        <f>DefaultValues!$B$4</f>
        <v>5</v>
      </c>
      <c r="L1922" s="1">
        <f>DefaultValues!$C$4</f>
        <v>0.5</v>
      </c>
      <c r="M1922" s="1" t="str">
        <f>DefaultValues!$D$4</f>
        <v xml:space="preserve">- Within interchange - </v>
      </c>
      <c r="N1922" s="1">
        <v>16.617999999999999</v>
      </c>
      <c r="O1922" s="1">
        <f>ABS(Table4[[#This Row],[EndMP]]-Table4[[#This Row],[StartMP]])</f>
        <v>0.42200100000000162</v>
      </c>
      <c r="P1922" s="1" t="str">
        <f>IF( AND( Table4[[#This Row],[Route]]=ClosureLocation!$B$3, ClosureLocation!$B$6 &gt;= Table4[[#This Row],[StartMP]], ClosureLocation!$B$6 &lt;= Table4[[#This Row],[EndMP]]), "Yes", "")</f>
        <v/>
      </c>
      <c r="Q1922" s="1" t="str">
        <f>IF( AND( Table4[[#This Row],[Route]]=ClosureLocation!$B$3, ClosureLocation!$B$6 &lt;= Table4[[#This Row],[StartMP]], ClosureLocation!$B$6 &gt;= Table4[[#This Row],[EndMP]]), "Yes", "")</f>
        <v/>
      </c>
      <c r="R1922" s="1" t="str">
        <f>IF( OR( Table4[[#This Row],[PrimaryMatch]]="Yes", Table4[[#This Row],[SecondaryMatch]]="Yes"), "Yes", "")</f>
        <v/>
      </c>
    </row>
    <row r="1923" spans="1:18" hidden="1" x14ac:dyDescent="0.25">
      <c r="A1923" t="s">
        <v>1180</v>
      </c>
      <c r="B1923" t="s">
        <v>3205</v>
      </c>
      <c r="C1923" t="s">
        <v>3206</v>
      </c>
      <c r="D1923" t="s">
        <v>4038</v>
      </c>
      <c r="E1923" s="1">
        <v>25.881001000000001</v>
      </c>
      <c r="F1923" s="1">
        <v>26.101998999999999</v>
      </c>
      <c r="K1923" s="39">
        <f>DefaultValues!$B$4</f>
        <v>5</v>
      </c>
      <c r="L1923" s="1">
        <f>DefaultValues!$C$4</f>
        <v>0.5</v>
      </c>
      <c r="M1923" s="1" t="str">
        <f>DefaultValues!$D$4</f>
        <v xml:space="preserve">- Within interchange - </v>
      </c>
      <c r="N1923" s="1">
        <v>25.881001000000001</v>
      </c>
      <c r="O1923" s="1">
        <f>ABS(Table4[[#This Row],[EndMP]]-Table4[[#This Row],[StartMP]])</f>
        <v>0.22099799999999803</v>
      </c>
      <c r="P1923" s="1" t="str">
        <f>IF( AND( Table4[[#This Row],[Route]]=ClosureLocation!$B$3, ClosureLocation!$B$6 &gt;= Table4[[#This Row],[StartMP]], ClosureLocation!$B$6 &lt;= Table4[[#This Row],[EndMP]]), "Yes", "")</f>
        <v/>
      </c>
      <c r="Q1923" s="1" t="str">
        <f>IF( AND( Table4[[#This Row],[Route]]=ClosureLocation!$B$3, ClosureLocation!$B$6 &lt;= Table4[[#This Row],[StartMP]], ClosureLocation!$B$6 &gt;= Table4[[#This Row],[EndMP]]), "Yes", "")</f>
        <v/>
      </c>
      <c r="R1923" s="1" t="str">
        <f>IF( OR( Table4[[#This Row],[PrimaryMatch]]="Yes", Table4[[#This Row],[SecondaryMatch]]="Yes"), "Yes", "")</f>
        <v/>
      </c>
    </row>
    <row r="1924" spans="1:18" hidden="1" x14ac:dyDescent="0.25">
      <c r="A1924" t="s">
        <v>1180</v>
      </c>
      <c r="B1924" t="s">
        <v>3205</v>
      </c>
      <c r="C1924" t="s">
        <v>3206</v>
      </c>
      <c r="D1924" t="s">
        <v>4038</v>
      </c>
      <c r="E1924" s="1">
        <v>26.391000999999999</v>
      </c>
      <c r="F1924" s="1">
        <v>26.452000000000002</v>
      </c>
      <c r="K1924" s="39">
        <f>DefaultValues!$B$4</f>
        <v>5</v>
      </c>
      <c r="L1924" s="1">
        <f>DefaultValues!$C$4</f>
        <v>0.5</v>
      </c>
      <c r="M1924" s="1" t="str">
        <f>DefaultValues!$D$4</f>
        <v xml:space="preserve">- Within interchange - </v>
      </c>
      <c r="N1924" s="1">
        <v>26.391000999999999</v>
      </c>
      <c r="O1924" s="1">
        <f>ABS(Table4[[#This Row],[EndMP]]-Table4[[#This Row],[StartMP]])</f>
        <v>6.0999000000002468E-2</v>
      </c>
      <c r="P1924" s="1" t="str">
        <f>IF( AND( Table4[[#This Row],[Route]]=ClosureLocation!$B$3, ClosureLocation!$B$6 &gt;= Table4[[#This Row],[StartMP]], ClosureLocation!$B$6 &lt;= Table4[[#This Row],[EndMP]]), "Yes", "")</f>
        <v/>
      </c>
      <c r="Q1924" s="1" t="str">
        <f>IF( AND( Table4[[#This Row],[Route]]=ClosureLocation!$B$3, ClosureLocation!$B$6 &lt;= Table4[[#This Row],[StartMP]], ClosureLocation!$B$6 &gt;= Table4[[#This Row],[EndMP]]), "Yes", "")</f>
        <v/>
      </c>
      <c r="R1924" s="1" t="str">
        <f>IF( OR( Table4[[#This Row],[PrimaryMatch]]="Yes", Table4[[#This Row],[SecondaryMatch]]="Yes"), "Yes", "")</f>
        <v/>
      </c>
    </row>
    <row r="1925" spans="1:18" hidden="1" x14ac:dyDescent="0.25">
      <c r="A1925" t="s">
        <v>1180</v>
      </c>
      <c r="B1925" t="s">
        <v>3209</v>
      </c>
      <c r="C1925" t="s">
        <v>3210</v>
      </c>
      <c r="D1925" t="s">
        <v>4044</v>
      </c>
      <c r="E1925" s="1">
        <v>26.452000000000002</v>
      </c>
      <c r="F1925" s="1">
        <v>26.391000999999999</v>
      </c>
      <c r="K1925" s="39">
        <f>DefaultValues!$B$4</f>
        <v>5</v>
      </c>
      <c r="L1925" s="1">
        <f>DefaultValues!$C$4</f>
        <v>0.5</v>
      </c>
      <c r="M1925" s="1" t="str">
        <f>DefaultValues!$D$4</f>
        <v xml:space="preserve">- Within interchange - </v>
      </c>
      <c r="N1925" s="1">
        <v>973.54797399999995</v>
      </c>
      <c r="O1925" s="1">
        <f>ABS(Table4[[#This Row],[EndMP]]-Table4[[#This Row],[StartMP]])</f>
        <v>6.0999000000002468E-2</v>
      </c>
      <c r="P1925" s="1" t="str">
        <f>IF( AND( Table4[[#This Row],[Route]]=ClosureLocation!$B$3, ClosureLocation!$B$6 &gt;= Table4[[#This Row],[StartMP]], ClosureLocation!$B$6 &lt;= Table4[[#This Row],[EndMP]]), "Yes", "")</f>
        <v/>
      </c>
      <c r="Q1925" s="1" t="str">
        <f>IF( AND( Table4[[#This Row],[Route]]=ClosureLocation!$B$3, ClosureLocation!$B$6 &lt;= Table4[[#This Row],[StartMP]], ClosureLocation!$B$6 &gt;= Table4[[#This Row],[EndMP]]), "Yes", "")</f>
        <v/>
      </c>
      <c r="R1925" s="1" t="str">
        <f>IF( OR( Table4[[#This Row],[PrimaryMatch]]="Yes", Table4[[#This Row],[SecondaryMatch]]="Yes"), "Yes", "")</f>
        <v/>
      </c>
    </row>
    <row r="1926" spans="1:18" hidden="1" x14ac:dyDescent="0.25">
      <c r="A1926" t="s">
        <v>1180</v>
      </c>
      <c r="B1926" t="s">
        <v>3209</v>
      </c>
      <c r="C1926" t="s">
        <v>3210</v>
      </c>
      <c r="D1926" t="s">
        <v>4044</v>
      </c>
      <c r="E1926" s="1">
        <v>26.101998999999999</v>
      </c>
      <c r="F1926" s="1">
        <v>25.881001000000001</v>
      </c>
      <c r="K1926" s="39">
        <f>DefaultValues!$B$4</f>
        <v>5</v>
      </c>
      <c r="L1926" s="1">
        <f>DefaultValues!$C$4</f>
        <v>0.5</v>
      </c>
      <c r="M1926" s="1" t="str">
        <f>DefaultValues!$D$4</f>
        <v xml:space="preserve">- Within interchange - </v>
      </c>
      <c r="N1926" s="1">
        <v>973.89801</v>
      </c>
      <c r="O1926" s="1">
        <f>ABS(Table4[[#This Row],[EndMP]]-Table4[[#This Row],[StartMP]])</f>
        <v>0.22099799999999803</v>
      </c>
      <c r="P1926" s="1" t="str">
        <f>IF( AND( Table4[[#This Row],[Route]]=ClosureLocation!$B$3, ClosureLocation!$B$6 &gt;= Table4[[#This Row],[StartMP]], ClosureLocation!$B$6 &lt;= Table4[[#This Row],[EndMP]]), "Yes", "")</f>
        <v/>
      </c>
      <c r="Q1926" s="1" t="str">
        <f>IF( AND( Table4[[#This Row],[Route]]=ClosureLocation!$B$3, ClosureLocation!$B$6 &lt;= Table4[[#This Row],[StartMP]], ClosureLocation!$B$6 &gt;= Table4[[#This Row],[EndMP]]), "Yes", "")</f>
        <v/>
      </c>
      <c r="R1926" s="1" t="str">
        <f>IF( OR( Table4[[#This Row],[PrimaryMatch]]="Yes", Table4[[#This Row],[SecondaryMatch]]="Yes"), "Yes", "")</f>
        <v/>
      </c>
    </row>
    <row r="1927" spans="1:18" hidden="1" x14ac:dyDescent="0.25">
      <c r="A1927" t="s">
        <v>1180</v>
      </c>
      <c r="B1927" t="s">
        <v>3209</v>
      </c>
      <c r="C1927" t="s">
        <v>3210</v>
      </c>
      <c r="D1927" t="s">
        <v>4044</v>
      </c>
      <c r="E1927" s="1">
        <v>17.040001</v>
      </c>
      <c r="F1927" s="1">
        <v>16.617999999999999</v>
      </c>
      <c r="K1927" s="39">
        <f>DefaultValues!$B$4</f>
        <v>5</v>
      </c>
      <c r="L1927" s="1">
        <f>DefaultValues!$C$4</f>
        <v>0.5</v>
      </c>
      <c r="M1927" s="1" t="str">
        <f>DefaultValues!$D$4</f>
        <v xml:space="preserve">- Within interchange - </v>
      </c>
      <c r="N1927" s="1">
        <v>982.96002199999998</v>
      </c>
      <c r="O1927" s="1">
        <f>ABS(Table4[[#This Row],[EndMP]]-Table4[[#This Row],[StartMP]])</f>
        <v>0.42200100000000162</v>
      </c>
      <c r="P1927" s="1" t="str">
        <f>IF( AND( Table4[[#This Row],[Route]]=ClosureLocation!$B$3, ClosureLocation!$B$6 &gt;= Table4[[#This Row],[StartMP]], ClosureLocation!$B$6 &lt;= Table4[[#This Row],[EndMP]]), "Yes", "")</f>
        <v/>
      </c>
      <c r="Q1927" s="1" t="str">
        <f>IF( AND( Table4[[#This Row],[Route]]=ClosureLocation!$B$3, ClosureLocation!$B$6 &lt;= Table4[[#This Row],[StartMP]], ClosureLocation!$B$6 &gt;= Table4[[#This Row],[EndMP]]), "Yes", "")</f>
        <v/>
      </c>
      <c r="R1927" s="1" t="str">
        <f>IF( OR( Table4[[#This Row],[PrimaryMatch]]="Yes", Table4[[#This Row],[SecondaryMatch]]="Yes"), "Yes", "")</f>
        <v/>
      </c>
    </row>
    <row r="1928" spans="1:18" hidden="1" x14ac:dyDescent="0.25">
      <c r="A1928" t="s">
        <v>1180</v>
      </c>
      <c r="B1928" t="s">
        <v>3209</v>
      </c>
      <c r="C1928" t="s">
        <v>3210</v>
      </c>
      <c r="D1928" t="s">
        <v>4044</v>
      </c>
      <c r="E1928" s="1">
        <v>12.531000000000001</v>
      </c>
      <c r="F1928" s="1">
        <v>12.367000000000001</v>
      </c>
      <c r="K1928" s="39">
        <f>DefaultValues!$B$4</f>
        <v>5</v>
      </c>
      <c r="L1928" s="1">
        <f>DefaultValues!$C$4</f>
        <v>0.5</v>
      </c>
      <c r="M1928" s="1" t="str">
        <f>DefaultValues!$D$4</f>
        <v xml:space="preserve">- Within interchange - </v>
      </c>
      <c r="N1928" s="1">
        <v>987.46899399999995</v>
      </c>
      <c r="O1928" s="1">
        <f>ABS(Table4[[#This Row],[EndMP]]-Table4[[#This Row],[StartMP]])</f>
        <v>0.1639999999999997</v>
      </c>
      <c r="P1928" s="1" t="str">
        <f>IF( AND( Table4[[#This Row],[Route]]=ClosureLocation!$B$3, ClosureLocation!$B$6 &gt;= Table4[[#This Row],[StartMP]], ClosureLocation!$B$6 &lt;= Table4[[#This Row],[EndMP]]), "Yes", "")</f>
        <v/>
      </c>
      <c r="Q1928" s="1" t="str">
        <f>IF( AND( Table4[[#This Row],[Route]]=ClosureLocation!$B$3, ClosureLocation!$B$6 &lt;= Table4[[#This Row],[StartMP]], ClosureLocation!$B$6 &gt;= Table4[[#This Row],[EndMP]]), "Yes", "")</f>
        <v/>
      </c>
      <c r="R1928" s="1" t="str">
        <f>IF( OR( Table4[[#This Row],[PrimaryMatch]]="Yes", Table4[[#This Row],[SecondaryMatch]]="Yes"), "Yes", "")</f>
        <v/>
      </c>
    </row>
    <row r="1929" spans="1:18" hidden="1" x14ac:dyDescent="0.25">
      <c r="A1929" t="s">
        <v>1180</v>
      </c>
      <c r="B1929" t="s">
        <v>3209</v>
      </c>
      <c r="C1929" t="s">
        <v>3210</v>
      </c>
      <c r="D1929" t="s">
        <v>4044</v>
      </c>
      <c r="E1929" s="1">
        <v>7.7220000000000004</v>
      </c>
      <c r="F1929" s="1">
        <v>7.3109999999999999</v>
      </c>
      <c r="K1929" s="39">
        <f>DefaultValues!$B$4</f>
        <v>5</v>
      </c>
      <c r="L1929" s="1">
        <f>DefaultValues!$C$4</f>
        <v>0.5</v>
      </c>
      <c r="M1929" s="1" t="str">
        <f>DefaultValues!$D$4</f>
        <v xml:space="preserve">- Within interchange - </v>
      </c>
      <c r="N1929" s="1">
        <v>992.27801499999998</v>
      </c>
      <c r="O1929" s="1">
        <f>ABS(Table4[[#This Row],[EndMP]]-Table4[[#This Row],[StartMP]])</f>
        <v>0.41100000000000048</v>
      </c>
      <c r="P1929" s="1" t="str">
        <f>IF( AND( Table4[[#This Row],[Route]]=ClosureLocation!$B$3, ClosureLocation!$B$6 &gt;= Table4[[#This Row],[StartMP]], ClosureLocation!$B$6 &lt;= Table4[[#This Row],[EndMP]]), "Yes", "")</f>
        <v/>
      </c>
      <c r="Q1929" s="1" t="str">
        <f>IF( AND( Table4[[#This Row],[Route]]=ClosureLocation!$B$3, ClosureLocation!$B$6 &lt;= Table4[[#This Row],[StartMP]], ClosureLocation!$B$6 &gt;= Table4[[#This Row],[EndMP]]), "Yes", "")</f>
        <v/>
      </c>
      <c r="R1929" s="1" t="str">
        <f>IF( OR( Table4[[#This Row],[PrimaryMatch]]="Yes", Table4[[#This Row],[SecondaryMatch]]="Yes"), "Yes", "")</f>
        <v/>
      </c>
    </row>
    <row r="1930" spans="1:18" hidden="1" x14ac:dyDescent="0.25">
      <c r="A1930" t="s">
        <v>1180</v>
      </c>
      <c r="B1930" t="s">
        <v>3209</v>
      </c>
      <c r="C1930" t="s">
        <v>3210</v>
      </c>
      <c r="D1930" t="s">
        <v>4044</v>
      </c>
      <c r="E1930" s="1">
        <v>0.15</v>
      </c>
      <c r="F1930" s="1">
        <v>0</v>
      </c>
      <c r="K1930" s="39">
        <f>DefaultValues!$B$4</f>
        <v>5</v>
      </c>
      <c r="L1930" s="1">
        <f>DefaultValues!$C$4</f>
        <v>0.5</v>
      </c>
      <c r="M1930" s="1" t="str">
        <f>DefaultValues!$D$4</f>
        <v xml:space="preserve">- Within interchange - </v>
      </c>
      <c r="N1930" s="1">
        <v>999.84997599999997</v>
      </c>
      <c r="O1930" s="1">
        <f>ABS(Table4[[#This Row],[EndMP]]-Table4[[#This Row],[StartMP]])</f>
        <v>0.15</v>
      </c>
      <c r="P1930" s="1" t="str">
        <f>IF( AND( Table4[[#This Row],[Route]]=ClosureLocation!$B$3, ClosureLocation!$B$6 &gt;= Table4[[#This Row],[StartMP]], ClosureLocation!$B$6 &lt;= Table4[[#This Row],[EndMP]]), "Yes", "")</f>
        <v/>
      </c>
      <c r="Q1930" s="1" t="str">
        <f>IF( AND( Table4[[#This Row],[Route]]=ClosureLocation!$B$3, ClosureLocation!$B$6 &lt;= Table4[[#This Row],[StartMP]], ClosureLocation!$B$6 &gt;= Table4[[#This Row],[EndMP]]), "Yes", "")</f>
        <v/>
      </c>
      <c r="R1930" s="1" t="str">
        <f>IF( OR( Table4[[#This Row],[PrimaryMatch]]="Yes", Table4[[#This Row],[SecondaryMatch]]="Yes"), "Yes", "")</f>
        <v/>
      </c>
    </row>
    <row r="1931" spans="1:18" hidden="1" x14ac:dyDescent="0.25">
      <c r="A1931" t="s">
        <v>1185</v>
      </c>
      <c r="B1931" t="s">
        <v>3205</v>
      </c>
      <c r="C1931" t="s">
        <v>3206</v>
      </c>
      <c r="D1931" t="s">
        <v>4679</v>
      </c>
      <c r="E1931" s="1">
        <v>4.306</v>
      </c>
      <c r="F1931" s="1">
        <v>4.4130000000000003</v>
      </c>
      <c r="K1931" s="39">
        <f>DefaultValues!$B$4</f>
        <v>5</v>
      </c>
      <c r="L1931" s="1">
        <f>DefaultValues!$C$4</f>
        <v>0.5</v>
      </c>
      <c r="M1931" s="1" t="str">
        <f>DefaultValues!$D$4</f>
        <v xml:space="preserve">- Within interchange - </v>
      </c>
      <c r="N1931" s="1">
        <v>4.306</v>
      </c>
      <c r="O1931" s="1">
        <f>ABS(Table4[[#This Row],[EndMP]]-Table4[[#This Row],[StartMP]])</f>
        <v>0.10700000000000021</v>
      </c>
      <c r="P1931" s="1" t="str">
        <f>IF( AND( Table4[[#This Row],[Route]]=ClosureLocation!$B$3, ClosureLocation!$B$6 &gt;= Table4[[#This Row],[StartMP]], ClosureLocation!$B$6 &lt;= Table4[[#This Row],[EndMP]]), "Yes", "")</f>
        <v/>
      </c>
      <c r="Q1931" s="1" t="str">
        <f>IF( AND( Table4[[#This Row],[Route]]=ClosureLocation!$B$3, ClosureLocation!$B$6 &lt;= Table4[[#This Row],[StartMP]], ClosureLocation!$B$6 &gt;= Table4[[#This Row],[EndMP]]), "Yes", "")</f>
        <v/>
      </c>
      <c r="R1931" s="1" t="str">
        <f>IF( OR( Table4[[#This Row],[PrimaryMatch]]="Yes", Table4[[#This Row],[SecondaryMatch]]="Yes"), "Yes", "")</f>
        <v/>
      </c>
    </row>
    <row r="1932" spans="1:18" hidden="1" x14ac:dyDescent="0.25">
      <c r="A1932" t="s">
        <v>1185</v>
      </c>
      <c r="B1932" t="s">
        <v>3209</v>
      </c>
      <c r="C1932" t="s">
        <v>3210</v>
      </c>
      <c r="D1932" t="s">
        <v>4680</v>
      </c>
      <c r="E1932" s="1">
        <v>4.4130000000000003</v>
      </c>
      <c r="F1932" s="1">
        <v>4.306</v>
      </c>
      <c r="K1932" s="39">
        <f>DefaultValues!$B$4</f>
        <v>5</v>
      </c>
      <c r="L1932" s="1">
        <f>DefaultValues!$C$4</f>
        <v>0.5</v>
      </c>
      <c r="M1932" s="1" t="str">
        <f>DefaultValues!$D$4</f>
        <v xml:space="preserve">- Within interchange - </v>
      </c>
      <c r="N1932" s="1">
        <v>995.58697500000005</v>
      </c>
      <c r="O1932" s="1">
        <f>ABS(Table4[[#This Row],[EndMP]]-Table4[[#This Row],[StartMP]])</f>
        <v>0.10700000000000021</v>
      </c>
      <c r="P1932" s="1" t="str">
        <f>IF( AND( Table4[[#This Row],[Route]]=ClosureLocation!$B$3, ClosureLocation!$B$6 &gt;= Table4[[#This Row],[StartMP]], ClosureLocation!$B$6 &lt;= Table4[[#This Row],[EndMP]]), "Yes", "")</f>
        <v/>
      </c>
      <c r="Q1932" s="1" t="str">
        <f>IF( AND( Table4[[#This Row],[Route]]=ClosureLocation!$B$3, ClosureLocation!$B$6 &lt;= Table4[[#This Row],[StartMP]], ClosureLocation!$B$6 &gt;= Table4[[#This Row],[EndMP]]), "Yes", "")</f>
        <v/>
      </c>
      <c r="R1932" s="1" t="str">
        <f>IF( OR( Table4[[#This Row],[PrimaryMatch]]="Yes", Table4[[#This Row],[SecondaryMatch]]="Yes"), "Yes", "")</f>
        <v/>
      </c>
    </row>
    <row r="1933" spans="1:18" hidden="1" x14ac:dyDescent="0.25">
      <c r="A1933" t="s">
        <v>1206</v>
      </c>
      <c r="B1933" t="s">
        <v>3205</v>
      </c>
      <c r="C1933" t="s">
        <v>3222</v>
      </c>
      <c r="D1933" t="s">
        <v>4064</v>
      </c>
      <c r="E1933" s="1">
        <v>13.994</v>
      </c>
      <c r="F1933" s="1">
        <v>14.113</v>
      </c>
      <c r="K1933" s="39">
        <f>DefaultValues!$B$4</f>
        <v>5</v>
      </c>
      <c r="L1933" s="1">
        <f>DefaultValues!$C$4</f>
        <v>0.5</v>
      </c>
      <c r="M1933" s="1" t="str">
        <f>DefaultValues!$D$4</f>
        <v xml:space="preserve">- Within interchange - </v>
      </c>
      <c r="N1933" s="1">
        <v>13.994</v>
      </c>
      <c r="O1933" s="1">
        <f>ABS(Table4[[#This Row],[EndMP]]-Table4[[#This Row],[StartMP]])</f>
        <v>0.11899999999999977</v>
      </c>
      <c r="P1933" s="1" t="str">
        <f>IF( AND( Table4[[#This Row],[Route]]=ClosureLocation!$B$3, ClosureLocation!$B$6 &gt;= Table4[[#This Row],[StartMP]], ClosureLocation!$B$6 &lt;= Table4[[#This Row],[EndMP]]), "Yes", "")</f>
        <v/>
      </c>
      <c r="Q1933" s="1" t="str">
        <f>IF( AND( Table4[[#This Row],[Route]]=ClosureLocation!$B$3, ClosureLocation!$B$6 &lt;= Table4[[#This Row],[StartMP]], ClosureLocation!$B$6 &gt;= Table4[[#This Row],[EndMP]]), "Yes", "")</f>
        <v/>
      </c>
      <c r="R1933" s="1" t="str">
        <f>IF( OR( Table4[[#This Row],[PrimaryMatch]]="Yes", Table4[[#This Row],[SecondaryMatch]]="Yes"), "Yes", "")</f>
        <v/>
      </c>
    </row>
    <row r="1934" spans="1:18" hidden="1" x14ac:dyDescent="0.25">
      <c r="A1934" t="s">
        <v>1206</v>
      </c>
      <c r="B1934" t="s">
        <v>3209</v>
      </c>
      <c r="C1934" t="s">
        <v>3226</v>
      </c>
      <c r="D1934" t="s">
        <v>4066</v>
      </c>
      <c r="E1934" s="1">
        <v>14.113</v>
      </c>
      <c r="F1934" s="1">
        <v>13.994</v>
      </c>
      <c r="K1934" s="39">
        <f>DefaultValues!$B$4</f>
        <v>5</v>
      </c>
      <c r="L1934" s="1">
        <f>DefaultValues!$C$4</f>
        <v>0.5</v>
      </c>
      <c r="M1934" s="1" t="str">
        <f>DefaultValues!$D$4</f>
        <v xml:space="preserve">- Within interchange - </v>
      </c>
      <c r="N1934" s="1">
        <v>985.887024</v>
      </c>
      <c r="O1934" s="1">
        <f>ABS(Table4[[#This Row],[EndMP]]-Table4[[#This Row],[StartMP]])</f>
        <v>0.11899999999999977</v>
      </c>
      <c r="P1934" s="1" t="str">
        <f>IF( AND( Table4[[#This Row],[Route]]=ClosureLocation!$B$3, ClosureLocation!$B$6 &gt;= Table4[[#This Row],[StartMP]], ClosureLocation!$B$6 &lt;= Table4[[#This Row],[EndMP]]), "Yes", "")</f>
        <v/>
      </c>
      <c r="Q1934" s="1" t="str">
        <f>IF( AND( Table4[[#This Row],[Route]]=ClosureLocation!$B$3, ClosureLocation!$B$6 &lt;= Table4[[#This Row],[StartMP]], ClosureLocation!$B$6 &gt;= Table4[[#This Row],[EndMP]]), "Yes", "")</f>
        <v/>
      </c>
      <c r="R1934" s="1" t="str">
        <f>IF( OR( Table4[[#This Row],[PrimaryMatch]]="Yes", Table4[[#This Row],[SecondaryMatch]]="Yes"), "Yes", "")</f>
        <v/>
      </c>
    </row>
    <row r="1935" spans="1:18" hidden="1" x14ac:dyDescent="0.25">
      <c r="A1935" t="s">
        <v>1207</v>
      </c>
      <c r="B1935" t="s">
        <v>3205</v>
      </c>
      <c r="C1935" t="s">
        <v>3206</v>
      </c>
      <c r="D1935" t="s">
        <v>4068</v>
      </c>
      <c r="E1935" s="1">
        <v>0</v>
      </c>
      <c r="F1935" s="1">
        <v>9.8000000000000004E-2</v>
      </c>
      <c r="K1935" s="39">
        <f>DefaultValues!$B$4</f>
        <v>5</v>
      </c>
      <c r="L1935" s="1">
        <f>DefaultValues!$C$4</f>
        <v>0.5</v>
      </c>
      <c r="M1935" s="1" t="str">
        <f>DefaultValues!$D$4</f>
        <v xml:space="preserve">- Within interchange - </v>
      </c>
      <c r="N1935" s="1">
        <v>0</v>
      </c>
      <c r="O1935" s="1">
        <f>ABS(Table4[[#This Row],[EndMP]]-Table4[[#This Row],[StartMP]])</f>
        <v>9.8000000000000004E-2</v>
      </c>
      <c r="P1935" s="1" t="str">
        <f>IF( AND( Table4[[#This Row],[Route]]=ClosureLocation!$B$3, ClosureLocation!$B$6 &gt;= Table4[[#This Row],[StartMP]], ClosureLocation!$B$6 &lt;= Table4[[#This Row],[EndMP]]), "Yes", "")</f>
        <v/>
      </c>
      <c r="Q1935" s="1" t="str">
        <f>IF( AND( Table4[[#This Row],[Route]]=ClosureLocation!$B$3, ClosureLocation!$B$6 &lt;= Table4[[#This Row],[StartMP]], ClosureLocation!$B$6 &gt;= Table4[[#This Row],[EndMP]]), "Yes", "")</f>
        <v/>
      </c>
      <c r="R1935" s="1" t="str">
        <f>IF( OR( Table4[[#This Row],[PrimaryMatch]]="Yes", Table4[[#This Row],[SecondaryMatch]]="Yes"), "Yes", "")</f>
        <v/>
      </c>
    </row>
    <row r="1936" spans="1:18" hidden="1" x14ac:dyDescent="0.25">
      <c r="A1936" t="s">
        <v>1207</v>
      </c>
      <c r="B1936" t="s">
        <v>3209</v>
      </c>
      <c r="C1936" t="s">
        <v>3210</v>
      </c>
      <c r="D1936" t="s">
        <v>4070</v>
      </c>
      <c r="E1936" s="1">
        <v>9.8000000000000004E-2</v>
      </c>
      <c r="F1936" s="1">
        <v>0</v>
      </c>
      <c r="K1936" s="39">
        <f>DefaultValues!$B$4</f>
        <v>5</v>
      </c>
      <c r="L1936" s="1">
        <f>DefaultValues!$C$4</f>
        <v>0.5</v>
      </c>
      <c r="M1936" s="1" t="str">
        <f>DefaultValues!$D$4</f>
        <v xml:space="preserve">- Within interchange - </v>
      </c>
      <c r="N1936" s="1">
        <v>999.90197799999999</v>
      </c>
      <c r="O1936" s="1">
        <f>ABS(Table4[[#This Row],[EndMP]]-Table4[[#This Row],[StartMP]])</f>
        <v>9.8000000000000004E-2</v>
      </c>
      <c r="P1936" s="1" t="str">
        <f>IF( AND( Table4[[#This Row],[Route]]=ClosureLocation!$B$3, ClosureLocation!$B$6 &gt;= Table4[[#This Row],[StartMP]], ClosureLocation!$B$6 &lt;= Table4[[#This Row],[EndMP]]), "Yes", "")</f>
        <v/>
      </c>
      <c r="Q1936" s="1" t="str">
        <f>IF( AND( Table4[[#This Row],[Route]]=ClosureLocation!$B$3, ClosureLocation!$B$6 &lt;= Table4[[#This Row],[StartMP]], ClosureLocation!$B$6 &gt;= Table4[[#This Row],[EndMP]]), "Yes", "")</f>
        <v/>
      </c>
      <c r="R1936" s="1" t="str">
        <f>IF( OR( Table4[[#This Row],[PrimaryMatch]]="Yes", Table4[[#This Row],[SecondaryMatch]]="Yes"), "Yes", "")</f>
        <v/>
      </c>
    </row>
    <row r="1937" spans="1:18" hidden="1" x14ac:dyDescent="0.25">
      <c r="A1937" t="s">
        <v>1236</v>
      </c>
      <c r="B1937" t="s">
        <v>3205</v>
      </c>
      <c r="C1937" t="s">
        <v>3222</v>
      </c>
      <c r="D1937" t="s">
        <v>4085</v>
      </c>
      <c r="E1937" s="1">
        <v>58.286999000000002</v>
      </c>
      <c r="F1937" s="1">
        <v>58.75</v>
      </c>
      <c r="K1937" s="39">
        <f>DefaultValues!$B$4</f>
        <v>5</v>
      </c>
      <c r="L1937" s="1">
        <f>DefaultValues!$C$4</f>
        <v>0.5</v>
      </c>
      <c r="M1937" s="1" t="str">
        <f>DefaultValues!$D$4</f>
        <v xml:space="preserve">- Within interchange - </v>
      </c>
      <c r="N1937" s="1">
        <v>58.286999000000002</v>
      </c>
      <c r="O1937" s="1">
        <f>ABS(Table4[[#This Row],[EndMP]]-Table4[[#This Row],[StartMP]])</f>
        <v>0.46300099999999844</v>
      </c>
      <c r="P1937" s="1" t="str">
        <f>IF( AND( Table4[[#This Row],[Route]]=ClosureLocation!$B$3, ClosureLocation!$B$6 &gt;= Table4[[#This Row],[StartMP]], ClosureLocation!$B$6 &lt;= Table4[[#This Row],[EndMP]]), "Yes", "")</f>
        <v/>
      </c>
      <c r="Q1937" s="1" t="str">
        <f>IF( AND( Table4[[#This Row],[Route]]=ClosureLocation!$B$3, ClosureLocation!$B$6 &lt;= Table4[[#This Row],[StartMP]], ClosureLocation!$B$6 &gt;= Table4[[#This Row],[EndMP]]), "Yes", "")</f>
        <v/>
      </c>
      <c r="R1937" s="1" t="str">
        <f>IF( OR( Table4[[#This Row],[PrimaryMatch]]="Yes", Table4[[#This Row],[SecondaryMatch]]="Yes"), "Yes", "")</f>
        <v/>
      </c>
    </row>
    <row r="1938" spans="1:18" hidden="1" x14ac:dyDescent="0.25">
      <c r="A1938" t="s">
        <v>1236</v>
      </c>
      <c r="B1938" t="s">
        <v>3209</v>
      </c>
      <c r="C1938" t="s">
        <v>3226</v>
      </c>
      <c r="D1938" t="s">
        <v>4089</v>
      </c>
      <c r="E1938" s="1">
        <v>58.75</v>
      </c>
      <c r="F1938" s="1">
        <v>58.286999000000002</v>
      </c>
      <c r="K1938" s="39">
        <f>DefaultValues!$B$4</f>
        <v>5</v>
      </c>
      <c r="L1938" s="1">
        <f>DefaultValues!$C$4</f>
        <v>0.5</v>
      </c>
      <c r="M1938" s="1" t="str">
        <f>DefaultValues!$D$4</f>
        <v xml:space="preserve">- Within interchange - </v>
      </c>
      <c r="N1938" s="1">
        <v>941.25</v>
      </c>
      <c r="O1938" s="1">
        <f>ABS(Table4[[#This Row],[EndMP]]-Table4[[#This Row],[StartMP]])</f>
        <v>0.46300099999999844</v>
      </c>
      <c r="P1938" s="1" t="str">
        <f>IF( AND( Table4[[#This Row],[Route]]=ClosureLocation!$B$3, ClosureLocation!$B$6 &gt;= Table4[[#This Row],[StartMP]], ClosureLocation!$B$6 &lt;= Table4[[#This Row],[EndMP]]), "Yes", "")</f>
        <v/>
      </c>
      <c r="Q1938" s="1" t="str">
        <f>IF( AND( Table4[[#This Row],[Route]]=ClosureLocation!$B$3, ClosureLocation!$B$6 &lt;= Table4[[#This Row],[StartMP]], ClosureLocation!$B$6 &gt;= Table4[[#This Row],[EndMP]]), "Yes", "")</f>
        <v/>
      </c>
      <c r="R1938" s="1" t="str">
        <f>IF( OR( Table4[[#This Row],[PrimaryMatch]]="Yes", Table4[[#This Row],[SecondaryMatch]]="Yes"), "Yes", "")</f>
        <v/>
      </c>
    </row>
    <row r="1939" spans="1:18" hidden="1" x14ac:dyDescent="0.25">
      <c r="A1939" t="s">
        <v>1253</v>
      </c>
      <c r="B1939" t="s">
        <v>3205</v>
      </c>
      <c r="C1939" t="s">
        <v>3206</v>
      </c>
      <c r="D1939" t="s">
        <v>4093</v>
      </c>
      <c r="E1939" s="1">
        <v>0</v>
      </c>
      <c r="F1939" s="1">
        <v>0.107</v>
      </c>
      <c r="K1939" s="39">
        <f>DefaultValues!$B$4</f>
        <v>5</v>
      </c>
      <c r="L1939" s="1">
        <f>DefaultValues!$C$4</f>
        <v>0.5</v>
      </c>
      <c r="M1939" s="1" t="str">
        <f>DefaultValues!$D$4</f>
        <v xml:space="preserve">- Within interchange - </v>
      </c>
      <c r="N1939" s="1">
        <v>0</v>
      </c>
      <c r="O1939" s="1">
        <f>ABS(Table4[[#This Row],[EndMP]]-Table4[[#This Row],[StartMP]])</f>
        <v>0.107</v>
      </c>
      <c r="P1939" s="1" t="str">
        <f>IF( AND( Table4[[#This Row],[Route]]=ClosureLocation!$B$3, ClosureLocation!$B$6 &gt;= Table4[[#This Row],[StartMP]], ClosureLocation!$B$6 &lt;= Table4[[#This Row],[EndMP]]), "Yes", "")</f>
        <v/>
      </c>
      <c r="Q1939" s="1" t="str">
        <f>IF( AND( Table4[[#This Row],[Route]]=ClosureLocation!$B$3, ClosureLocation!$B$6 &lt;= Table4[[#This Row],[StartMP]], ClosureLocation!$B$6 &gt;= Table4[[#This Row],[EndMP]]), "Yes", "")</f>
        <v/>
      </c>
      <c r="R1939" s="1" t="str">
        <f>IF( OR( Table4[[#This Row],[PrimaryMatch]]="Yes", Table4[[#This Row],[SecondaryMatch]]="Yes"), "Yes", "")</f>
        <v/>
      </c>
    </row>
    <row r="1940" spans="1:18" hidden="1" x14ac:dyDescent="0.25">
      <c r="A1940" t="s">
        <v>1253</v>
      </c>
      <c r="B1940" t="s">
        <v>3209</v>
      </c>
      <c r="C1940" t="s">
        <v>3210</v>
      </c>
      <c r="D1940" t="s">
        <v>4096</v>
      </c>
      <c r="E1940" s="1">
        <v>0.107</v>
      </c>
      <c r="F1940" s="1">
        <v>0</v>
      </c>
      <c r="K1940" s="39">
        <f>DefaultValues!$B$4</f>
        <v>5</v>
      </c>
      <c r="L1940" s="1">
        <f>DefaultValues!$C$4</f>
        <v>0.5</v>
      </c>
      <c r="M1940" s="1" t="str">
        <f>DefaultValues!$D$4</f>
        <v xml:space="preserve">- Within interchange - </v>
      </c>
      <c r="N1940" s="1">
        <v>999.89300500000002</v>
      </c>
      <c r="O1940" s="1">
        <f>ABS(Table4[[#This Row],[EndMP]]-Table4[[#This Row],[StartMP]])</f>
        <v>0.107</v>
      </c>
      <c r="P1940" s="1" t="str">
        <f>IF( AND( Table4[[#This Row],[Route]]=ClosureLocation!$B$3, ClosureLocation!$B$6 &gt;= Table4[[#This Row],[StartMP]], ClosureLocation!$B$6 &lt;= Table4[[#This Row],[EndMP]]), "Yes", "")</f>
        <v/>
      </c>
      <c r="Q1940" s="1" t="str">
        <f>IF( AND( Table4[[#This Row],[Route]]=ClosureLocation!$B$3, ClosureLocation!$B$6 &lt;= Table4[[#This Row],[StartMP]], ClosureLocation!$B$6 &gt;= Table4[[#This Row],[EndMP]]), "Yes", "")</f>
        <v/>
      </c>
      <c r="R1940" s="1" t="str">
        <f>IF( OR( Table4[[#This Row],[PrimaryMatch]]="Yes", Table4[[#This Row],[SecondaryMatch]]="Yes"), "Yes", "")</f>
        <v/>
      </c>
    </row>
    <row r="1941" spans="1:18" hidden="1" x14ac:dyDescent="0.25">
      <c r="A1941" t="s">
        <v>1276</v>
      </c>
      <c r="B1941" t="s">
        <v>3205</v>
      </c>
      <c r="C1941" t="s">
        <v>3222</v>
      </c>
      <c r="D1941" t="s">
        <v>4117</v>
      </c>
      <c r="E1941" s="1">
        <v>27.327000000000002</v>
      </c>
      <c r="F1941" s="1">
        <v>27.524000000000001</v>
      </c>
      <c r="K1941" s="39">
        <f>DefaultValues!$B$4</f>
        <v>5</v>
      </c>
      <c r="L1941" s="1">
        <f>DefaultValues!$C$4</f>
        <v>0.5</v>
      </c>
      <c r="M1941" s="1" t="str">
        <f>DefaultValues!$D$4</f>
        <v xml:space="preserve">- Within interchange - </v>
      </c>
      <c r="N1941" s="1">
        <v>27.327000000000002</v>
      </c>
      <c r="O1941" s="1">
        <f>ABS(Table4[[#This Row],[EndMP]]-Table4[[#This Row],[StartMP]])</f>
        <v>0.19699999999999918</v>
      </c>
      <c r="P1941" s="1" t="str">
        <f>IF( AND( Table4[[#This Row],[Route]]=ClosureLocation!$B$3, ClosureLocation!$B$6 &gt;= Table4[[#This Row],[StartMP]], ClosureLocation!$B$6 &lt;= Table4[[#This Row],[EndMP]]), "Yes", "")</f>
        <v/>
      </c>
      <c r="Q1941" s="1" t="str">
        <f>IF( AND( Table4[[#This Row],[Route]]=ClosureLocation!$B$3, ClosureLocation!$B$6 &lt;= Table4[[#This Row],[StartMP]], ClosureLocation!$B$6 &gt;= Table4[[#This Row],[EndMP]]), "Yes", "")</f>
        <v/>
      </c>
      <c r="R1941" s="1" t="str">
        <f>IF( OR( Table4[[#This Row],[PrimaryMatch]]="Yes", Table4[[#This Row],[SecondaryMatch]]="Yes"), "Yes", "")</f>
        <v/>
      </c>
    </row>
    <row r="1942" spans="1:18" hidden="1" x14ac:dyDescent="0.25">
      <c r="A1942" t="s">
        <v>1276</v>
      </c>
      <c r="B1942" t="s">
        <v>3209</v>
      </c>
      <c r="C1942" t="s">
        <v>3226</v>
      </c>
      <c r="D1942" t="s">
        <v>4119</v>
      </c>
      <c r="E1942" s="1">
        <v>27.524000000000001</v>
      </c>
      <c r="F1942" s="1">
        <v>27.327000000000002</v>
      </c>
      <c r="K1942" s="39">
        <f>DefaultValues!$B$4</f>
        <v>5</v>
      </c>
      <c r="L1942" s="1">
        <f>DefaultValues!$C$4</f>
        <v>0.5</v>
      </c>
      <c r="M1942" s="1" t="str">
        <f>DefaultValues!$D$4</f>
        <v xml:space="preserve">- Within interchange - </v>
      </c>
      <c r="N1942" s="1">
        <v>972.47601299999997</v>
      </c>
      <c r="O1942" s="1">
        <f>ABS(Table4[[#This Row],[EndMP]]-Table4[[#This Row],[StartMP]])</f>
        <v>0.19699999999999918</v>
      </c>
      <c r="P1942" s="1" t="str">
        <f>IF( AND( Table4[[#This Row],[Route]]=ClosureLocation!$B$3, ClosureLocation!$B$6 &gt;= Table4[[#This Row],[StartMP]], ClosureLocation!$B$6 &lt;= Table4[[#This Row],[EndMP]]), "Yes", "")</f>
        <v/>
      </c>
      <c r="Q1942" s="1" t="str">
        <f>IF( AND( Table4[[#This Row],[Route]]=ClosureLocation!$B$3, ClosureLocation!$B$6 &lt;= Table4[[#This Row],[StartMP]], ClosureLocation!$B$6 &gt;= Table4[[#This Row],[EndMP]]), "Yes", "")</f>
        <v/>
      </c>
      <c r="R1942" s="1" t="str">
        <f>IF( OR( Table4[[#This Row],[PrimaryMatch]]="Yes", Table4[[#This Row],[SecondaryMatch]]="Yes"), "Yes", "")</f>
        <v/>
      </c>
    </row>
    <row r="1943" spans="1:18" hidden="1" x14ac:dyDescent="0.25">
      <c r="A1943" t="s">
        <v>1305</v>
      </c>
      <c r="B1943" t="s">
        <v>3205</v>
      </c>
      <c r="C1943" t="s">
        <v>3206</v>
      </c>
      <c r="D1943" t="s">
        <v>4139</v>
      </c>
      <c r="E1943" s="1">
        <v>0</v>
      </c>
      <c r="F1943" s="1">
        <v>0.27700000000000002</v>
      </c>
      <c r="K1943" s="39">
        <f>DefaultValues!$B$4</f>
        <v>5</v>
      </c>
      <c r="L1943" s="1">
        <f>DefaultValues!$C$4</f>
        <v>0.5</v>
      </c>
      <c r="M1943" s="1" t="str">
        <f>DefaultValues!$D$4</f>
        <v xml:space="preserve">- Within interchange - </v>
      </c>
      <c r="N1943" s="1">
        <v>0</v>
      </c>
      <c r="O1943" s="1">
        <f>ABS(Table4[[#This Row],[EndMP]]-Table4[[#This Row],[StartMP]])</f>
        <v>0.27700000000000002</v>
      </c>
      <c r="P1943" s="1" t="str">
        <f>IF( AND( Table4[[#This Row],[Route]]=ClosureLocation!$B$3, ClosureLocation!$B$6 &gt;= Table4[[#This Row],[StartMP]], ClosureLocation!$B$6 &lt;= Table4[[#This Row],[EndMP]]), "Yes", "")</f>
        <v/>
      </c>
      <c r="Q1943" s="1" t="str">
        <f>IF( AND( Table4[[#This Row],[Route]]=ClosureLocation!$B$3, ClosureLocation!$B$6 &lt;= Table4[[#This Row],[StartMP]], ClosureLocation!$B$6 &gt;= Table4[[#This Row],[EndMP]]), "Yes", "")</f>
        <v/>
      </c>
      <c r="R1943" s="1" t="str">
        <f>IF( OR( Table4[[#This Row],[PrimaryMatch]]="Yes", Table4[[#This Row],[SecondaryMatch]]="Yes"), "Yes", "")</f>
        <v/>
      </c>
    </row>
    <row r="1944" spans="1:18" hidden="1" x14ac:dyDescent="0.25">
      <c r="A1944" t="s">
        <v>1305</v>
      </c>
      <c r="B1944" t="s">
        <v>3205</v>
      </c>
      <c r="C1944" t="s">
        <v>3206</v>
      </c>
      <c r="D1944" t="s">
        <v>4139</v>
      </c>
      <c r="E1944" s="1">
        <v>2.7970000000000002</v>
      </c>
      <c r="F1944" s="1">
        <v>2.9510000000000001</v>
      </c>
      <c r="K1944" s="39">
        <f>DefaultValues!$B$4</f>
        <v>5</v>
      </c>
      <c r="L1944" s="1">
        <f>DefaultValues!$C$4</f>
        <v>0.5</v>
      </c>
      <c r="M1944" s="1" t="str">
        <f>DefaultValues!$D$4</f>
        <v xml:space="preserve">- Within interchange - </v>
      </c>
      <c r="N1944" s="1">
        <v>2.7970000000000002</v>
      </c>
      <c r="O1944" s="1">
        <f>ABS(Table4[[#This Row],[EndMP]]-Table4[[#This Row],[StartMP]])</f>
        <v>0.15399999999999991</v>
      </c>
      <c r="P1944" s="1" t="str">
        <f>IF( AND( Table4[[#This Row],[Route]]=ClosureLocation!$B$3, ClosureLocation!$B$6 &gt;= Table4[[#This Row],[StartMP]], ClosureLocation!$B$6 &lt;= Table4[[#This Row],[EndMP]]), "Yes", "")</f>
        <v/>
      </c>
      <c r="Q1944" s="1" t="str">
        <f>IF( AND( Table4[[#This Row],[Route]]=ClosureLocation!$B$3, ClosureLocation!$B$6 &lt;= Table4[[#This Row],[StartMP]], ClosureLocation!$B$6 &gt;= Table4[[#This Row],[EndMP]]), "Yes", "")</f>
        <v/>
      </c>
      <c r="R1944" s="1" t="str">
        <f>IF( OR( Table4[[#This Row],[PrimaryMatch]]="Yes", Table4[[#This Row],[SecondaryMatch]]="Yes"), "Yes", "")</f>
        <v/>
      </c>
    </row>
    <row r="1945" spans="1:18" hidden="1" x14ac:dyDescent="0.25">
      <c r="A1945" t="s">
        <v>1305</v>
      </c>
      <c r="B1945" t="s">
        <v>3205</v>
      </c>
      <c r="C1945" t="s">
        <v>3206</v>
      </c>
      <c r="D1945" t="s">
        <v>4139</v>
      </c>
      <c r="E1945" s="1">
        <v>3.597</v>
      </c>
      <c r="F1945" s="1">
        <v>4.53</v>
      </c>
      <c r="K1945" s="39">
        <f>DefaultValues!$B$4</f>
        <v>5</v>
      </c>
      <c r="L1945" s="1">
        <f>DefaultValues!$C$4</f>
        <v>0.5</v>
      </c>
      <c r="M1945" s="1" t="str">
        <f>DefaultValues!$D$4</f>
        <v xml:space="preserve">- Within interchange - </v>
      </c>
      <c r="N1945" s="1">
        <v>3.597</v>
      </c>
      <c r="O1945" s="1">
        <f>ABS(Table4[[#This Row],[EndMP]]-Table4[[#This Row],[StartMP]])</f>
        <v>0.93300000000000027</v>
      </c>
      <c r="P1945" s="1" t="str">
        <f>IF( AND( Table4[[#This Row],[Route]]=ClosureLocation!$B$3, ClosureLocation!$B$6 &gt;= Table4[[#This Row],[StartMP]], ClosureLocation!$B$6 &lt;= Table4[[#This Row],[EndMP]]), "Yes", "")</f>
        <v/>
      </c>
      <c r="Q1945" s="1" t="str">
        <f>IF( AND( Table4[[#This Row],[Route]]=ClosureLocation!$B$3, ClosureLocation!$B$6 &lt;= Table4[[#This Row],[StartMP]], ClosureLocation!$B$6 &gt;= Table4[[#This Row],[EndMP]]), "Yes", "")</f>
        <v/>
      </c>
      <c r="R1945" s="1" t="str">
        <f>IF( OR( Table4[[#This Row],[PrimaryMatch]]="Yes", Table4[[#This Row],[SecondaryMatch]]="Yes"), "Yes", "")</f>
        <v/>
      </c>
    </row>
    <row r="1946" spans="1:18" hidden="1" x14ac:dyDescent="0.25">
      <c r="A1946" t="s">
        <v>1305</v>
      </c>
      <c r="B1946" t="s">
        <v>3209</v>
      </c>
      <c r="C1946" t="s">
        <v>3210</v>
      </c>
      <c r="D1946" t="s">
        <v>4142</v>
      </c>
      <c r="E1946" s="1">
        <v>4</v>
      </c>
      <c r="F1946" s="1">
        <v>3.597</v>
      </c>
      <c r="K1946" s="39">
        <f>DefaultValues!$B$4</f>
        <v>5</v>
      </c>
      <c r="L1946" s="1">
        <f>DefaultValues!$C$4</f>
        <v>0.5</v>
      </c>
      <c r="M1946" s="1" t="str">
        <f>DefaultValues!$D$4</f>
        <v xml:space="preserve">- Within interchange - </v>
      </c>
      <c r="N1946" s="1">
        <v>996</v>
      </c>
      <c r="O1946" s="1">
        <f>ABS(Table4[[#This Row],[EndMP]]-Table4[[#This Row],[StartMP]])</f>
        <v>0.40300000000000002</v>
      </c>
      <c r="P1946" s="1" t="str">
        <f>IF( AND( Table4[[#This Row],[Route]]=ClosureLocation!$B$3, ClosureLocation!$B$6 &gt;= Table4[[#This Row],[StartMP]], ClosureLocation!$B$6 &lt;= Table4[[#This Row],[EndMP]]), "Yes", "")</f>
        <v/>
      </c>
      <c r="Q1946" s="1" t="str">
        <f>IF( AND( Table4[[#This Row],[Route]]=ClosureLocation!$B$3, ClosureLocation!$B$6 &lt;= Table4[[#This Row],[StartMP]], ClosureLocation!$B$6 &gt;= Table4[[#This Row],[EndMP]]), "Yes", "")</f>
        <v/>
      </c>
      <c r="R1946" s="1" t="str">
        <f>IF( OR( Table4[[#This Row],[PrimaryMatch]]="Yes", Table4[[#This Row],[SecondaryMatch]]="Yes"), "Yes", "")</f>
        <v/>
      </c>
    </row>
    <row r="1947" spans="1:18" hidden="1" x14ac:dyDescent="0.25">
      <c r="A1947" t="s">
        <v>1305</v>
      </c>
      <c r="B1947" t="s">
        <v>3209</v>
      </c>
      <c r="C1947" t="s">
        <v>3210</v>
      </c>
      <c r="D1947" t="s">
        <v>4142</v>
      </c>
      <c r="E1947" s="1">
        <v>2.9510000000000001</v>
      </c>
      <c r="F1947" s="1">
        <v>2.7970000000000002</v>
      </c>
      <c r="K1947" s="39">
        <f>DefaultValues!$B$4</f>
        <v>5</v>
      </c>
      <c r="L1947" s="1">
        <f>DefaultValues!$C$4</f>
        <v>0.5</v>
      </c>
      <c r="M1947" s="1" t="str">
        <f>DefaultValues!$D$4</f>
        <v xml:space="preserve">- Within interchange - </v>
      </c>
      <c r="N1947" s="1">
        <v>997.04901099999995</v>
      </c>
      <c r="O1947" s="1">
        <f>ABS(Table4[[#This Row],[EndMP]]-Table4[[#This Row],[StartMP]])</f>
        <v>0.15399999999999991</v>
      </c>
      <c r="P1947" s="1" t="str">
        <f>IF( AND( Table4[[#This Row],[Route]]=ClosureLocation!$B$3, ClosureLocation!$B$6 &gt;= Table4[[#This Row],[StartMP]], ClosureLocation!$B$6 &lt;= Table4[[#This Row],[EndMP]]), "Yes", "")</f>
        <v/>
      </c>
      <c r="Q1947" s="1" t="str">
        <f>IF( AND( Table4[[#This Row],[Route]]=ClosureLocation!$B$3, ClosureLocation!$B$6 &lt;= Table4[[#This Row],[StartMP]], ClosureLocation!$B$6 &gt;= Table4[[#This Row],[EndMP]]), "Yes", "")</f>
        <v/>
      </c>
      <c r="R1947" s="1" t="str">
        <f>IF( OR( Table4[[#This Row],[PrimaryMatch]]="Yes", Table4[[#This Row],[SecondaryMatch]]="Yes"), "Yes", "")</f>
        <v/>
      </c>
    </row>
    <row r="1948" spans="1:18" hidden="1" x14ac:dyDescent="0.25">
      <c r="A1948" t="s">
        <v>1313</v>
      </c>
      <c r="B1948" t="s">
        <v>3205</v>
      </c>
      <c r="C1948" t="s">
        <v>3222</v>
      </c>
      <c r="D1948" t="s">
        <v>4149</v>
      </c>
      <c r="E1948" s="1">
        <v>48.215000000000003</v>
      </c>
      <c r="F1948" s="1">
        <v>49.001998999999998</v>
      </c>
      <c r="K1948" s="39">
        <f>DefaultValues!$B$4</f>
        <v>5</v>
      </c>
      <c r="L1948" s="1">
        <f>DefaultValues!$C$4</f>
        <v>0.5</v>
      </c>
      <c r="M1948" s="1" t="str">
        <f>DefaultValues!$D$4</f>
        <v xml:space="preserve">- Within interchange - </v>
      </c>
      <c r="N1948" s="1">
        <v>48.215000000000003</v>
      </c>
      <c r="O1948" s="1">
        <f>ABS(Table4[[#This Row],[EndMP]]-Table4[[#This Row],[StartMP]])</f>
        <v>0.78699899999999445</v>
      </c>
      <c r="P1948" s="1" t="str">
        <f>IF( AND( Table4[[#This Row],[Route]]=ClosureLocation!$B$3, ClosureLocation!$B$6 &gt;= Table4[[#This Row],[StartMP]], ClosureLocation!$B$6 &lt;= Table4[[#This Row],[EndMP]]), "Yes", "")</f>
        <v/>
      </c>
      <c r="Q1948" s="1" t="str">
        <f>IF( AND( Table4[[#This Row],[Route]]=ClosureLocation!$B$3, ClosureLocation!$B$6 &lt;= Table4[[#This Row],[StartMP]], ClosureLocation!$B$6 &gt;= Table4[[#This Row],[EndMP]]), "Yes", "")</f>
        <v/>
      </c>
      <c r="R1948" s="1" t="str">
        <f>IF( OR( Table4[[#This Row],[PrimaryMatch]]="Yes", Table4[[#This Row],[SecondaryMatch]]="Yes"), "Yes", "")</f>
        <v/>
      </c>
    </row>
    <row r="1949" spans="1:18" hidden="1" x14ac:dyDescent="0.25">
      <c r="A1949" t="s">
        <v>1313</v>
      </c>
      <c r="B1949" t="s">
        <v>3205</v>
      </c>
      <c r="C1949" t="s">
        <v>3222</v>
      </c>
      <c r="D1949" t="s">
        <v>4149</v>
      </c>
      <c r="E1949" s="1">
        <v>83.165001000000004</v>
      </c>
      <c r="F1949" s="1">
        <v>83.207001000000005</v>
      </c>
      <c r="K1949" s="39">
        <f>DefaultValues!$B$4</f>
        <v>5</v>
      </c>
      <c r="L1949" s="1">
        <f>DefaultValues!$C$4</f>
        <v>0.5</v>
      </c>
      <c r="M1949" s="1" t="str">
        <f>DefaultValues!$D$4</f>
        <v xml:space="preserve">- Within interchange - </v>
      </c>
      <c r="N1949" s="1">
        <v>83.165001000000004</v>
      </c>
      <c r="O1949" s="1">
        <f>ABS(Table4[[#This Row],[EndMP]]-Table4[[#This Row],[StartMP]])</f>
        <v>4.2000000000001592E-2</v>
      </c>
      <c r="P1949" s="1" t="str">
        <f>IF( AND( Table4[[#This Row],[Route]]=ClosureLocation!$B$3, ClosureLocation!$B$6 &gt;= Table4[[#This Row],[StartMP]], ClosureLocation!$B$6 &lt;= Table4[[#This Row],[EndMP]]), "Yes", "")</f>
        <v/>
      </c>
      <c r="Q1949" s="1" t="str">
        <f>IF( AND( Table4[[#This Row],[Route]]=ClosureLocation!$B$3, ClosureLocation!$B$6 &lt;= Table4[[#This Row],[StartMP]], ClosureLocation!$B$6 &gt;= Table4[[#This Row],[EndMP]]), "Yes", "")</f>
        <v/>
      </c>
      <c r="R1949" s="1" t="str">
        <f>IF( OR( Table4[[#This Row],[PrimaryMatch]]="Yes", Table4[[#This Row],[SecondaryMatch]]="Yes"), "Yes", "")</f>
        <v/>
      </c>
    </row>
    <row r="1950" spans="1:18" hidden="1" x14ac:dyDescent="0.25">
      <c r="A1950" t="s">
        <v>1313</v>
      </c>
      <c r="B1950" t="s">
        <v>3205</v>
      </c>
      <c r="C1950" t="s">
        <v>3222</v>
      </c>
      <c r="D1950" t="s">
        <v>4149</v>
      </c>
      <c r="E1950" s="1">
        <v>84.512000999999998</v>
      </c>
      <c r="F1950" s="1">
        <v>84.633003000000002</v>
      </c>
      <c r="K1950" s="39">
        <f>DefaultValues!$B$4</f>
        <v>5</v>
      </c>
      <c r="L1950" s="1">
        <f>DefaultValues!$C$4</f>
        <v>0.5</v>
      </c>
      <c r="M1950" s="1" t="str">
        <f>DefaultValues!$D$4</f>
        <v xml:space="preserve">- Within interchange - </v>
      </c>
      <c r="N1950" s="1">
        <v>84.512000999999998</v>
      </c>
      <c r="O1950" s="1">
        <f>ABS(Table4[[#This Row],[EndMP]]-Table4[[#This Row],[StartMP]])</f>
        <v>0.12100200000000427</v>
      </c>
      <c r="P1950" s="1" t="str">
        <f>IF( AND( Table4[[#This Row],[Route]]=ClosureLocation!$B$3, ClosureLocation!$B$6 &gt;= Table4[[#This Row],[StartMP]], ClosureLocation!$B$6 &lt;= Table4[[#This Row],[EndMP]]), "Yes", "")</f>
        <v/>
      </c>
      <c r="Q1950" s="1" t="str">
        <f>IF( AND( Table4[[#This Row],[Route]]=ClosureLocation!$B$3, ClosureLocation!$B$6 &lt;= Table4[[#This Row],[StartMP]], ClosureLocation!$B$6 &gt;= Table4[[#This Row],[EndMP]]), "Yes", "")</f>
        <v/>
      </c>
      <c r="R1950" s="1" t="str">
        <f>IF( OR( Table4[[#This Row],[PrimaryMatch]]="Yes", Table4[[#This Row],[SecondaryMatch]]="Yes"), "Yes", "")</f>
        <v/>
      </c>
    </row>
    <row r="1951" spans="1:18" hidden="1" x14ac:dyDescent="0.25">
      <c r="A1951" t="s">
        <v>1313</v>
      </c>
      <c r="B1951" t="s">
        <v>3205</v>
      </c>
      <c r="C1951" t="s">
        <v>3222</v>
      </c>
      <c r="D1951" t="s">
        <v>4149</v>
      </c>
      <c r="E1951" s="1">
        <v>144.378998</v>
      </c>
      <c r="F1951" s="1">
        <v>144.47799699999999</v>
      </c>
      <c r="K1951" s="39">
        <f>DefaultValues!$B$4</f>
        <v>5</v>
      </c>
      <c r="L1951" s="1">
        <f>DefaultValues!$C$4</f>
        <v>0.5</v>
      </c>
      <c r="M1951" s="1" t="str">
        <f>DefaultValues!$D$4</f>
        <v xml:space="preserve">- Within interchange - </v>
      </c>
      <c r="N1951" s="1">
        <v>144.378998</v>
      </c>
      <c r="O1951" s="1">
        <f>ABS(Table4[[#This Row],[EndMP]]-Table4[[#This Row],[StartMP]])</f>
        <v>9.8998999999992066E-2</v>
      </c>
      <c r="P1951" s="1" t="str">
        <f>IF( AND( Table4[[#This Row],[Route]]=ClosureLocation!$B$3, ClosureLocation!$B$6 &gt;= Table4[[#This Row],[StartMP]], ClosureLocation!$B$6 &lt;= Table4[[#This Row],[EndMP]]), "Yes", "")</f>
        <v/>
      </c>
      <c r="Q1951" s="1" t="str">
        <f>IF( AND( Table4[[#This Row],[Route]]=ClosureLocation!$B$3, ClosureLocation!$B$6 &lt;= Table4[[#This Row],[StartMP]], ClosureLocation!$B$6 &gt;= Table4[[#This Row],[EndMP]]), "Yes", "")</f>
        <v/>
      </c>
      <c r="R1951" s="1" t="str">
        <f>IF( OR( Table4[[#This Row],[PrimaryMatch]]="Yes", Table4[[#This Row],[SecondaryMatch]]="Yes"), "Yes", "")</f>
        <v/>
      </c>
    </row>
    <row r="1952" spans="1:18" hidden="1" x14ac:dyDescent="0.25">
      <c r="A1952" t="s">
        <v>1313</v>
      </c>
      <c r="B1952" t="s">
        <v>3209</v>
      </c>
      <c r="C1952" t="s">
        <v>3226</v>
      </c>
      <c r="D1952" t="s">
        <v>4150</v>
      </c>
      <c r="E1952" s="1">
        <v>144.47799699999999</v>
      </c>
      <c r="F1952" s="1">
        <v>144.378998</v>
      </c>
      <c r="K1952" s="39">
        <f>DefaultValues!$B$4</f>
        <v>5</v>
      </c>
      <c r="L1952" s="1">
        <f>DefaultValues!$C$4</f>
        <v>0.5</v>
      </c>
      <c r="M1952" s="1" t="str">
        <f>DefaultValues!$D$4</f>
        <v xml:space="preserve">- Within interchange - </v>
      </c>
      <c r="N1952" s="1">
        <v>855.521973</v>
      </c>
      <c r="O1952" s="1">
        <f>ABS(Table4[[#This Row],[EndMP]]-Table4[[#This Row],[StartMP]])</f>
        <v>9.8998999999992066E-2</v>
      </c>
      <c r="P1952" s="1" t="str">
        <f>IF( AND( Table4[[#This Row],[Route]]=ClosureLocation!$B$3, ClosureLocation!$B$6 &gt;= Table4[[#This Row],[StartMP]], ClosureLocation!$B$6 &lt;= Table4[[#This Row],[EndMP]]), "Yes", "")</f>
        <v/>
      </c>
      <c r="Q1952" s="1" t="str">
        <f>IF( AND( Table4[[#This Row],[Route]]=ClosureLocation!$B$3, ClosureLocation!$B$6 &lt;= Table4[[#This Row],[StartMP]], ClosureLocation!$B$6 &gt;= Table4[[#This Row],[EndMP]]), "Yes", "")</f>
        <v/>
      </c>
      <c r="R1952" s="1" t="str">
        <f>IF( OR( Table4[[#This Row],[PrimaryMatch]]="Yes", Table4[[#This Row],[SecondaryMatch]]="Yes"), "Yes", "")</f>
        <v/>
      </c>
    </row>
    <row r="1953" spans="1:18" hidden="1" x14ac:dyDescent="0.25">
      <c r="A1953" t="s">
        <v>1313</v>
      </c>
      <c r="B1953" t="s">
        <v>3209</v>
      </c>
      <c r="C1953" t="s">
        <v>3226</v>
      </c>
      <c r="D1953" t="s">
        <v>4150</v>
      </c>
      <c r="E1953" s="1">
        <v>84.633003000000002</v>
      </c>
      <c r="F1953" s="1">
        <v>84.512000999999998</v>
      </c>
      <c r="K1953" s="39">
        <f>DefaultValues!$B$4</f>
        <v>5</v>
      </c>
      <c r="L1953" s="1">
        <f>DefaultValues!$C$4</f>
        <v>0.5</v>
      </c>
      <c r="M1953" s="1" t="str">
        <f>DefaultValues!$D$4</f>
        <v xml:space="preserve">- Within interchange - </v>
      </c>
      <c r="N1953" s="1">
        <v>915.36700399999995</v>
      </c>
      <c r="O1953" s="1">
        <f>ABS(Table4[[#This Row],[EndMP]]-Table4[[#This Row],[StartMP]])</f>
        <v>0.12100200000000427</v>
      </c>
      <c r="P1953" s="1" t="str">
        <f>IF( AND( Table4[[#This Row],[Route]]=ClosureLocation!$B$3, ClosureLocation!$B$6 &gt;= Table4[[#This Row],[StartMP]], ClosureLocation!$B$6 &lt;= Table4[[#This Row],[EndMP]]), "Yes", "")</f>
        <v/>
      </c>
      <c r="Q1953" s="1" t="str">
        <f>IF( AND( Table4[[#This Row],[Route]]=ClosureLocation!$B$3, ClosureLocation!$B$6 &lt;= Table4[[#This Row],[StartMP]], ClosureLocation!$B$6 &gt;= Table4[[#This Row],[EndMP]]), "Yes", "")</f>
        <v/>
      </c>
      <c r="R1953" s="1" t="str">
        <f>IF( OR( Table4[[#This Row],[PrimaryMatch]]="Yes", Table4[[#This Row],[SecondaryMatch]]="Yes"), "Yes", "")</f>
        <v/>
      </c>
    </row>
    <row r="1954" spans="1:18" hidden="1" x14ac:dyDescent="0.25">
      <c r="A1954" t="s">
        <v>1313</v>
      </c>
      <c r="B1954" t="s">
        <v>3209</v>
      </c>
      <c r="C1954" t="s">
        <v>3226</v>
      </c>
      <c r="D1954" t="s">
        <v>4150</v>
      </c>
      <c r="E1954" s="1">
        <v>83.207001000000005</v>
      </c>
      <c r="F1954" s="1">
        <v>83.165001000000004</v>
      </c>
      <c r="K1954" s="39">
        <f>DefaultValues!$B$4</f>
        <v>5</v>
      </c>
      <c r="L1954" s="1">
        <f>DefaultValues!$C$4</f>
        <v>0.5</v>
      </c>
      <c r="M1954" s="1" t="str">
        <f>DefaultValues!$D$4</f>
        <v xml:space="preserve">- Within interchange - </v>
      </c>
      <c r="N1954" s="1">
        <v>916.79303000000004</v>
      </c>
      <c r="O1954" s="1">
        <f>ABS(Table4[[#This Row],[EndMP]]-Table4[[#This Row],[StartMP]])</f>
        <v>4.2000000000001592E-2</v>
      </c>
      <c r="P1954" s="1" t="str">
        <f>IF( AND( Table4[[#This Row],[Route]]=ClosureLocation!$B$3, ClosureLocation!$B$6 &gt;= Table4[[#This Row],[StartMP]], ClosureLocation!$B$6 &lt;= Table4[[#This Row],[EndMP]]), "Yes", "")</f>
        <v/>
      </c>
      <c r="Q1954" s="1" t="str">
        <f>IF( AND( Table4[[#This Row],[Route]]=ClosureLocation!$B$3, ClosureLocation!$B$6 &lt;= Table4[[#This Row],[StartMP]], ClosureLocation!$B$6 &gt;= Table4[[#This Row],[EndMP]]), "Yes", "")</f>
        <v/>
      </c>
      <c r="R1954" s="1" t="str">
        <f>IF( OR( Table4[[#This Row],[PrimaryMatch]]="Yes", Table4[[#This Row],[SecondaryMatch]]="Yes"), "Yes", "")</f>
        <v/>
      </c>
    </row>
    <row r="1955" spans="1:18" hidden="1" x14ac:dyDescent="0.25">
      <c r="A1955" t="s">
        <v>1313</v>
      </c>
      <c r="B1955" t="s">
        <v>3209</v>
      </c>
      <c r="C1955" t="s">
        <v>3226</v>
      </c>
      <c r="D1955" t="s">
        <v>4150</v>
      </c>
      <c r="E1955" s="1">
        <v>49.001998999999998</v>
      </c>
      <c r="F1955" s="1">
        <v>48.215000000000003</v>
      </c>
      <c r="K1955" s="39">
        <f>DefaultValues!$B$4</f>
        <v>5</v>
      </c>
      <c r="L1955" s="1">
        <f>DefaultValues!$C$4</f>
        <v>0.5</v>
      </c>
      <c r="M1955" s="1" t="str">
        <f>DefaultValues!$D$4</f>
        <v xml:space="preserve">- Within interchange - </v>
      </c>
      <c r="N1955" s="1">
        <v>950.99798599999997</v>
      </c>
      <c r="O1955" s="1">
        <f>ABS(Table4[[#This Row],[EndMP]]-Table4[[#This Row],[StartMP]])</f>
        <v>0.78699899999999445</v>
      </c>
      <c r="P1955" s="1" t="str">
        <f>IF( AND( Table4[[#This Row],[Route]]=ClosureLocation!$B$3, ClosureLocation!$B$6 &gt;= Table4[[#This Row],[StartMP]], ClosureLocation!$B$6 &lt;= Table4[[#This Row],[EndMP]]), "Yes", "")</f>
        <v/>
      </c>
      <c r="Q1955" s="1" t="str">
        <f>IF( AND( Table4[[#This Row],[Route]]=ClosureLocation!$B$3, ClosureLocation!$B$6 &lt;= Table4[[#This Row],[StartMP]], ClosureLocation!$B$6 &gt;= Table4[[#This Row],[EndMP]]), "Yes", "")</f>
        <v/>
      </c>
      <c r="R1955" s="1" t="str">
        <f>IF( OR( Table4[[#This Row],[PrimaryMatch]]="Yes", Table4[[#This Row],[SecondaryMatch]]="Yes"), "Yes", "")</f>
        <v/>
      </c>
    </row>
    <row r="1956" spans="1:18" hidden="1" x14ac:dyDescent="0.25">
      <c r="A1956" t="s">
        <v>1353</v>
      </c>
      <c r="B1956" t="s">
        <v>3205</v>
      </c>
      <c r="C1956" t="s">
        <v>3222</v>
      </c>
      <c r="D1956" t="s">
        <v>4151</v>
      </c>
      <c r="E1956" s="1">
        <v>306.28698700000001</v>
      </c>
      <c r="F1956" s="1">
        <v>306.35000600000001</v>
      </c>
      <c r="K1956" s="39">
        <f>DefaultValues!$B$4</f>
        <v>5</v>
      </c>
      <c r="L1956" s="1">
        <f>DefaultValues!$C$4</f>
        <v>0.5</v>
      </c>
      <c r="M1956" s="1" t="str">
        <f>DefaultValues!$D$4</f>
        <v xml:space="preserve">- Within interchange - </v>
      </c>
      <c r="N1956" s="1">
        <v>306.28698700000001</v>
      </c>
      <c r="O1956" s="1">
        <f>ABS(Table4[[#This Row],[EndMP]]-Table4[[#This Row],[StartMP]])</f>
        <v>6.301899999999705E-2</v>
      </c>
      <c r="P1956" s="1" t="str">
        <f>IF( AND( Table4[[#This Row],[Route]]=ClosureLocation!$B$3, ClosureLocation!$B$6 &gt;= Table4[[#This Row],[StartMP]], ClosureLocation!$B$6 &lt;= Table4[[#This Row],[EndMP]]), "Yes", "")</f>
        <v/>
      </c>
      <c r="Q1956" s="1" t="str">
        <f>IF( AND( Table4[[#This Row],[Route]]=ClosureLocation!$B$3, ClosureLocation!$B$6 &lt;= Table4[[#This Row],[StartMP]], ClosureLocation!$B$6 &gt;= Table4[[#This Row],[EndMP]]), "Yes", "")</f>
        <v/>
      </c>
      <c r="R1956" s="1" t="str">
        <f>IF( OR( Table4[[#This Row],[PrimaryMatch]]="Yes", Table4[[#This Row],[SecondaryMatch]]="Yes"), "Yes", "")</f>
        <v/>
      </c>
    </row>
    <row r="1957" spans="1:18" hidden="1" x14ac:dyDescent="0.25">
      <c r="A1957" t="s">
        <v>1353</v>
      </c>
      <c r="B1957" t="s">
        <v>3209</v>
      </c>
      <c r="C1957" t="s">
        <v>3226</v>
      </c>
      <c r="D1957" t="s">
        <v>4153</v>
      </c>
      <c r="E1957" s="1">
        <v>306.35000600000001</v>
      </c>
      <c r="F1957" s="1">
        <v>306.28698700000001</v>
      </c>
      <c r="K1957" s="39">
        <f>DefaultValues!$B$4</f>
        <v>5</v>
      </c>
      <c r="L1957" s="1">
        <f>DefaultValues!$C$4</f>
        <v>0.5</v>
      </c>
      <c r="M1957" s="1" t="str">
        <f>DefaultValues!$D$4</f>
        <v xml:space="preserve">- Within interchange - </v>
      </c>
      <c r="N1957" s="1">
        <v>693.65002400000003</v>
      </c>
      <c r="O1957" s="1">
        <f>ABS(Table4[[#This Row],[EndMP]]-Table4[[#This Row],[StartMP]])</f>
        <v>6.301899999999705E-2</v>
      </c>
      <c r="P1957" s="1" t="str">
        <f>IF( AND( Table4[[#This Row],[Route]]=ClosureLocation!$B$3, ClosureLocation!$B$6 &gt;= Table4[[#This Row],[StartMP]], ClosureLocation!$B$6 &lt;= Table4[[#This Row],[EndMP]]), "Yes", "")</f>
        <v/>
      </c>
      <c r="Q1957" s="1" t="str">
        <f>IF( AND( Table4[[#This Row],[Route]]=ClosureLocation!$B$3, ClosureLocation!$B$6 &lt;= Table4[[#This Row],[StartMP]], ClosureLocation!$B$6 &gt;= Table4[[#This Row],[EndMP]]), "Yes", "")</f>
        <v/>
      </c>
      <c r="R1957" s="1" t="str">
        <f>IF( OR( Table4[[#This Row],[PrimaryMatch]]="Yes", Table4[[#This Row],[SecondaryMatch]]="Yes"), "Yes", "")</f>
        <v/>
      </c>
    </row>
    <row r="1958" spans="1:18" hidden="1" x14ac:dyDescent="0.25">
      <c r="A1958" t="s">
        <v>1357</v>
      </c>
      <c r="B1958" t="s">
        <v>3205</v>
      </c>
      <c r="C1958" t="s">
        <v>3222</v>
      </c>
      <c r="D1958" t="s">
        <v>4155</v>
      </c>
      <c r="E1958" s="1">
        <v>344.57199100000003</v>
      </c>
      <c r="F1958" s="1">
        <v>344.65499899999998</v>
      </c>
      <c r="K1958" s="39">
        <f>DefaultValues!$B$4</f>
        <v>5</v>
      </c>
      <c r="L1958" s="1">
        <f>DefaultValues!$C$4</f>
        <v>0.5</v>
      </c>
      <c r="M1958" s="1" t="str">
        <f>DefaultValues!$D$4</f>
        <v xml:space="preserve">- Within interchange - </v>
      </c>
      <c r="N1958" s="1">
        <v>344.57199100000003</v>
      </c>
      <c r="O1958" s="1">
        <f>ABS(Table4[[#This Row],[EndMP]]-Table4[[#This Row],[StartMP]])</f>
        <v>8.3007999999949789E-2</v>
      </c>
      <c r="P1958" s="1" t="str">
        <f>IF( AND( Table4[[#This Row],[Route]]=ClosureLocation!$B$3, ClosureLocation!$B$6 &gt;= Table4[[#This Row],[StartMP]], ClosureLocation!$B$6 &lt;= Table4[[#This Row],[EndMP]]), "Yes", "")</f>
        <v/>
      </c>
      <c r="Q1958" s="1" t="str">
        <f>IF( AND( Table4[[#This Row],[Route]]=ClosureLocation!$B$3, ClosureLocation!$B$6 &lt;= Table4[[#This Row],[StartMP]], ClosureLocation!$B$6 &gt;= Table4[[#This Row],[EndMP]]), "Yes", "")</f>
        <v/>
      </c>
      <c r="R1958" s="1" t="str">
        <f>IF( OR( Table4[[#This Row],[PrimaryMatch]]="Yes", Table4[[#This Row],[SecondaryMatch]]="Yes"), "Yes", "")</f>
        <v/>
      </c>
    </row>
    <row r="1959" spans="1:18" hidden="1" x14ac:dyDescent="0.25">
      <c r="A1959" t="s">
        <v>1357</v>
      </c>
      <c r="B1959" t="s">
        <v>3209</v>
      </c>
      <c r="C1959" t="s">
        <v>3226</v>
      </c>
      <c r="D1959" t="s">
        <v>4158</v>
      </c>
      <c r="E1959" s="1">
        <v>344.65499899999998</v>
      </c>
      <c r="F1959" s="1">
        <v>344.57199100000003</v>
      </c>
      <c r="K1959" s="39">
        <f>DefaultValues!$B$4</f>
        <v>5</v>
      </c>
      <c r="L1959" s="1">
        <f>DefaultValues!$C$4</f>
        <v>0.5</v>
      </c>
      <c r="M1959" s="1" t="str">
        <f>DefaultValues!$D$4</f>
        <v xml:space="preserve">- Within interchange - </v>
      </c>
      <c r="N1959" s="1">
        <v>655.34497099999999</v>
      </c>
      <c r="O1959" s="1">
        <f>ABS(Table4[[#This Row],[EndMP]]-Table4[[#This Row],[StartMP]])</f>
        <v>8.3007999999949789E-2</v>
      </c>
      <c r="P1959" s="1" t="str">
        <f>IF( AND( Table4[[#This Row],[Route]]=ClosureLocation!$B$3, ClosureLocation!$B$6 &gt;= Table4[[#This Row],[StartMP]], ClosureLocation!$B$6 &lt;= Table4[[#This Row],[EndMP]]), "Yes", "")</f>
        <v/>
      </c>
      <c r="Q1959" s="1" t="str">
        <f>IF( AND( Table4[[#This Row],[Route]]=ClosureLocation!$B$3, ClosureLocation!$B$6 &lt;= Table4[[#This Row],[StartMP]], ClosureLocation!$B$6 &gt;= Table4[[#This Row],[EndMP]]), "Yes", "")</f>
        <v/>
      </c>
      <c r="R1959" s="1" t="str">
        <f>IF( OR( Table4[[#This Row],[PrimaryMatch]]="Yes", Table4[[#This Row],[SecondaryMatch]]="Yes"), "Yes", "")</f>
        <v/>
      </c>
    </row>
    <row r="1960" spans="1:18" hidden="1" x14ac:dyDescent="0.25">
      <c r="A1960" t="s">
        <v>1374</v>
      </c>
      <c r="B1960" t="s">
        <v>3205</v>
      </c>
      <c r="C1960" t="s">
        <v>3222</v>
      </c>
      <c r="D1960" t="s">
        <v>4161</v>
      </c>
      <c r="E1960" s="1">
        <v>36.796000999999997</v>
      </c>
      <c r="F1960" s="1">
        <v>36.894001000000003</v>
      </c>
      <c r="K1960" s="39">
        <f>DefaultValues!$B$4</f>
        <v>5</v>
      </c>
      <c r="L1960" s="1">
        <f>DefaultValues!$C$4</f>
        <v>0.5</v>
      </c>
      <c r="M1960" s="1" t="str">
        <f>DefaultValues!$D$4</f>
        <v xml:space="preserve">- Within interchange - </v>
      </c>
      <c r="N1960" s="1">
        <v>36.796000999999997</v>
      </c>
      <c r="O1960" s="1">
        <f>ABS(Table4[[#This Row],[EndMP]]-Table4[[#This Row],[StartMP]])</f>
        <v>9.8000000000006082E-2</v>
      </c>
      <c r="P1960" s="1" t="str">
        <f>IF( AND( Table4[[#This Row],[Route]]=ClosureLocation!$B$3, ClosureLocation!$B$6 &gt;= Table4[[#This Row],[StartMP]], ClosureLocation!$B$6 &lt;= Table4[[#This Row],[EndMP]]), "Yes", "")</f>
        <v/>
      </c>
      <c r="Q1960" s="1" t="str">
        <f>IF( AND( Table4[[#This Row],[Route]]=ClosureLocation!$B$3, ClosureLocation!$B$6 &lt;= Table4[[#This Row],[StartMP]], ClosureLocation!$B$6 &gt;= Table4[[#This Row],[EndMP]]), "Yes", "")</f>
        <v/>
      </c>
      <c r="R1960" s="1" t="str">
        <f>IF( OR( Table4[[#This Row],[PrimaryMatch]]="Yes", Table4[[#This Row],[SecondaryMatch]]="Yes"), "Yes", "")</f>
        <v/>
      </c>
    </row>
    <row r="1961" spans="1:18" hidden="1" x14ac:dyDescent="0.25">
      <c r="A1961" t="s">
        <v>1374</v>
      </c>
      <c r="B1961" t="s">
        <v>3209</v>
      </c>
      <c r="C1961" t="s">
        <v>3226</v>
      </c>
      <c r="D1961" t="s">
        <v>4163</v>
      </c>
      <c r="E1961" s="1">
        <v>36.894001000000003</v>
      </c>
      <c r="F1961" s="1">
        <v>36.796000999999997</v>
      </c>
      <c r="K1961" s="39">
        <f>DefaultValues!$B$4</f>
        <v>5</v>
      </c>
      <c r="L1961" s="1">
        <f>DefaultValues!$C$4</f>
        <v>0.5</v>
      </c>
      <c r="M1961" s="1" t="str">
        <f>DefaultValues!$D$4</f>
        <v xml:space="preserve">- Within interchange - </v>
      </c>
      <c r="N1961" s="1">
        <v>963.10601799999995</v>
      </c>
      <c r="O1961" s="1">
        <f>ABS(Table4[[#This Row],[EndMP]]-Table4[[#This Row],[StartMP]])</f>
        <v>9.8000000000006082E-2</v>
      </c>
      <c r="P1961" s="1" t="str">
        <f>IF( AND( Table4[[#This Row],[Route]]=ClosureLocation!$B$3, ClosureLocation!$B$6 &gt;= Table4[[#This Row],[StartMP]], ClosureLocation!$B$6 &lt;= Table4[[#This Row],[EndMP]]), "Yes", "")</f>
        <v/>
      </c>
      <c r="Q1961" s="1" t="str">
        <f>IF( AND( Table4[[#This Row],[Route]]=ClosureLocation!$B$3, ClosureLocation!$B$6 &lt;= Table4[[#This Row],[StartMP]], ClosureLocation!$B$6 &gt;= Table4[[#This Row],[EndMP]]), "Yes", "")</f>
        <v/>
      </c>
      <c r="R1961" s="1" t="str">
        <f>IF( OR( Table4[[#This Row],[PrimaryMatch]]="Yes", Table4[[#This Row],[SecondaryMatch]]="Yes"), "Yes", "")</f>
        <v/>
      </c>
    </row>
    <row r="1962" spans="1:18" hidden="1" x14ac:dyDescent="0.25">
      <c r="A1962" t="s">
        <v>1383</v>
      </c>
      <c r="B1962" t="s">
        <v>3205</v>
      </c>
      <c r="C1962" t="s">
        <v>3222</v>
      </c>
      <c r="D1962" t="s">
        <v>4167</v>
      </c>
      <c r="E1962" s="1">
        <v>6.8170000000000002</v>
      </c>
      <c r="F1962" s="1">
        <v>6.9779999999999998</v>
      </c>
      <c r="K1962" s="39">
        <f>DefaultValues!$B$4</f>
        <v>5</v>
      </c>
      <c r="L1962" s="1">
        <f>DefaultValues!$C$4</f>
        <v>0.5</v>
      </c>
      <c r="M1962" s="1" t="str">
        <f>DefaultValues!$D$4</f>
        <v xml:space="preserve">- Within interchange - </v>
      </c>
      <c r="N1962" s="1">
        <v>6.8170000000000002</v>
      </c>
      <c r="O1962" s="1">
        <f>ABS(Table4[[#This Row],[EndMP]]-Table4[[#This Row],[StartMP]])</f>
        <v>0.16099999999999959</v>
      </c>
      <c r="P1962" s="1" t="str">
        <f>IF( AND( Table4[[#This Row],[Route]]=ClosureLocation!$B$3, ClosureLocation!$B$6 &gt;= Table4[[#This Row],[StartMP]], ClosureLocation!$B$6 &lt;= Table4[[#This Row],[EndMP]]), "Yes", "")</f>
        <v/>
      </c>
      <c r="Q1962" s="1" t="str">
        <f>IF( AND( Table4[[#This Row],[Route]]=ClosureLocation!$B$3, ClosureLocation!$B$6 &lt;= Table4[[#This Row],[StartMP]], ClosureLocation!$B$6 &gt;= Table4[[#This Row],[EndMP]]), "Yes", "")</f>
        <v/>
      </c>
      <c r="R1962" s="1" t="str">
        <f>IF( OR( Table4[[#This Row],[PrimaryMatch]]="Yes", Table4[[#This Row],[SecondaryMatch]]="Yes"), "Yes", "")</f>
        <v/>
      </c>
    </row>
    <row r="1963" spans="1:18" hidden="1" x14ac:dyDescent="0.25">
      <c r="A1963" t="s">
        <v>1383</v>
      </c>
      <c r="B1963" t="s">
        <v>3209</v>
      </c>
      <c r="C1963" t="s">
        <v>3226</v>
      </c>
      <c r="D1963" t="s">
        <v>4168</v>
      </c>
      <c r="E1963" s="1">
        <v>6.9779999999999998</v>
      </c>
      <c r="F1963" s="1">
        <v>6.8170000000000002</v>
      </c>
      <c r="K1963" s="39">
        <f>DefaultValues!$B$4</f>
        <v>5</v>
      </c>
      <c r="L1963" s="1">
        <f>DefaultValues!$C$4</f>
        <v>0.5</v>
      </c>
      <c r="M1963" s="1" t="str">
        <f>DefaultValues!$D$4</f>
        <v xml:space="preserve">- Within interchange - </v>
      </c>
      <c r="N1963" s="1">
        <v>993.021973</v>
      </c>
      <c r="O1963" s="1">
        <f>ABS(Table4[[#This Row],[EndMP]]-Table4[[#This Row],[StartMP]])</f>
        <v>0.16099999999999959</v>
      </c>
      <c r="P1963" s="1" t="str">
        <f>IF( AND( Table4[[#This Row],[Route]]=ClosureLocation!$B$3, ClosureLocation!$B$6 &gt;= Table4[[#This Row],[StartMP]], ClosureLocation!$B$6 &lt;= Table4[[#This Row],[EndMP]]), "Yes", "")</f>
        <v/>
      </c>
      <c r="Q1963" s="1" t="str">
        <f>IF( AND( Table4[[#This Row],[Route]]=ClosureLocation!$B$3, ClosureLocation!$B$6 &lt;= Table4[[#This Row],[StartMP]], ClosureLocation!$B$6 &gt;= Table4[[#This Row],[EndMP]]), "Yes", "")</f>
        <v/>
      </c>
      <c r="R1963" s="1" t="str">
        <f>IF( OR( Table4[[#This Row],[PrimaryMatch]]="Yes", Table4[[#This Row],[SecondaryMatch]]="Yes"), "Yes", "")</f>
        <v/>
      </c>
    </row>
    <row r="1964" spans="1:18" hidden="1" x14ac:dyDescent="0.25">
      <c r="A1964" t="s">
        <v>1392</v>
      </c>
      <c r="B1964" t="s">
        <v>3205</v>
      </c>
      <c r="C1964" t="s">
        <v>3206</v>
      </c>
      <c r="D1964" t="s">
        <v>4176</v>
      </c>
      <c r="E1964" s="1">
        <v>0</v>
      </c>
      <c r="F1964" s="1">
        <v>0.1</v>
      </c>
      <c r="K1964" s="39">
        <f>DefaultValues!$B$4</f>
        <v>5</v>
      </c>
      <c r="L1964" s="1">
        <f>DefaultValues!$C$4</f>
        <v>0.5</v>
      </c>
      <c r="M1964" s="1" t="str">
        <f>DefaultValues!$D$4</f>
        <v xml:space="preserve">- Within interchange - </v>
      </c>
      <c r="N1964" s="1">
        <v>0</v>
      </c>
      <c r="O1964" s="1">
        <f>ABS(Table4[[#This Row],[EndMP]]-Table4[[#This Row],[StartMP]])</f>
        <v>0.1</v>
      </c>
      <c r="P1964" s="1" t="str">
        <f>IF( AND( Table4[[#This Row],[Route]]=ClosureLocation!$B$3, ClosureLocation!$B$6 &gt;= Table4[[#This Row],[StartMP]], ClosureLocation!$B$6 &lt;= Table4[[#This Row],[EndMP]]), "Yes", "")</f>
        <v/>
      </c>
      <c r="Q1964" s="1" t="str">
        <f>IF( AND( Table4[[#This Row],[Route]]=ClosureLocation!$B$3, ClosureLocation!$B$6 &lt;= Table4[[#This Row],[StartMP]], ClosureLocation!$B$6 &gt;= Table4[[#This Row],[EndMP]]), "Yes", "")</f>
        <v/>
      </c>
      <c r="R1964" s="1" t="str">
        <f>IF( OR( Table4[[#This Row],[PrimaryMatch]]="Yes", Table4[[#This Row],[SecondaryMatch]]="Yes"), "Yes", "")</f>
        <v/>
      </c>
    </row>
    <row r="1965" spans="1:18" hidden="1" x14ac:dyDescent="0.25">
      <c r="A1965" t="s">
        <v>1392</v>
      </c>
      <c r="B1965" t="s">
        <v>3209</v>
      </c>
      <c r="C1965" t="s">
        <v>3210</v>
      </c>
      <c r="D1965" t="s">
        <v>4178</v>
      </c>
      <c r="E1965" s="1">
        <v>0.1</v>
      </c>
      <c r="F1965" s="1">
        <v>0</v>
      </c>
      <c r="K1965" s="39">
        <f>DefaultValues!$B$4</f>
        <v>5</v>
      </c>
      <c r="L1965" s="1">
        <f>DefaultValues!$C$4</f>
        <v>0.5</v>
      </c>
      <c r="M1965" s="1" t="str">
        <f>DefaultValues!$D$4</f>
        <v xml:space="preserve">- Within interchange - </v>
      </c>
      <c r="N1965" s="1">
        <v>999.90002400000003</v>
      </c>
      <c r="O1965" s="1">
        <f>ABS(Table4[[#This Row],[EndMP]]-Table4[[#This Row],[StartMP]])</f>
        <v>0.1</v>
      </c>
      <c r="P1965" s="1" t="str">
        <f>IF( AND( Table4[[#This Row],[Route]]=ClosureLocation!$B$3, ClosureLocation!$B$6 &gt;= Table4[[#This Row],[StartMP]], ClosureLocation!$B$6 &lt;= Table4[[#This Row],[EndMP]]), "Yes", "")</f>
        <v/>
      </c>
      <c r="Q1965" s="1" t="str">
        <f>IF( AND( Table4[[#This Row],[Route]]=ClosureLocation!$B$3, ClosureLocation!$B$6 &lt;= Table4[[#This Row],[StartMP]], ClosureLocation!$B$6 &gt;= Table4[[#This Row],[EndMP]]), "Yes", "")</f>
        <v/>
      </c>
      <c r="R1965" s="1" t="str">
        <f>IF( OR( Table4[[#This Row],[PrimaryMatch]]="Yes", Table4[[#This Row],[SecondaryMatch]]="Yes"), "Yes", "")</f>
        <v/>
      </c>
    </row>
    <row r="1966" spans="1:18" hidden="1" x14ac:dyDescent="0.25">
      <c r="A1966" t="s">
        <v>1407</v>
      </c>
      <c r="B1966" t="s">
        <v>3205</v>
      </c>
      <c r="C1966" t="s">
        <v>3222</v>
      </c>
      <c r="D1966" t="s">
        <v>4681</v>
      </c>
      <c r="E1966" s="1">
        <v>19.896999000000001</v>
      </c>
      <c r="F1966" s="1">
        <v>20.327000000000002</v>
      </c>
      <c r="K1966" s="39">
        <f>DefaultValues!$B$4</f>
        <v>5</v>
      </c>
      <c r="L1966" s="1">
        <f>DefaultValues!$C$4</f>
        <v>0.5</v>
      </c>
      <c r="M1966" s="1" t="str">
        <f>DefaultValues!$D$4</f>
        <v xml:space="preserve">- Within interchange - </v>
      </c>
      <c r="N1966" s="1">
        <v>19.896999000000001</v>
      </c>
      <c r="O1966" s="1">
        <f>ABS(Table4[[#This Row],[EndMP]]-Table4[[#This Row],[StartMP]])</f>
        <v>0.43000100000000074</v>
      </c>
      <c r="P1966" s="1" t="str">
        <f>IF( AND( Table4[[#This Row],[Route]]=ClosureLocation!$B$3, ClosureLocation!$B$6 &gt;= Table4[[#This Row],[StartMP]], ClosureLocation!$B$6 &lt;= Table4[[#This Row],[EndMP]]), "Yes", "")</f>
        <v/>
      </c>
      <c r="Q1966" s="1" t="str">
        <f>IF( AND( Table4[[#This Row],[Route]]=ClosureLocation!$B$3, ClosureLocation!$B$6 &lt;= Table4[[#This Row],[StartMP]], ClosureLocation!$B$6 &gt;= Table4[[#This Row],[EndMP]]), "Yes", "")</f>
        <v/>
      </c>
      <c r="R1966" s="1" t="str">
        <f>IF( OR( Table4[[#This Row],[PrimaryMatch]]="Yes", Table4[[#This Row],[SecondaryMatch]]="Yes"), "Yes", "")</f>
        <v/>
      </c>
    </row>
    <row r="1967" spans="1:18" hidden="1" x14ac:dyDescent="0.25">
      <c r="A1967" t="s">
        <v>1407</v>
      </c>
      <c r="B1967" t="s">
        <v>3209</v>
      </c>
      <c r="C1967" t="s">
        <v>3226</v>
      </c>
      <c r="D1967" t="s">
        <v>4682</v>
      </c>
      <c r="E1967" s="1">
        <v>20.327000000000002</v>
      </c>
      <c r="F1967" s="1">
        <v>19.896999000000001</v>
      </c>
      <c r="K1967" s="39">
        <f>DefaultValues!$B$4</f>
        <v>5</v>
      </c>
      <c r="L1967" s="1">
        <f>DefaultValues!$C$4</f>
        <v>0.5</v>
      </c>
      <c r="M1967" s="1" t="str">
        <f>DefaultValues!$D$4</f>
        <v xml:space="preserve">- Within interchange - </v>
      </c>
      <c r="N1967" s="1">
        <v>979.67297399999995</v>
      </c>
      <c r="O1967" s="1">
        <f>ABS(Table4[[#This Row],[EndMP]]-Table4[[#This Row],[StartMP]])</f>
        <v>0.43000100000000074</v>
      </c>
      <c r="P1967" s="1" t="str">
        <f>IF( AND( Table4[[#This Row],[Route]]=ClosureLocation!$B$3, ClosureLocation!$B$6 &gt;= Table4[[#This Row],[StartMP]], ClosureLocation!$B$6 &lt;= Table4[[#This Row],[EndMP]]), "Yes", "")</f>
        <v/>
      </c>
      <c r="Q1967" s="1" t="str">
        <f>IF( AND( Table4[[#This Row],[Route]]=ClosureLocation!$B$3, ClosureLocation!$B$6 &lt;= Table4[[#This Row],[StartMP]], ClosureLocation!$B$6 &gt;= Table4[[#This Row],[EndMP]]), "Yes", "")</f>
        <v/>
      </c>
      <c r="R1967" s="1" t="str">
        <f>IF( OR( Table4[[#This Row],[PrimaryMatch]]="Yes", Table4[[#This Row],[SecondaryMatch]]="Yes"), "Yes", "")</f>
        <v/>
      </c>
    </row>
    <row r="1968" spans="1:18" hidden="1" x14ac:dyDescent="0.25">
      <c r="A1968" t="s">
        <v>1424</v>
      </c>
      <c r="B1968" t="s">
        <v>3205</v>
      </c>
      <c r="C1968" t="s">
        <v>3222</v>
      </c>
      <c r="D1968" t="s">
        <v>4200</v>
      </c>
      <c r="E1968" s="1">
        <v>1.2E-2</v>
      </c>
      <c r="F1968" s="1">
        <v>7.9000000000000001E-2</v>
      </c>
      <c r="K1968" s="39">
        <f>DefaultValues!$B$4</f>
        <v>5</v>
      </c>
      <c r="L1968" s="1">
        <f>DefaultValues!$C$4</f>
        <v>0.5</v>
      </c>
      <c r="M1968" s="1" t="str">
        <f>DefaultValues!$D$4</f>
        <v xml:space="preserve">- Within interchange - </v>
      </c>
      <c r="N1968" s="1">
        <v>1.2E-2</v>
      </c>
      <c r="O1968" s="1">
        <f>ABS(Table4[[#This Row],[EndMP]]-Table4[[#This Row],[StartMP]])</f>
        <v>6.7000000000000004E-2</v>
      </c>
      <c r="P1968" s="1" t="str">
        <f>IF( AND( Table4[[#This Row],[Route]]=ClosureLocation!$B$3, ClosureLocation!$B$6 &gt;= Table4[[#This Row],[StartMP]], ClosureLocation!$B$6 &lt;= Table4[[#This Row],[EndMP]]), "Yes", "")</f>
        <v/>
      </c>
      <c r="Q1968" s="1" t="str">
        <f>IF( AND( Table4[[#This Row],[Route]]=ClosureLocation!$B$3, ClosureLocation!$B$6 &lt;= Table4[[#This Row],[StartMP]], ClosureLocation!$B$6 &gt;= Table4[[#This Row],[EndMP]]), "Yes", "")</f>
        <v/>
      </c>
      <c r="R1968" s="1" t="str">
        <f>IF( OR( Table4[[#This Row],[PrimaryMatch]]="Yes", Table4[[#This Row],[SecondaryMatch]]="Yes"), "Yes", "")</f>
        <v/>
      </c>
    </row>
    <row r="1969" spans="1:18" hidden="1" x14ac:dyDescent="0.25">
      <c r="A1969" t="s">
        <v>1424</v>
      </c>
      <c r="B1969" t="s">
        <v>3205</v>
      </c>
      <c r="C1969" t="s">
        <v>3222</v>
      </c>
      <c r="D1969" t="s">
        <v>4200</v>
      </c>
      <c r="E1969" s="1">
        <v>0.433</v>
      </c>
      <c r="F1969" s="1">
        <v>0.56299999999999994</v>
      </c>
      <c r="K1969" s="39">
        <f>DefaultValues!$B$4</f>
        <v>5</v>
      </c>
      <c r="L1969" s="1">
        <f>DefaultValues!$C$4</f>
        <v>0.5</v>
      </c>
      <c r="M1969" s="1" t="str">
        <f>DefaultValues!$D$4</f>
        <v xml:space="preserve">- Within interchange - </v>
      </c>
      <c r="N1969" s="1">
        <v>0.433</v>
      </c>
      <c r="O1969" s="1">
        <f>ABS(Table4[[#This Row],[EndMP]]-Table4[[#This Row],[StartMP]])</f>
        <v>0.12999999999999995</v>
      </c>
      <c r="P1969" s="1" t="str">
        <f>IF( AND( Table4[[#This Row],[Route]]=ClosureLocation!$B$3, ClosureLocation!$B$6 &gt;= Table4[[#This Row],[StartMP]], ClosureLocation!$B$6 &lt;= Table4[[#This Row],[EndMP]]), "Yes", "")</f>
        <v/>
      </c>
      <c r="Q1969" s="1" t="str">
        <f>IF( AND( Table4[[#This Row],[Route]]=ClosureLocation!$B$3, ClosureLocation!$B$6 &lt;= Table4[[#This Row],[StartMP]], ClosureLocation!$B$6 &gt;= Table4[[#This Row],[EndMP]]), "Yes", "")</f>
        <v/>
      </c>
      <c r="R1969" s="1" t="str">
        <f>IF( OR( Table4[[#This Row],[PrimaryMatch]]="Yes", Table4[[#This Row],[SecondaryMatch]]="Yes"), "Yes", "")</f>
        <v/>
      </c>
    </row>
    <row r="1970" spans="1:18" hidden="1" x14ac:dyDescent="0.25">
      <c r="A1970" t="s">
        <v>1424</v>
      </c>
      <c r="B1970" t="s">
        <v>3205</v>
      </c>
      <c r="C1970" t="s">
        <v>3222</v>
      </c>
      <c r="D1970" t="s">
        <v>4200</v>
      </c>
      <c r="E1970" s="1">
        <v>2.4540000000000002</v>
      </c>
      <c r="F1970" s="1">
        <v>2.8759999999999999</v>
      </c>
      <c r="K1970" s="39">
        <f>DefaultValues!$B$4</f>
        <v>5</v>
      </c>
      <c r="L1970" s="1">
        <f>DefaultValues!$C$4</f>
        <v>0.5</v>
      </c>
      <c r="M1970" s="1" t="str">
        <f>DefaultValues!$D$4</f>
        <v xml:space="preserve">- Within interchange - </v>
      </c>
      <c r="N1970" s="1">
        <v>2.4540000000000002</v>
      </c>
      <c r="O1970" s="1">
        <f>ABS(Table4[[#This Row],[EndMP]]-Table4[[#This Row],[StartMP]])</f>
        <v>0.42199999999999971</v>
      </c>
      <c r="P1970" s="1" t="str">
        <f>IF( AND( Table4[[#This Row],[Route]]=ClosureLocation!$B$3, ClosureLocation!$B$6 &gt;= Table4[[#This Row],[StartMP]], ClosureLocation!$B$6 &lt;= Table4[[#This Row],[EndMP]]), "Yes", "")</f>
        <v/>
      </c>
      <c r="Q1970" s="1" t="str">
        <f>IF( AND( Table4[[#This Row],[Route]]=ClosureLocation!$B$3, ClosureLocation!$B$6 &lt;= Table4[[#This Row],[StartMP]], ClosureLocation!$B$6 &gt;= Table4[[#This Row],[EndMP]]), "Yes", "")</f>
        <v/>
      </c>
      <c r="R1970" s="1" t="str">
        <f>IF( OR( Table4[[#This Row],[PrimaryMatch]]="Yes", Table4[[#This Row],[SecondaryMatch]]="Yes"), "Yes", "")</f>
        <v/>
      </c>
    </row>
    <row r="1971" spans="1:18" hidden="1" x14ac:dyDescent="0.25">
      <c r="A1971" t="s">
        <v>1424</v>
      </c>
      <c r="B1971" t="s">
        <v>3209</v>
      </c>
      <c r="C1971" t="s">
        <v>3226</v>
      </c>
      <c r="D1971" t="s">
        <v>4204</v>
      </c>
      <c r="E1971" s="1">
        <v>2.8759999999999999</v>
      </c>
      <c r="F1971" s="1">
        <v>2.4540000000000002</v>
      </c>
      <c r="K1971" s="39">
        <f>DefaultValues!$B$4</f>
        <v>5</v>
      </c>
      <c r="L1971" s="1">
        <f>DefaultValues!$C$4</f>
        <v>0.5</v>
      </c>
      <c r="M1971" s="1" t="str">
        <f>DefaultValues!$D$4</f>
        <v xml:space="preserve">- Within interchange - </v>
      </c>
      <c r="N1971" s="1">
        <v>997.12402299999997</v>
      </c>
      <c r="O1971" s="1">
        <f>ABS(Table4[[#This Row],[EndMP]]-Table4[[#This Row],[StartMP]])</f>
        <v>0.42199999999999971</v>
      </c>
      <c r="P1971" s="1" t="str">
        <f>IF( AND( Table4[[#This Row],[Route]]=ClosureLocation!$B$3, ClosureLocation!$B$6 &gt;= Table4[[#This Row],[StartMP]], ClosureLocation!$B$6 &lt;= Table4[[#This Row],[EndMP]]), "Yes", "")</f>
        <v/>
      </c>
      <c r="Q1971" s="1" t="str">
        <f>IF( AND( Table4[[#This Row],[Route]]=ClosureLocation!$B$3, ClosureLocation!$B$6 &lt;= Table4[[#This Row],[StartMP]], ClosureLocation!$B$6 &gt;= Table4[[#This Row],[EndMP]]), "Yes", "")</f>
        <v/>
      </c>
      <c r="R1971" s="1" t="str">
        <f>IF( OR( Table4[[#This Row],[PrimaryMatch]]="Yes", Table4[[#This Row],[SecondaryMatch]]="Yes"), "Yes", "")</f>
        <v/>
      </c>
    </row>
    <row r="1972" spans="1:18" hidden="1" x14ac:dyDescent="0.25">
      <c r="A1972" t="s">
        <v>1424</v>
      </c>
      <c r="B1972" t="s">
        <v>3209</v>
      </c>
      <c r="C1972" t="s">
        <v>3226</v>
      </c>
      <c r="D1972" t="s">
        <v>4204</v>
      </c>
      <c r="E1972" s="1">
        <v>0.56299999999999994</v>
      </c>
      <c r="F1972" s="1">
        <v>0.433</v>
      </c>
      <c r="K1972" s="39">
        <f>DefaultValues!$B$4</f>
        <v>5</v>
      </c>
      <c r="L1972" s="1">
        <f>DefaultValues!$C$4</f>
        <v>0.5</v>
      </c>
      <c r="M1972" s="1" t="str">
        <f>DefaultValues!$D$4</f>
        <v xml:space="preserve">- Within interchange - </v>
      </c>
      <c r="N1972" s="1">
        <v>999.43701199999998</v>
      </c>
      <c r="O1972" s="1">
        <f>ABS(Table4[[#This Row],[EndMP]]-Table4[[#This Row],[StartMP]])</f>
        <v>0.12999999999999995</v>
      </c>
      <c r="P1972" s="1" t="str">
        <f>IF( AND( Table4[[#This Row],[Route]]=ClosureLocation!$B$3, ClosureLocation!$B$6 &gt;= Table4[[#This Row],[StartMP]], ClosureLocation!$B$6 &lt;= Table4[[#This Row],[EndMP]]), "Yes", "")</f>
        <v/>
      </c>
      <c r="Q1972" s="1" t="str">
        <f>IF( AND( Table4[[#This Row],[Route]]=ClosureLocation!$B$3, ClosureLocation!$B$6 &lt;= Table4[[#This Row],[StartMP]], ClosureLocation!$B$6 &gt;= Table4[[#This Row],[EndMP]]), "Yes", "")</f>
        <v/>
      </c>
      <c r="R1972" s="1" t="str">
        <f>IF( OR( Table4[[#This Row],[PrimaryMatch]]="Yes", Table4[[#This Row],[SecondaryMatch]]="Yes"), "Yes", "")</f>
        <v/>
      </c>
    </row>
    <row r="1973" spans="1:18" hidden="1" x14ac:dyDescent="0.25">
      <c r="A1973" t="s">
        <v>1424</v>
      </c>
      <c r="B1973" t="s">
        <v>3209</v>
      </c>
      <c r="C1973" t="s">
        <v>3226</v>
      </c>
      <c r="D1973" t="s">
        <v>4204</v>
      </c>
      <c r="E1973" s="1">
        <v>7.9000000000000001E-2</v>
      </c>
      <c r="F1973" s="1">
        <v>1.2E-2</v>
      </c>
      <c r="K1973" s="39">
        <f>DefaultValues!$B$4</f>
        <v>5</v>
      </c>
      <c r="L1973" s="1">
        <f>DefaultValues!$C$4</f>
        <v>0.5</v>
      </c>
      <c r="M1973" s="1" t="str">
        <f>DefaultValues!$D$4</f>
        <v xml:space="preserve">- Within interchange - </v>
      </c>
      <c r="N1973" s="1">
        <v>999.921021</v>
      </c>
      <c r="O1973" s="1">
        <f>ABS(Table4[[#This Row],[EndMP]]-Table4[[#This Row],[StartMP]])</f>
        <v>6.7000000000000004E-2</v>
      </c>
      <c r="P1973" s="1" t="str">
        <f>IF( AND( Table4[[#This Row],[Route]]=ClosureLocation!$B$3, ClosureLocation!$B$6 &gt;= Table4[[#This Row],[StartMP]], ClosureLocation!$B$6 &lt;= Table4[[#This Row],[EndMP]]), "Yes", "")</f>
        <v/>
      </c>
      <c r="Q1973" s="1" t="str">
        <f>IF( AND( Table4[[#This Row],[Route]]=ClosureLocation!$B$3, ClosureLocation!$B$6 &lt;= Table4[[#This Row],[StartMP]], ClosureLocation!$B$6 &gt;= Table4[[#This Row],[EndMP]]), "Yes", "")</f>
        <v/>
      </c>
      <c r="R1973" s="1" t="str">
        <f>IF( OR( Table4[[#This Row],[PrimaryMatch]]="Yes", Table4[[#This Row],[SecondaryMatch]]="Yes"), "Yes", "")</f>
        <v/>
      </c>
    </row>
    <row r="1974" spans="1:18" hidden="1" x14ac:dyDescent="0.25">
      <c r="A1974" t="s">
        <v>1431</v>
      </c>
      <c r="B1974" t="s">
        <v>3205</v>
      </c>
      <c r="C1974" t="s">
        <v>3206</v>
      </c>
      <c r="D1974" t="s">
        <v>4207</v>
      </c>
      <c r="E1974" s="1">
        <v>0</v>
      </c>
      <c r="F1974" s="1">
        <v>1.6240000000000001</v>
      </c>
      <c r="K1974" s="39">
        <f>DefaultValues!$B$4</f>
        <v>5</v>
      </c>
      <c r="L1974" s="1">
        <f>DefaultValues!$C$4</f>
        <v>0.5</v>
      </c>
      <c r="M1974" s="1" t="str">
        <f>DefaultValues!$D$4</f>
        <v xml:space="preserve">- Within interchange - </v>
      </c>
      <c r="N1974" s="1">
        <v>0</v>
      </c>
      <c r="O1974" s="1">
        <f>ABS(Table4[[#This Row],[EndMP]]-Table4[[#This Row],[StartMP]])</f>
        <v>1.6240000000000001</v>
      </c>
      <c r="P1974" s="1" t="str">
        <f>IF( AND( Table4[[#This Row],[Route]]=ClosureLocation!$B$3, ClosureLocation!$B$6 &gt;= Table4[[#This Row],[StartMP]], ClosureLocation!$B$6 &lt;= Table4[[#This Row],[EndMP]]), "Yes", "")</f>
        <v/>
      </c>
      <c r="Q1974" s="1" t="str">
        <f>IF( AND( Table4[[#This Row],[Route]]=ClosureLocation!$B$3, ClosureLocation!$B$6 &lt;= Table4[[#This Row],[StartMP]], ClosureLocation!$B$6 &gt;= Table4[[#This Row],[EndMP]]), "Yes", "")</f>
        <v/>
      </c>
      <c r="R1974" s="1" t="str">
        <f>IF( OR( Table4[[#This Row],[PrimaryMatch]]="Yes", Table4[[#This Row],[SecondaryMatch]]="Yes"), "Yes", "")</f>
        <v/>
      </c>
    </row>
    <row r="1975" spans="1:18" hidden="1" x14ac:dyDescent="0.25">
      <c r="A1975" t="s">
        <v>1431</v>
      </c>
      <c r="B1975" t="s">
        <v>3205</v>
      </c>
      <c r="C1975" t="s">
        <v>3206</v>
      </c>
      <c r="D1975" t="s">
        <v>4207</v>
      </c>
      <c r="E1975" s="1">
        <v>3.726</v>
      </c>
      <c r="F1975" s="1">
        <v>4.2670000000000003</v>
      </c>
      <c r="K1975" s="39">
        <f>DefaultValues!$B$4</f>
        <v>5</v>
      </c>
      <c r="L1975" s="1">
        <f>DefaultValues!$C$4</f>
        <v>0.5</v>
      </c>
      <c r="M1975" s="1" t="str">
        <f>DefaultValues!$D$4</f>
        <v xml:space="preserve">- Within interchange - </v>
      </c>
      <c r="N1975" s="1">
        <v>3.726</v>
      </c>
      <c r="O1975" s="1">
        <f>ABS(Table4[[#This Row],[EndMP]]-Table4[[#This Row],[StartMP]])</f>
        <v>0.54100000000000037</v>
      </c>
      <c r="P1975" s="1" t="str">
        <f>IF( AND( Table4[[#This Row],[Route]]=ClosureLocation!$B$3, ClosureLocation!$B$6 &gt;= Table4[[#This Row],[StartMP]], ClosureLocation!$B$6 &lt;= Table4[[#This Row],[EndMP]]), "Yes", "")</f>
        <v/>
      </c>
      <c r="Q1975" s="1" t="str">
        <f>IF( AND( Table4[[#This Row],[Route]]=ClosureLocation!$B$3, ClosureLocation!$B$6 &lt;= Table4[[#This Row],[StartMP]], ClosureLocation!$B$6 &gt;= Table4[[#This Row],[EndMP]]), "Yes", "")</f>
        <v/>
      </c>
      <c r="R1975" s="1" t="str">
        <f>IF( OR( Table4[[#This Row],[PrimaryMatch]]="Yes", Table4[[#This Row],[SecondaryMatch]]="Yes"), "Yes", "")</f>
        <v/>
      </c>
    </row>
    <row r="1976" spans="1:18" hidden="1" x14ac:dyDescent="0.25">
      <c r="A1976" t="s">
        <v>1431</v>
      </c>
      <c r="B1976" t="s">
        <v>3205</v>
      </c>
      <c r="C1976" t="s">
        <v>3206</v>
      </c>
      <c r="D1976" t="s">
        <v>4207</v>
      </c>
      <c r="E1976" s="1">
        <v>5.0979999999999999</v>
      </c>
      <c r="F1976" s="1">
        <v>5.6130000000000004</v>
      </c>
      <c r="K1976" s="39">
        <f>DefaultValues!$B$4</f>
        <v>5</v>
      </c>
      <c r="L1976" s="1">
        <f>DefaultValues!$C$4</f>
        <v>0.5</v>
      </c>
      <c r="M1976" s="1" t="str">
        <f>DefaultValues!$D$4</f>
        <v xml:space="preserve">- Within interchange - </v>
      </c>
      <c r="N1976" s="1">
        <v>5.0979999999999999</v>
      </c>
      <c r="O1976" s="1">
        <f>ABS(Table4[[#This Row],[EndMP]]-Table4[[#This Row],[StartMP]])</f>
        <v>0.51500000000000057</v>
      </c>
      <c r="P1976" s="1" t="str">
        <f>IF( AND( Table4[[#This Row],[Route]]=ClosureLocation!$B$3, ClosureLocation!$B$6 &gt;= Table4[[#This Row],[StartMP]], ClosureLocation!$B$6 &lt;= Table4[[#This Row],[EndMP]]), "Yes", "")</f>
        <v/>
      </c>
      <c r="Q1976" s="1" t="str">
        <f>IF( AND( Table4[[#This Row],[Route]]=ClosureLocation!$B$3, ClosureLocation!$B$6 &lt;= Table4[[#This Row],[StartMP]], ClosureLocation!$B$6 &gt;= Table4[[#This Row],[EndMP]]), "Yes", "")</f>
        <v/>
      </c>
      <c r="R1976" s="1" t="str">
        <f>IF( OR( Table4[[#This Row],[PrimaryMatch]]="Yes", Table4[[#This Row],[SecondaryMatch]]="Yes"), "Yes", "")</f>
        <v/>
      </c>
    </row>
    <row r="1977" spans="1:18" hidden="1" x14ac:dyDescent="0.25">
      <c r="A1977" t="s">
        <v>1431</v>
      </c>
      <c r="B1977" t="s">
        <v>3205</v>
      </c>
      <c r="C1977" t="s">
        <v>3206</v>
      </c>
      <c r="D1977" t="s">
        <v>4207</v>
      </c>
      <c r="E1977" s="1">
        <v>6.7220000000000004</v>
      </c>
      <c r="F1977" s="1">
        <v>7.24</v>
      </c>
      <c r="K1977" s="39">
        <f>DefaultValues!$B$4</f>
        <v>5</v>
      </c>
      <c r="L1977" s="1">
        <f>DefaultValues!$C$4</f>
        <v>0.5</v>
      </c>
      <c r="M1977" s="1" t="str">
        <f>DefaultValues!$D$4</f>
        <v xml:space="preserve">- Within interchange - </v>
      </c>
      <c r="N1977" s="1">
        <v>6.7220000000000004</v>
      </c>
      <c r="O1977" s="1">
        <f>ABS(Table4[[#This Row],[EndMP]]-Table4[[#This Row],[StartMP]])</f>
        <v>0.51799999999999979</v>
      </c>
      <c r="P1977" s="1" t="str">
        <f>IF( AND( Table4[[#This Row],[Route]]=ClosureLocation!$B$3, ClosureLocation!$B$6 &gt;= Table4[[#This Row],[StartMP]], ClosureLocation!$B$6 &lt;= Table4[[#This Row],[EndMP]]), "Yes", "")</f>
        <v/>
      </c>
      <c r="Q1977" s="1" t="str">
        <f>IF( AND( Table4[[#This Row],[Route]]=ClosureLocation!$B$3, ClosureLocation!$B$6 &lt;= Table4[[#This Row],[StartMP]], ClosureLocation!$B$6 &gt;= Table4[[#This Row],[EndMP]]), "Yes", "")</f>
        <v/>
      </c>
      <c r="R1977" s="1" t="str">
        <f>IF( OR( Table4[[#This Row],[PrimaryMatch]]="Yes", Table4[[#This Row],[SecondaryMatch]]="Yes"), "Yes", "")</f>
        <v/>
      </c>
    </row>
    <row r="1978" spans="1:18" hidden="1" x14ac:dyDescent="0.25">
      <c r="A1978" t="s">
        <v>1431</v>
      </c>
      <c r="B1978" t="s">
        <v>3205</v>
      </c>
      <c r="C1978" t="s">
        <v>3206</v>
      </c>
      <c r="D1978" t="s">
        <v>4207</v>
      </c>
      <c r="E1978" s="1">
        <v>7.6779999999999999</v>
      </c>
      <c r="F1978" s="1">
        <v>8.2349999999999994</v>
      </c>
      <c r="K1978" s="39">
        <f>DefaultValues!$B$4</f>
        <v>5</v>
      </c>
      <c r="L1978" s="1">
        <f>DefaultValues!$C$4</f>
        <v>0.5</v>
      </c>
      <c r="M1978" s="1" t="str">
        <f>DefaultValues!$D$4</f>
        <v xml:space="preserve">- Within interchange - </v>
      </c>
      <c r="N1978" s="1">
        <v>7.6779999999999999</v>
      </c>
      <c r="O1978" s="1">
        <f>ABS(Table4[[#This Row],[EndMP]]-Table4[[#This Row],[StartMP]])</f>
        <v>0.5569999999999995</v>
      </c>
      <c r="P1978" s="1" t="str">
        <f>IF( AND( Table4[[#This Row],[Route]]=ClosureLocation!$B$3, ClosureLocation!$B$6 &gt;= Table4[[#This Row],[StartMP]], ClosureLocation!$B$6 &lt;= Table4[[#This Row],[EndMP]]), "Yes", "")</f>
        <v/>
      </c>
      <c r="Q1978" s="1" t="str">
        <f>IF( AND( Table4[[#This Row],[Route]]=ClosureLocation!$B$3, ClosureLocation!$B$6 &lt;= Table4[[#This Row],[StartMP]], ClosureLocation!$B$6 &gt;= Table4[[#This Row],[EndMP]]), "Yes", "")</f>
        <v/>
      </c>
      <c r="R1978" s="1" t="str">
        <f>IF( OR( Table4[[#This Row],[PrimaryMatch]]="Yes", Table4[[#This Row],[SecondaryMatch]]="Yes"), "Yes", "")</f>
        <v/>
      </c>
    </row>
    <row r="1979" spans="1:18" hidden="1" x14ac:dyDescent="0.25">
      <c r="A1979" t="s">
        <v>1431</v>
      </c>
      <c r="B1979" t="s">
        <v>3205</v>
      </c>
      <c r="C1979" t="s">
        <v>3206</v>
      </c>
      <c r="D1979" t="s">
        <v>4207</v>
      </c>
      <c r="E1979" s="1">
        <v>8.7149999999999999</v>
      </c>
      <c r="F1979" s="1">
        <v>9.2349999999999994</v>
      </c>
      <c r="K1979" s="39">
        <f>DefaultValues!$B$4</f>
        <v>5</v>
      </c>
      <c r="L1979" s="1">
        <f>DefaultValues!$C$4</f>
        <v>0.5</v>
      </c>
      <c r="M1979" s="1" t="str">
        <f>DefaultValues!$D$4</f>
        <v xml:space="preserve">- Within interchange - </v>
      </c>
      <c r="N1979" s="1">
        <v>8.7149999999999999</v>
      </c>
      <c r="O1979" s="1">
        <f>ABS(Table4[[#This Row],[EndMP]]-Table4[[#This Row],[StartMP]])</f>
        <v>0.51999999999999957</v>
      </c>
      <c r="P1979" s="1" t="str">
        <f>IF( AND( Table4[[#This Row],[Route]]=ClosureLocation!$B$3, ClosureLocation!$B$6 &gt;= Table4[[#This Row],[StartMP]], ClosureLocation!$B$6 &lt;= Table4[[#This Row],[EndMP]]), "Yes", "")</f>
        <v/>
      </c>
      <c r="Q1979" s="1" t="str">
        <f>IF( AND( Table4[[#This Row],[Route]]=ClosureLocation!$B$3, ClosureLocation!$B$6 &lt;= Table4[[#This Row],[StartMP]], ClosureLocation!$B$6 &gt;= Table4[[#This Row],[EndMP]]), "Yes", "")</f>
        <v/>
      </c>
      <c r="R1979" s="1" t="str">
        <f>IF( OR( Table4[[#This Row],[PrimaryMatch]]="Yes", Table4[[#This Row],[SecondaryMatch]]="Yes"), "Yes", "")</f>
        <v/>
      </c>
    </row>
    <row r="1980" spans="1:18" hidden="1" x14ac:dyDescent="0.25">
      <c r="A1980" t="s">
        <v>1431</v>
      </c>
      <c r="B1980" t="s">
        <v>3205</v>
      </c>
      <c r="C1980" t="s">
        <v>3206</v>
      </c>
      <c r="D1980" t="s">
        <v>4207</v>
      </c>
      <c r="E1980" s="1">
        <v>9.6660000000000004</v>
      </c>
      <c r="F1980" s="1">
        <v>10.397</v>
      </c>
      <c r="K1980" s="39">
        <f>DefaultValues!$B$4</f>
        <v>5</v>
      </c>
      <c r="L1980" s="1">
        <f>DefaultValues!$C$4</f>
        <v>0.5</v>
      </c>
      <c r="M1980" s="1" t="str">
        <f>DefaultValues!$D$4</f>
        <v xml:space="preserve">- Within interchange - </v>
      </c>
      <c r="N1980" s="1">
        <v>9.6660000000000004</v>
      </c>
      <c r="O1980" s="1">
        <f>ABS(Table4[[#This Row],[EndMP]]-Table4[[#This Row],[StartMP]])</f>
        <v>0.73099999999999987</v>
      </c>
      <c r="P1980" s="1" t="str">
        <f>IF( AND( Table4[[#This Row],[Route]]=ClosureLocation!$B$3, ClosureLocation!$B$6 &gt;= Table4[[#This Row],[StartMP]], ClosureLocation!$B$6 &lt;= Table4[[#This Row],[EndMP]]), "Yes", "")</f>
        <v/>
      </c>
      <c r="Q1980" s="1" t="str">
        <f>IF( AND( Table4[[#This Row],[Route]]=ClosureLocation!$B$3, ClosureLocation!$B$6 &lt;= Table4[[#This Row],[StartMP]], ClosureLocation!$B$6 &gt;= Table4[[#This Row],[EndMP]]), "Yes", "")</f>
        <v/>
      </c>
      <c r="R1980" s="1" t="str">
        <f>IF( OR( Table4[[#This Row],[PrimaryMatch]]="Yes", Table4[[#This Row],[SecondaryMatch]]="Yes"), "Yes", "")</f>
        <v/>
      </c>
    </row>
    <row r="1981" spans="1:18" hidden="1" x14ac:dyDescent="0.25">
      <c r="A1981" t="s">
        <v>1431</v>
      </c>
      <c r="B1981" t="s">
        <v>3205</v>
      </c>
      <c r="C1981" t="s">
        <v>3206</v>
      </c>
      <c r="D1981" t="s">
        <v>4207</v>
      </c>
      <c r="E1981" s="1">
        <v>11.813000000000001</v>
      </c>
      <c r="F1981" s="1">
        <v>12.430999999999999</v>
      </c>
      <c r="K1981" s="39">
        <f>DefaultValues!$B$4</f>
        <v>5</v>
      </c>
      <c r="L1981" s="1">
        <f>DefaultValues!$C$4</f>
        <v>0.5</v>
      </c>
      <c r="M1981" s="1" t="str">
        <f>DefaultValues!$D$4</f>
        <v xml:space="preserve">- Within interchange - </v>
      </c>
      <c r="N1981" s="1">
        <v>11.813000000000001</v>
      </c>
      <c r="O1981" s="1">
        <f>ABS(Table4[[#This Row],[EndMP]]-Table4[[#This Row],[StartMP]])</f>
        <v>0.61799999999999855</v>
      </c>
      <c r="P1981" s="1" t="str">
        <f>IF( AND( Table4[[#This Row],[Route]]=ClosureLocation!$B$3, ClosureLocation!$B$6 &gt;= Table4[[#This Row],[StartMP]], ClosureLocation!$B$6 &lt;= Table4[[#This Row],[EndMP]]), "Yes", "")</f>
        <v/>
      </c>
      <c r="Q1981" s="1" t="str">
        <f>IF( AND( Table4[[#This Row],[Route]]=ClosureLocation!$B$3, ClosureLocation!$B$6 &lt;= Table4[[#This Row],[StartMP]], ClosureLocation!$B$6 &gt;= Table4[[#This Row],[EndMP]]), "Yes", "")</f>
        <v/>
      </c>
      <c r="R1981" s="1" t="str">
        <f>IF( OR( Table4[[#This Row],[PrimaryMatch]]="Yes", Table4[[#This Row],[SecondaryMatch]]="Yes"), "Yes", "")</f>
        <v/>
      </c>
    </row>
    <row r="1982" spans="1:18" hidden="1" x14ac:dyDescent="0.25">
      <c r="A1982" t="s">
        <v>1431</v>
      </c>
      <c r="B1982" t="s">
        <v>3209</v>
      </c>
      <c r="C1982" t="s">
        <v>3210</v>
      </c>
      <c r="D1982" t="s">
        <v>4211</v>
      </c>
      <c r="E1982" s="1">
        <v>12.430999999999999</v>
      </c>
      <c r="F1982" s="1">
        <v>11.529</v>
      </c>
      <c r="K1982" s="39">
        <f>DefaultValues!$B$4</f>
        <v>5</v>
      </c>
      <c r="L1982" s="1">
        <f>DefaultValues!$C$4</f>
        <v>0.5</v>
      </c>
      <c r="M1982" s="1" t="str">
        <f>DefaultValues!$D$4</f>
        <v xml:space="preserve">- Within interchange - </v>
      </c>
      <c r="N1982" s="1">
        <v>987.56897000000004</v>
      </c>
      <c r="O1982" s="1">
        <f>ABS(Table4[[#This Row],[EndMP]]-Table4[[#This Row],[StartMP]])</f>
        <v>0.90199999999999925</v>
      </c>
      <c r="P1982" s="1" t="str">
        <f>IF( AND( Table4[[#This Row],[Route]]=ClosureLocation!$B$3, ClosureLocation!$B$6 &gt;= Table4[[#This Row],[StartMP]], ClosureLocation!$B$6 &lt;= Table4[[#This Row],[EndMP]]), "Yes", "")</f>
        <v/>
      </c>
      <c r="Q1982" s="1" t="str">
        <f>IF( AND( Table4[[#This Row],[Route]]=ClosureLocation!$B$3, ClosureLocation!$B$6 &lt;= Table4[[#This Row],[StartMP]], ClosureLocation!$B$6 &gt;= Table4[[#This Row],[EndMP]]), "Yes", "")</f>
        <v/>
      </c>
      <c r="R1982" s="1" t="str">
        <f>IF( OR( Table4[[#This Row],[PrimaryMatch]]="Yes", Table4[[#This Row],[SecondaryMatch]]="Yes"), "Yes", "")</f>
        <v/>
      </c>
    </row>
    <row r="1983" spans="1:18" hidden="1" x14ac:dyDescent="0.25">
      <c r="A1983" t="s">
        <v>1431</v>
      </c>
      <c r="B1983" t="s">
        <v>3209</v>
      </c>
      <c r="C1983" t="s">
        <v>3210</v>
      </c>
      <c r="D1983" t="s">
        <v>4211</v>
      </c>
      <c r="E1983" s="1">
        <v>10.397</v>
      </c>
      <c r="F1983" s="1">
        <v>9.6969999999999992</v>
      </c>
      <c r="K1983" s="39">
        <f>DefaultValues!$B$4</f>
        <v>5</v>
      </c>
      <c r="L1983" s="1">
        <f>DefaultValues!$C$4</f>
        <v>0.5</v>
      </c>
      <c r="M1983" s="1" t="str">
        <f>DefaultValues!$D$4</f>
        <v xml:space="preserve">- Within interchange - </v>
      </c>
      <c r="N1983" s="1">
        <v>989.603027</v>
      </c>
      <c r="O1983" s="1">
        <f>ABS(Table4[[#This Row],[EndMP]]-Table4[[#This Row],[StartMP]])</f>
        <v>0.70000000000000107</v>
      </c>
      <c r="P1983" s="1" t="str">
        <f>IF( AND( Table4[[#This Row],[Route]]=ClosureLocation!$B$3, ClosureLocation!$B$6 &gt;= Table4[[#This Row],[StartMP]], ClosureLocation!$B$6 &lt;= Table4[[#This Row],[EndMP]]), "Yes", "")</f>
        <v/>
      </c>
      <c r="Q1983" s="1" t="str">
        <f>IF( AND( Table4[[#This Row],[Route]]=ClosureLocation!$B$3, ClosureLocation!$B$6 &lt;= Table4[[#This Row],[StartMP]], ClosureLocation!$B$6 &gt;= Table4[[#This Row],[EndMP]]), "Yes", "")</f>
        <v/>
      </c>
      <c r="R1983" s="1" t="str">
        <f>IF( OR( Table4[[#This Row],[PrimaryMatch]]="Yes", Table4[[#This Row],[SecondaryMatch]]="Yes"), "Yes", "")</f>
        <v/>
      </c>
    </row>
    <row r="1984" spans="1:18" hidden="1" x14ac:dyDescent="0.25">
      <c r="A1984" t="s">
        <v>1431</v>
      </c>
      <c r="B1984" t="s">
        <v>3209</v>
      </c>
      <c r="C1984" t="s">
        <v>3210</v>
      </c>
      <c r="D1984" t="s">
        <v>4211</v>
      </c>
      <c r="E1984" s="1">
        <v>9.2349999999999994</v>
      </c>
      <c r="F1984" s="1">
        <v>8.77</v>
      </c>
      <c r="K1984" s="39">
        <f>DefaultValues!$B$4</f>
        <v>5</v>
      </c>
      <c r="L1984" s="1">
        <f>DefaultValues!$C$4</f>
        <v>0.5</v>
      </c>
      <c r="M1984" s="1" t="str">
        <f>DefaultValues!$D$4</f>
        <v xml:space="preserve">- Within interchange - </v>
      </c>
      <c r="N1984" s="1">
        <v>990.76501499999995</v>
      </c>
      <c r="O1984" s="1">
        <f>ABS(Table4[[#This Row],[EndMP]]-Table4[[#This Row],[StartMP]])</f>
        <v>0.46499999999999986</v>
      </c>
      <c r="P1984" s="1" t="str">
        <f>IF( AND( Table4[[#This Row],[Route]]=ClosureLocation!$B$3, ClosureLocation!$B$6 &gt;= Table4[[#This Row],[StartMP]], ClosureLocation!$B$6 &lt;= Table4[[#This Row],[EndMP]]), "Yes", "")</f>
        <v/>
      </c>
      <c r="Q1984" s="1" t="str">
        <f>IF( AND( Table4[[#This Row],[Route]]=ClosureLocation!$B$3, ClosureLocation!$B$6 &lt;= Table4[[#This Row],[StartMP]], ClosureLocation!$B$6 &gt;= Table4[[#This Row],[EndMP]]), "Yes", "")</f>
        <v/>
      </c>
      <c r="R1984" s="1" t="str">
        <f>IF( OR( Table4[[#This Row],[PrimaryMatch]]="Yes", Table4[[#This Row],[SecondaryMatch]]="Yes"), "Yes", "")</f>
        <v/>
      </c>
    </row>
    <row r="1985" spans="1:18" hidden="1" x14ac:dyDescent="0.25">
      <c r="A1985" t="s">
        <v>1431</v>
      </c>
      <c r="B1985" t="s">
        <v>3209</v>
      </c>
      <c r="C1985" t="s">
        <v>3210</v>
      </c>
      <c r="D1985" t="s">
        <v>4211</v>
      </c>
      <c r="E1985" s="1">
        <v>8.3119999999999994</v>
      </c>
      <c r="F1985" s="1">
        <v>7.5090000000000003</v>
      </c>
      <c r="K1985" s="39">
        <f>DefaultValues!$B$4</f>
        <v>5</v>
      </c>
      <c r="L1985" s="1">
        <f>DefaultValues!$C$4</f>
        <v>0.5</v>
      </c>
      <c r="M1985" s="1" t="str">
        <f>DefaultValues!$D$4</f>
        <v xml:space="preserve">- Within interchange - </v>
      </c>
      <c r="N1985" s="1">
        <v>991.68798800000002</v>
      </c>
      <c r="O1985" s="1">
        <f>ABS(Table4[[#This Row],[EndMP]]-Table4[[#This Row],[StartMP]])</f>
        <v>0.80299999999999905</v>
      </c>
      <c r="P1985" s="1" t="str">
        <f>IF( AND( Table4[[#This Row],[Route]]=ClosureLocation!$B$3, ClosureLocation!$B$6 &gt;= Table4[[#This Row],[StartMP]], ClosureLocation!$B$6 &lt;= Table4[[#This Row],[EndMP]]), "Yes", "")</f>
        <v/>
      </c>
      <c r="Q1985" s="1" t="str">
        <f>IF( AND( Table4[[#This Row],[Route]]=ClosureLocation!$B$3, ClosureLocation!$B$6 &lt;= Table4[[#This Row],[StartMP]], ClosureLocation!$B$6 &gt;= Table4[[#This Row],[EndMP]]), "Yes", "")</f>
        <v/>
      </c>
      <c r="R1985" s="1" t="str">
        <f>IF( OR( Table4[[#This Row],[PrimaryMatch]]="Yes", Table4[[#This Row],[SecondaryMatch]]="Yes"), "Yes", "")</f>
        <v/>
      </c>
    </row>
    <row r="1986" spans="1:18" hidden="1" x14ac:dyDescent="0.25">
      <c r="A1986" t="s">
        <v>1431</v>
      </c>
      <c r="B1986" t="s">
        <v>3209</v>
      </c>
      <c r="C1986" t="s">
        <v>3210</v>
      </c>
      <c r="D1986" t="s">
        <v>4211</v>
      </c>
      <c r="E1986" s="1">
        <v>7.194</v>
      </c>
      <c r="F1986" s="1">
        <v>6.7220000000000004</v>
      </c>
      <c r="K1986" s="39">
        <f>DefaultValues!$B$4</f>
        <v>5</v>
      </c>
      <c r="L1986" s="1">
        <f>DefaultValues!$C$4</f>
        <v>0.5</v>
      </c>
      <c r="M1986" s="1" t="str">
        <f>DefaultValues!$D$4</f>
        <v xml:space="preserve">- Within interchange - </v>
      </c>
      <c r="N1986" s="1">
        <v>992.80602999999996</v>
      </c>
      <c r="O1986" s="1">
        <f>ABS(Table4[[#This Row],[EndMP]]-Table4[[#This Row],[StartMP]])</f>
        <v>0.47199999999999953</v>
      </c>
      <c r="P1986" s="1" t="str">
        <f>IF( AND( Table4[[#This Row],[Route]]=ClosureLocation!$B$3, ClosureLocation!$B$6 &gt;= Table4[[#This Row],[StartMP]], ClosureLocation!$B$6 &lt;= Table4[[#This Row],[EndMP]]), "Yes", "")</f>
        <v/>
      </c>
      <c r="Q1986" s="1" t="str">
        <f>IF( AND( Table4[[#This Row],[Route]]=ClosureLocation!$B$3, ClosureLocation!$B$6 &lt;= Table4[[#This Row],[StartMP]], ClosureLocation!$B$6 &gt;= Table4[[#This Row],[EndMP]]), "Yes", "")</f>
        <v/>
      </c>
      <c r="R1986" s="1" t="str">
        <f>IF( OR( Table4[[#This Row],[PrimaryMatch]]="Yes", Table4[[#This Row],[SecondaryMatch]]="Yes"), "Yes", "")</f>
        <v/>
      </c>
    </row>
    <row r="1987" spans="1:18" hidden="1" x14ac:dyDescent="0.25">
      <c r="A1987" t="s">
        <v>1431</v>
      </c>
      <c r="B1987" t="s">
        <v>3209</v>
      </c>
      <c r="C1987" t="s">
        <v>3210</v>
      </c>
      <c r="D1987" t="s">
        <v>4211</v>
      </c>
      <c r="E1987" s="1">
        <v>5.6130000000000004</v>
      </c>
      <c r="F1987" s="1">
        <v>5.0979999999999999</v>
      </c>
      <c r="K1987" s="39">
        <f>DefaultValues!$B$4</f>
        <v>5</v>
      </c>
      <c r="L1987" s="1">
        <f>DefaultValues!$C$4</f>
        <v>0.5</v>
      </c>
      <c r="M1987" s="1" t="str">
        <f>DefaultValues!$D$4</f>
        <v xml:space="preserve">- Within interchange - </v>
      </c>
      <c r="N1987" s="1">
        <v>994.387024</v>
      </c>
      <c r="O1987" s="1">
        <f>ABS(Table4[[#This Row],[EndMP]]-Table4[[#This Row],[StartMP]])</f>
        <v>0.51500000000000057</v>
      </c>
      <c r="P1987" s="1" t="str">
        <f>IF( AND( Table4[[#This Row],[Route]]=ClosureLocation!$B$3, ClosureLocation!$B$6 &gt;= Table4[[#This Row],[StartMP]], ClosureLocation!$B$6 &lt;= Table4[[#This Row],[EndMP]]), "Yes", "")</f>
        <v/>
      </c>
      <c r="Q1987" s="1" t="str">
        <f>IF( AND( Table4[[#This Row],[Route]]=ClosureLocation!$B$3, ClosureLocation!$B$6 &lt;= Table4[[#This Row],[StartMP]], ClosureLocation!$B$6 &gt;= Table4[[#This Row],[EndMP]]), "Yes", "")</f>
        <v/>
      </c>
      <c r="R1987" s="1" t="str">
        <f>IF( OR( Table4[[#This Row],[PrimaryMatch]]="Yes", Table4[[#This Row],[SecondaryMatch]]="Yes"), "Yes", "")</f>
        <v/>
      </c>
    </row>
    <row r="1988" spans="1:18" hidden="1" x14ac:dyDescent="0.25">
      <c r="A1988" t="s">
        <v>1431</v>
      </c>
      <c r="B1988" t="s">
        <v>3209</v>
      </c>
      <c r="C1988" t="s">
        <v>3210</v>
      </c>
      <c r="D1988" t="s">
        <v>4211</v>
      </c>
      <c r="E1988" s="1">
        <v>4.3559999999999999</v>
      </c>
      <c r="F1988" s="1">
        <v>3.4510000000000001</v>
      </c>
      <c r="K1988" s="39">
        <f>DefaultValues!$B$4</f>
        <v>5</v>
      </c>
      <c r="L1988" s="1">
        <f>DefaultValues!$C$4</f>
        <v>0.5</v>
      </c>
      <c r="M1988" s="1" t="str">
        <f>DefaultValues!$D$4</f>
        <v xml:space="preserve">- Within interchange - </v>
      </c>
      <c r="N1988" s="1">
        <v>995.64398200000005</v>
      </c>
      <c r="O1988" s="1">
        <f>ABS(Table4[[#This Row],[EndMP]]-Table4[[#This Row],[StartMP]])</f>
        <v>0.9049999999999998</v>
      </c>
      <c r="P1988" s="1" t="str">
        <f>IF( AND( Table4[[#This Row],[Route]]=ClosureLocation!$B$3, ClosureLocation!$B$6 &gt;= Table4[[#This Row],[StartMP]], ClosureLocation!$B$6 &lt;= Table4[[#This Row],[EndMP]]), "Yes", "")</f>
        <v/>
      </c>
      <c r="Q1988" s="1" t="str">
        <f>IF( AND( Table4[[#This Row],[Route]]=ClosureLocation!$B$3, ClosureLocation!$B$6 &lt;= Table4[[#This Row],[StartMP]], ClosureLocation!$B$6 &gt;= Table4[[#This Row],[EndMP]]), "Yes", "")</f>
        <v/>
      </c>
      <c r="R1988" s="1" t="str">
        <f>IF( OR( Table4[[#This Row],[PrimaryMatch]]="Yes", Table4[[#This Row],[SecondaryMatch]]="Yes"), "Yes", "")</f>
        <v/>
      </c>
    </row>
    <row r="1989" spans="1:18" hidden="1" x14ac:dyDescent="0.25">
      <c r="A1989" t="s">
        <v>1431</v>
      </c>
      <c r="B1989" t="s">
        <v>3209</v>
      </c>
      <c r="C1989" t="s">
        <v>3210</v>
      </c>
      <c r="D1989" t="s">
        <v>4211</v>
      </c>
      <c r="E1989" s="1">
        <v>1.6240000000000001</v>
      </c>
      <c r="F1989" s="1">
        <v>0.29699999999999999</v>
      </c>
      <c r="K1989" s="39">
        <f>DefaultValues!$B$4</f>
        <v>5</v>
      </c>
      <c r="L1989" s="1">
        <f>DefaultValues!$C$4</f>
        <v>0.5</v>
      </c>
      <c r="M1989" s="1" t="str">
        <f>DefaultValues!$D$4</f>
        <v xml:space="preserve">- Within interchange - </v>
      </c>
      <c r="N1989" s="1">
        <v>998.37597700000003</v>
      </c>
      <c r="O1989" s="1">
        <f>ABS(Table4[[#This Row],[EndMP]]-Table4[[#This Row],[StartMP]])</f>
        <v>1.3270000000000002</v>
      </c>
      <c r="P1989" s="1" t="str">
        <f>IF( AND( Table4[[#This Row],[Route]]=ClosureLocation!$B$3, ClosureLocation!$B$6 &gt;= Table4[[#This Row],[StartMP]], ClosureLocation!$B$6 &lt;= Table4[[#This Row],[EndMP]]), "Yes", "")</f>
        <v/>
      </c>
      <c r="Q1989" s="1" t="str">
        <f>IF( AND( Table4[[#This Row],[Route]]=ClosureLocation!$B$3, ClosureLocation!$B$6 &lt;= Table4[[#This Row],[StartMP]], ClosureLocation!$B$6 &gt;= Table4[[#This Row],[EndMP]]), "Yes", "")</f>
        <v/>
      </c>
      <c r="R1989" s="1" t="str">
        <f>IF( OR( Table4[[#This Row],[PrimaryMatch]]="Yes", Table4[[#This Row],[SecondaryMatch]]="Yes"), "Yes", "")</f>
        <v/>
      </c>
    </row>
    <row r="1990" spans="1:18" hidden="1" x14ac:dyDescent="0.25">
      <c r="A1990" t="s">
        <v>1435</v>
      </c>
      <c r="B1990" t="s">
        <v>3205</v>
      </c>
      <c r="C1990" t="s">
        <v>3206</v>
      </c>
      <c r="D1990" t="s">
        <v>4683</v>
      </c>
      <c r="E1990" s="1">
        <v>0</v>
      </c>
      <c r="F1990" s="1">
        <v>0.215</v>
      </c>
      <c r="K1990" s="39">
        <f>DefaultValues!$B$4</f>
        <v>5</v>
      </c>
      <c r="L1990" s="1">
        <f>DefaultValues!$C$4</f>
        <v>0.5</v>
      </c>
      <c r="M1990" s="1" t="str">
        <f>DefaultValues!$D$4</f>
        <v xml:space="preserve">- Within interchange - </v>
      </c>
      <c r="N1990" s="1">
        <v>0</v>
      </c>
      <c r="O1990" s="1">
        <f>ABS(Table4[[#This Row],[EndMP]]-Table4[[#This Row],[StartMP]])</f>
        <v>0.215</v>
      </c>
      <c r="P1990" s="1" t="str">
        <f>IF( AND( Table4[[#This Row],[Route]]=ClosureLocation!$B$3, ClosureLocation!$B$6 &gt;= Table4[[#This Row],[StartMP]], ClosureLocation!$B$6 &lt;= Table4[[#This Row],[EndMP]]), "Yes", "")</f>
        <v/>
      </c>
      <c r="Q1990" s="1" t="str">
        <f>IF( AND( Table4[[#This Row],[Route]]=ClosureLocation!$B$3, ClosureLocation!$B$6 &lt;= Table4[[#This Row],[StartMP]], ClosureLocation!$B$6 &gt;= Table4[[#This Row],[EndMP]]), "Yes", "")</f>
        <v/>
      </c>
      <c r="R1990" s="1" t="str">
        <f>IF( OR( Table4[[#This Row],[PrimaryMatch]]="Yes", Table4[[#This Row],[SecondaryMatch]]="Yes"), "Yes", "")</f>
        <v/>
      </c>
    </row>
    <row r="1991" spans="1:18" hidden="1" x14ac:dyDescent="0.25">
      <c r="A1991" t="s">
        <v>1435</v>
      </c>
      <c r="B1991" t="s">
        <v>3209</v>
      </c>
      <c r="C1991" t="s">
        <v>3210</v>
      </c>
      <c r="D1991" t="s">
        <v>4684</v>
      </c>
      <c r="E1991" s="1">
        <v>0.215</v>
      </c>
      <c r="F1991" s="1">
        <v>0</v>
      </c>
      <c r="K1991" s="39">
        <f>DefaultValues!$B$4</f>
        <v>5</v>
      </c>
      <c r="L1991" s="1">
        <f>DefaultValues!$C$4</f>
        <v>0.5</v>
      </c>
      <c r="M1991" s="1" t="str">
        <f>DefaultValues!$D$4</f>
        <v xml:space="preserve">- Within interchange - </v>
      </c>
      <c r="N1991" s="1">
        <v>999.78497300000004</v>
      </c>
      <c r="O1991" s="1">
        <f>ABS(Table4[[#This Row],[EndMP]]-Table4[[#This Row],[StartMP]])</f>
        <v>0.215</v>
      </c>
      <c r="P1991" s="1" t="str">
        <f>IF( AND( Table4[[#This Row],[Route]]=ClosureLocation!$B$3, ClosureLocation!$B$6 &gt;= Table4[[#This Row],[StartMP]], ClosureLocation!$B$6 &lt;= Table4[[#This Row],[EndMP]]), "Yes", "")</f>
        <v/>
      </c>
      <c r="Q1991" s="1" t="str">
        <f>IF( AND( Table4[[#This Row],[Route]]=ClosureLocation!$B$3, ClosureLocation!$B$6 &lt;= Table4[[#This Row],[StartMP]], ClosureLocation!$B$6 &gt;= Table4[[#This Row],[EndMP]]), "Yes", "")</f>
        <v/>
      </c>
      <c r="R1991" s="1" t="str">
        <f>IF( OR( Table4[[#This Row],[PrimaryMatch]]="Yes", Table4[[#This Row],[SecondaryMatch]]="Yes"), "Yes", "")</f>
        <v/>
      </c>
    </row>
    <row r="1992" spans="1:18" hidden="1" x14ac:dyDescent="0.25">
      <c r="A1992" t="s">
        <v>1445</v>
      </c>
      <c r="B1992" t="s">
        <v>3205</v>
      </c>
      <c r="C1992" t="s">
        <v>3206</v>
      </c>
      <c r="D1992" t="s">
        <v>4220</v>
      </c>
      <c r="E1992" s="1">
        <v>5.0650000000000004</v>
      </c>
      <c r="F1992" s="1">
        <v>5.1849999999999996</v>
      </c>
      <c r="K1992" s="39">
        <f>DefaultValues!$B$4</f>
        <v>5</v>
      </c>
      <c r="L1992" s="1">
        <f>DefaultValues!$C$4</f>
        <v>0.5</v>
      </c>
      <c r="M1992" s="1" t="str">
        <f>DefaultValues!$D$4</f>
        <v xml:space="preserve">- Within interchange - </v>
      </c>
      <c r="N1992" s="1">
        <v>5.0650000000000004</v>
      </c>
      <c r="O1992" s="1">
        <f>ABS(Table4[[#This Row],[EndMP]]-Table4[[#This Row],[StartMP]])</f>
        <v>0.11999999999999922</v>
      </c>
      <c r="P1992" s="1" t="str">
        <f>IF( AND( Table4[[#This Row],[Route]]=ClosureLocation!$B$3, ClosureLocation!$B$6 &gt;= Table4[[#This Row],[StartMP]], ClosureLocation!$B$6 &lt;= Table4[[#This Row],[EndMP]]), "Yes", "")</f>
        <v/>
      </c>
      <c r="Q1992" s="1" t="str">
        <f>IF( AND( Table4[[#This Row],[Route]]=ClosureLocation!$B$3, ClosureLocation!$B$6 &lt;= Table4[[#This Row],[StartMP]], ClosureLocation!$B$6 &gt;= Table4[[#This Row],[EndMP]]), "Yes", "")</f>
        <v/>
      </c>
      <c r="R1992" s="1" t="str">
        <f>IF( OR( Table4[[#This Row],[PrimaryMatch]]="Yes", Table4[[#This Row],[SecondaryMatch]]="Yes"), "Yes", "")</f>
        <v/>
      </c>
    </row>
    <row r="1993" spans="1:18" hidden="1" x14ac:dyDescent="0.25">
      <c r="A1993" t="s">
        <v>1445</v>
      </c>
      <c r="B1993" t="s">
        <v>3209</v>
      </c>
      <c r="C1993" t="s">
        <v>3210</v>
      </c>
      <c r="D1993" t="s">
        <v>4222</v>
      </c>
      <c r="E1993" s="1">
        <v>5.1849999999999996</v>
      </c>
      <c r="F1993" s="1">
        <v>5.0650000000000004</v>
      </c>
      <c r="K1993" s="39">
        <f>DefaultValues!$B$4</f>
        <v>5</v>
      </c>
      <c r="L1993" s="1">
        <f>DefaultValues!$C$4</f>
        <v>0.5</v>
      </c>
      <c r="M1993" s="1" t="str">
        <f>DefaultValues!$D$4</f>
        <v xml:space="preserve">- Within interchange - </v>
      </c>
      <c r="N1993" s="1">
        <v>994.81500200000005</v>
      </c>
      <c r="O1993" s="1">
        <f>ABS(Table4[[#This Row],[EndMP]]-Table4[[#This Row],[StartMP]])</f>
        <v>0.11999999999999922</v>
      </c>
      <c r="P1993" s="1" t="str">
        <f>IF( AND( Table4[[#This Row],[Route]]=ClosureLocation!$B$3, ClosureLocation!$B$6 &gt;= Table4[[#This Row],[StartMP]], ClosureLocation!$B$6 &lt;= Table4[[#This Row],[EndMP]]), "Yes", "")</f>
        <v/>
      </c>
      <c r="Q1993" s="1" t="str">
        <f>IF( AND( Table4[[#This Row],[Route]]=ClosureLocation!$B$3, ClosureLocation!$B$6 &lt;= Table4[[#This Row],[StartMP]], ClosureLocation!$B$6 &gt;= Table4[[#This Row],[EndMP]]), "Yes", "")</f>
        <v/>
      </c>
      <c r="R1993" s="1" t="str">
        <f>IF( OR( Table4[[#This Row],[PrimaryMatch]]="Yes", Table4[[#This Row],[SecondaryMatch]]="Yes"), "Yes", "")</f>
        <v/>
      </c>
    </row>
    <row r="1994" spans="1:18" hidden="1" x14ac:dyDescent="0.25">
      <c r="A1994" t="s">
        <v>1454</v>
      </c>
      <c r="B1994" t="s">
        <v>3205</v>
      </c>
      <c r="C1994" t="s">
        <v>3222</v>
      </c>
      <c r="D1994" t="s">
        <v>4685</v>
      </c>
      <c r="E1994" s="1">
        <v>3.6999999999999998E-2</v>
      </c>
      <c r="F1994" s="1">
        <v>1.1459999999999999</v>
      </c>
      <c r="K1994" s="39">
        <f>DefaultValues!$B$4</f>
        <v>5</v>
      </c>
      <c r="L1994" s="1">
        <f>DefaultValues!$C$4</f>
        <v>0.5</v>
      </c>
      <c r="M1994" s="1" t="str">
        <f>DefaultValues!$D$4</f>
        <v xml:space="preserve">- Within interchange - </v>
      </c>
      <c r="N1994" s="1">
        <v>3.6999999999999998E-2</v>
      </c>
      <c r="O1994" s="1">
        <f>ABS(Table4[[#This Row],[EndMP]]-Table4[[#This Row],[StartMP]])</f>
        <v>1.109</v>
      </c>
      <c r="P1994" s="1" t="str">
        <f>IF( AND( Table4[[#This Row],[Route]]=ClosureLocation!$B$3, ClosureLocation!$B$6 &gt;= Table4[[#This Row],[StartMP]], ClosureLocation!$B$6 &lt;= Table4[[#This Row],[EndMP]]), "Yes", "")</f>
        <v/>
      </c>
      <c r="Q1994" s="1" t="str">
        <f>IF( AND( Table4[[#This Row],[Route]]=ClosureLocation!$B$3, ClosureLocation!$B$6 &lt;= Table4[[#This Row],[StartMP]], ClosureLocation!$B$6 &gt;= Table4[[#This Row],[EndMP]]), "Yes", "")</f>
        <v/>
      </c>
      <c r="R1994" s="1" t="str">
        <f>IF( OR( Table4[[#This Row],[PrimaryMatch]]="Yes", Table4[[#This Row],[SecondaryMatch]]="Yes"), "Yes", "")</f>
        <v/>
      </c>
    </row>
    <row r="1995" spans="1:18" hidden="1" x14ac:dyDescent="0.25">
      <c r="A1995" t="s">
        <v>1454</v>
      </c>
      <c r="B1995" t="s">
        <v>3209</v>
      </c>
      <c r="C1995" t="s">
        <v>3226</v>
      </c>
      <c r="D1995" t="s">
        <v>4686</v>
      </c>
      <c r="E1995" s="1">
        <v>1.1459999999999999</v>
      </c>
      <c r="F1995" s="1">
        <v>3.6999999999999998E-2</v>
      </c>
      <c r="K1995" s="39">
        <f>DefaultValues!$B$4</f>
        <v>5</v>
      </c>
      <c r="L1995" s="1">
        <f>DefaultValues!$C$4</f>
        <v>0.5</v>
      </c>
      <c r="M1995" s="1" t="str">
        <f>DefaultValues!$D$4</f>
        <v xml:space="preserve">- Within interchange - </v>
      </c>
      <c r="N1995" s="1">
        <v>998.85400400000003</v>
      </c>
      <c r="O1995" s="1">
        <f>ABS(Table4[[#This Row],[EndMP]]-Table4[[#This Row],[StartMP]])</f>
        <v>1.109</v>
      </c>
      <c r="P1995" s="1" t="str">
        <f>IF( AND( Table4[[#This Row],[Route]]=ClosureLocation!$B$3, ClosureLocation!$B$6 &gt;= Table4[[#This Row],[StartMP]], ClosureLocation!$B$6 &lt;= Table4[[#This Row],[EndMP]]), "Yes", "")</f>
        <v/>
      </c>
      <c r="Q1995" s="1" t="str">
        <f>IF( AND( Table4[[#This Row],[Route]]=ClosureLocation!$B$3, ClosureLocation!$B$6 &lt;= Table4[[#This Row],[StartMP]], ClosureLocation!$B$6 &gt;= Table4[[#This Row],[EndMP]]), "Yes", "")</f>
        <v/>
      </c>
      <c r="R1995" s="1" t="str">
        <f>IF( OR( Table4[[#This Row],[PrimaryMatch]]="Yes", Table4[[#This Row],[SecondaryMatch]]="Yes"), "Yes", "")</f>
        <v/>
      </c>
    </row>
    <row r="1996" spans="1:18" hidden="1" x14ac:dyDescent="0.25">
      <c r="A1996" t="s">
        <v>1459</v>
      </c>
      <c r="B1996" t="s">
        <v>3205</v>
      </c>
      <c r="C1996" t="s">
        <v>3206</v>
      </c>
      <c r="D1996" t="s">
        <v>4687</v>
      </c>
      <c r="E1996" s="1">
        <v>3.4000000000000002E-2</v>
      </c>
      <c r="F1996" s="1">
        <v>9.2999999999999999E-2</v>
      </c>
      <c r="K1996" s="39">
        <f>DefaultValues!$B$4</f>
        <v>5</v>
      </c>
      <c r="L1996" s="1">
        <f>DefaultValues!$C$4</f>
        <v>0.5</v>
      </c>
      <c r="M1996" s="1" t="str">
        <f>DefaultValues!$D$4</f>
        <v xml:space="preserve">- Within interchange - </v>
      </c>
      <c r="N1996" s="1">
        <v>3.4000000000000002E-2</v>
      </c>
      <c r="O1996" s="1">
        <f>ABS(Table4[[#This Row],[EndMP]]-Table4[[#This Row],[StartMP]])</f>
        <v>5.8999999999999997E-2</v>
      </c>
      <c r="P1996" s="1" t="str">
        <f>IF( AND( Table4[[#This Row],[Route]]=ClosureLocation!$B$3, ClosureLocation!$B$6 &gt;= Table4[[#This Row],[StartMP]], ClosureLocation!$B$6 &lt;= Table4[[#This Row],[EndMP]]), "Yes", "")</f>
        <v/>
      </c>
      <c r="Q1996" s="1" t="str">
        <f>IF( AND( Table4[[#This Row],[Route]]=ClosureLocation!$B$3, ClosureLocation!$B$6 &lt;= Table4[[#This Row],[StartMP]], ClosureLocation!$B$6 &gt;= Table4[[#This Row],[EndMP]]), "Yes", "")</f>
        <v/>
      </c>
      <c r="R1996" s="1" t="str">
        <f>IF( OR( Table4[[#This Row],[PrimaryMatch]]="Yes", Table4[[#This Row],[SecondaryMatch]]="Yes"), "Yes", "")</f>
        <v/>
      </c>
    </row>
    <row r="1997" spans="1:18" hidden="1" x14ac:dyDescent="0.25">
      <c r="A1997" t="s">
        <v>1459</v>
      </c>
      <c r="B1997" t="s">
        <v>3209</v>
      </c>
      <c r="C1997" t="s">
        <v>3210</v>
      </c>
      <c r="D1997" t="s">
        <v>4688</v>
      </c>
      <c r="E1997" s="1">
        <v>9.2999999999999999E-2</v>
      </c>
      <c r="F1997" s="1">
        <v>3.4000000000000002E-2</v>
      </c>
      <c r="K1997" s="39">
        <f>DefaultValues!$B$4</f>
        <v>5</v>
      </c>
      <c r="L1997" s="1">
        <f>DefaultValues!$C$4</f>
        <v>0.5</v>
      </c>
      <c r="M1997" s="1" t="str">
        <f>DefaultValues!$D$4</f>
        <v xml:space="preserve">- Within interchange - </v>
      </c>
      <c r="N1997" s="1">
        <v>999.90698199999997</v>
      </c>
      <c r="O1997" s="1">
        <f>ABS(Table4[[#This Row],[EndMP]]-Table4[[#This Row],[StartMP]])</f>
        <v>5.8999999999999997E-2</v>
      </c>
      <c r="P1997" s="1" t="str">
        <f>IF( AND( Table4[[#This Row],[Route]]=ClosureLocation!$B$3, ClosureLocation!$B$6 &gt;= Table4[[#This Row],[StartMP]], ClosureLocation!$B$6 &lt;= Table4[[#This Row],[EndMP]]), "Yes", "")</f>
        <v/>
      </c>
      <c r="Q1997" s="1" t="str">
        <f>IF( AND( Table4[[#This Row],[Route]]=ClosureLocation!$B$3, ClosureLocation!$B$6 &lt;= Table4[[#This Row],[StartMP]], ClosureLocation!$B$6 &gt;= Table4[[#This Row],[EndMP]]), "Yes", "")</f>
        <v/>
      </c>
      <c r="R1997" s="1" t="str">
        <f>IF( OR( Table4[[#This Row],[PrimaryMatch]]="Yes", Table4[[#This Row],[SecondaryMatch]]="Yes"), "Yes", "")</f>
        <v/>
      </c>
    </row>
    <row r="1998" spans="1:18" hidden="1" x14ac:dyDescent="0.25">
      <c r="A1998" t="s">
        <v>1464</v>
      </c>
      <c r="B1998" t="s">
        <v>3205</v>
      </c>
      <c r="C1998" t="s">
        <v>3222</v>
      </c>
      <c r="D1998" t="s">
        <v>4689</v>
      </c>
      <c r="E1998" s="1">
        <v>0</v>
      </c>
      <c r="F1998" s="1">
        <v>0.22600000000000001</v>
      </c>
      <c r="K1998" s="39">
        <f>DefaultValues!$B$4</f>
        <v>5</v>
      </c>
      <c r="L1998" s="1">
        <f>DefaultValues!$C$4</f>
        <v>0.5</v>
      </c>
      <c r="M1998" s="1" t="str">
        <f>DefaultValues!$D$4</f>
        <v xml:space="preserve">- Within interchange - </v>
      </c>
      <c r="N1998" s="1">
        <v>0</v>
      </c>
      <c r="O1998" s="1">
        <f>ABS(Table4[[#This Row],[EndMP]]-Table4[[#This Row],[StartMP]])</f>
        <v>0.22600000000000001</v>
      </c>
      <c r="P1998" s="1" t="str">
        <f>IF( AND( Table4[[#This Row],[Route]]=ClosureLocation!$B$3, ClosureLocation!$B$6 &gt;= Table4[[#This Row],[StartMP]], ClosureLocation!$B$6 &lt;= Table4[[#This Row],[EndMP]]), "Yes", "")</f>
        <v/>
      </c>
      <c r="Q1998" s="1" t="str">
        <f>IF( AND( Table4[[#This Row],[Route]]=ClosureLocation!$B$3, ClosureLocation!$B$6 &lt;= Table4[[#This Row],[StartMP]], ClosureLocation!$B$6 &gt;= Table4[[#This Row],[EndMP]]), "Yes", "")</f>
        <v/>
      </c>
      <c r="R1998" s="1" t="str">
        <f>IF( OR( Table4[[#This Row],[PrimaryMatch]]="Yes", Table4[[#This Row],[SecondaryMatch]]="Yes"), "Yes", "")</f>
        <v/>
      </c>
    </row>
    <row r="1999" spans="1:18" hidden="1" x14ac:dyDescent="0.25">
      <c r="A1999" t="s">
        <v>1464</v>
      </c>
      <c r="B1999" t="s">
        <v>3205</v>
      </c>
      <c r="C1999" t="s">
        <v>3222</v>
      </c>
      <c r="D1999" t="s">
        <v>4689</v>
      </c>
      <c r="E1999" s="1">
        <v>2.11</v>
      </c>
      <c r="F1999" s="1">
        <v>2.41</v>
      </c>
      <c r="K1999" s="39">
        <f>DefaultValues!$B$4</f>
        <v>5</v>
      </c>
      <c r="L1999" s="1">
        <f>DefaultValues!$C$4</f>
        <v>0.5</v>
      </c>
      <c r="M1999" s="1" t="str">
        <f>DefaultValues!$D$4</f>
        <v xml:space="preserve">- Within interchange - </v>
      </c>
      <c r="N1999" s="1">
        <v>2.11</v>
      </c>
      <c r="O1999" s="1">
        <f>ABS(Table4[[#This Row],[EndMP]]-Table4[[#This Row],[StartMP]])</f>
        <v>0.30000000000000027</v>
      </c>
      <c r="P1999" s="1" t="str">
        <f>IF( AND( Table4[[#This Row],[Route]]=ClosureLocation!$B$3, ClosureLocation!$B$6 &gt;= Table4[[#This Row],[StartMP]], ClosureLocation!$B$6 &lt;= Table4[[#This Row],[EndMP]]), "Yes", "")</f>
        <v/>
      </c>
      <c r="Q1999" s="1" t="str">
        <f>IF( AND( Table4[[#This Row],[Route]]=ClosureLocation!$B$3, ClosureLocation!$B$6 &lt;= Table4[[#This Row],[StartMP]], ClosureLocation!$B$6 &gt;= Table4[[#This Row],[EndMP]]), "Yes", "")</f>
        <v/>
      </c>
      <c r="R1999" s="1" t="str">
        <f>IF( OR( Table4[[#This Row],[PrimaryMatch]]="Yes", Table4[[#This Row],[SecondaryMatch]]="Yes"), "Yes", "")</f>
        <v/>
      </c>
    </row>
    <row r="2000" spans="1:18" hidden="1" x14ac:dyDescent="0.25">
      <c r="A2000" t="s">
        <v>1464</v>
      </c>
      <c r="B2000" t="s">
        <v>3205</v>
      </c>
      <c r="C2000" t="s">
        <v>3222</v>
      </c>
      <c r="D2000" t="s">
        <v>4689</v>
      </c>
      <c r="E2000" s="1">
        <v>5.0170000000000003</v>
      </c>
      <c r="F2000" s="1">
        <v>5.9859999999999998</v>
      </c>
      <c r="K2000" s="39">
        <f>DefaultValues!$B$4</f>
        <v>5</v>
      </c>
      <c r="L2000" s="1">
        <f>DefaultValues!$C$4</f>
        <v>0.5</v>
      </c>
      <c r="M2000" s="1" t="str">
        <f>DefaultValues!$D$4</f>
        <v xml:space="preserve">- Within interchange - </v>
      </c>
      <c r="N2000" s="1">
        <v>5.0170000000000003</v>
      </c>
      <c r="O2000" s="1">
        <f>ABS(Table4[[#This Row],[EndMP]]-Table4[[#This Row],[StartMP]])</f>
        <v>0.96899999999999942</v>
      </c>
      <c r="P2000" s="1" t="str">
        <f>IF( AND( Table4[[#This Row],[Route]]=ClosureLocation!$B$3, ClosureLocation!$B$6 &gt;= Table4[[#This Row],[StartMP]], ClosureLocation!$B$6 &lt;= Table4[[#This Row],[EndMP]]), "Yes", "")</f>
        <v/>
      </c>
      <c r="Q2000" s="1" t="str">
        <f>IF( AND( Table4[[#This Row],[Route]]=ClosureLocation!$B$3, ClosureLocation!$B$6 &lt;= Table4[[#This Row],[StartMP]], ClosureLocation!$B$6 &gt;= Table4[[#This Row],[EndMP]]), "Yes", "")</f>
        <v/>
      </c>
      <c r="R2000" s="1" t="str">
        <f>IF( OR( Table4[[#This Row],[PrimaryMatch]]="Yes", Table4[[#This Row],[SecondaryMatch]]="Yes"), "Yes", "")</f>
        <v/>
      </c>
    </row>
    <row r="2001" spans="1:18" hidden="1" x14ac:dyDescent="0.25">
      <c r="A2001" t="s">
        <v>1464</v>
      </c>
      <c r="B2001" t="s">
        <v>3209</v>
      </c>
      <c r="C2001" t="s">
        <v>3226</v>
      </c>
      <c r="D2001" t="s">
        <v>4690</v>
      </c>
      <c r="E2001" s="1">
        <v>2.5150000000000001</v>
      </c>
      <c r="F2001" s="1">
        <v>2.11</v>
      </c>
      <c r="K2001" s="39">
        <f>DefaultValues!$B$4</f>
        <v>5</v>
      </c>
      <c r="L2001" s="1">
        <f>DefaultValues!$C$4</f>
        <v>0.5</v>
      </c>
      <c r="M2001" s="1" t="str">
        <f>DefaultValues!$D$4</f>
        <v xml:space="preserve">- Within interchange - </v>
      </c>
      <c r="N2001" s="1">
        <v>997.48498500000005</v>
      </c>
      <c r="O2001" s="1">
        <f>ABS(Table4[[#This Row],[EndMP]]-Table4[[#This Row],[StartMP]])</f>
        <v>0.40500000000000025</v>
      </c>
      <c r="P2001" s="1" t="str">
        <f>IF( AND( Table4[[#This Row],[Route]]=ClosureLocation!$B$3, ClosureLocation!$B$6 &gt;= Table4[[#This Row],[StartMP]], ClosureLocation!$B$6 &lt;= Table4[[#This Row],[EndMP]]), "Yes", "")</f>
        <v/>
      </c>
      <c r="Q2001" s="1" t="str">
        <f>IF( AND( Table4[[#This Row],[Route]]=ClosureLocation!$B$3, ClosureLocation!$B$6 &lt;= Table4[[#This Row],[StartMP]], ClosureLocation!$B$6 &gt;= Table4[[#This Row],[EndMP]]), "Yes", "")</f>
        <v/>
      </c>
      <c r="R2001" s="1" t="str">
        <f>IF( OR( Table4[[#This Row],[PrimaryMatch]]="Yes", Table4[[#This Row],[SecondaryMatch]]="Yes"), "Yes", "")</f>
        <v/>
      </c>
    </row>
    <row r="2002" spans="1:18" hidden="1" x14ac:dyDescent="0.25">
      <c r="A2002" t="s">
        <v>1467</v>
      </c>
      <c r="B2002" t="s">
        <v>3205</v>
      </c>
      <c r="C2002" t="s">
        <v>3222</v>
      </c>
      <c r="D2002" t="s">
        <v>4691</v>
      </c>
      <c r="E2002" s="1">
        <v>0.52200000000000002</v>
      </c>
      <c r="F2002" s="1">
        <v>1.1000000000000001</v>
      </c>
      <c r="K2002" s="39">
        <f>DefaultValues!$B$4</f>
        <v>5</v>
      </c>
      <c r="L2002" s="1">
        <f>DefaultValues!$C$4</f>
        <v>0.5</v>
      </c>
      <c r="M2002" s="1" t="str">
        <f>DefaultValues!$D$4</f>
        <v xml:space="preserve">- Within interchange - </v>
      </c>
      <c r="N2002" s="1">
        <v>0.52200000000000002</v>
      </c>
      <c r="O2002" s="1">
        <f>ABS(Table4[[#This Row],[EndMP]]-Table4[[#This Row],[StartMP]])</f>
        <v>0.57800000000000007</v>
      </c>
      <c r="P2002" s="1" t="str">
        <f>IF( AND( Table4[[#This Row],[Route]]=ClosureLocation!$B$3, ClosureLocation!$B$6 &gt;= Table4[[#This Row],[StartMP]], ClosureLocation!$B$6 &lt;= Table4[[#This Row],[EndMP]]), "Yes", "")</f>
        <v/>
      </c>
      <c r="Q2002" s="1" t="str">
        <f>IF( AND( Table4[[#This Row],[Route]]=ClosureLocation!$B$3, ClosureLocation!$B$6 &lt;= Table4[[#This Row],[StartMP]], ClosureLocation!$B$6 &gt;= Table4[[#This Row],[EndMP]]), "Yes", "")</f>
        <v/>
      </c>
      <c r="R2002" s="1" t="str">
        <f>IF( OR( Table4[[#This Row],[PrimaryMatch]]="Yes", Table4[[#This Row],[SecondaryMatch]]="Yes"), "Yes", "")</f>
        <v/>
      </c>
    </row>
    <row r="2003" spans="1:18" hidden="1" x14ac:dyDescent="0.25">
      <c r="A2003" t="s">
        <v>1467</v>
      </c>
      <c r="B2003" t="s">
        <v>3209</v>
      </c>
      <c r="C2003" t="s">
        <v>3226</v>
      </c>
      <c r="D2003" t="s">
        <v>4692</v>
      </c>
      <c r="E2003" s="1">
        <v>1.1000000000000001</v>
      </c>
      <c r="F2003" s="1">
        <v>0.98599999999999999</v>
      </c>
      <c r="K2003" s="39">
        <f>DefaultValues!$B$4</f>
        <v>5</v>
      </c>
      <c r="L2003" s="1">
        <f>DefaultValues!$C$4</f>
        <v>0.5</v>
      </c>
      <c r="M2003" s="1" t="str">
        <f>DefaultValues!$D$4</f>
        <v xml:space="preserve">- Within interchange - </v>
      </c>
      <c r="N2003" s="1">
        <v>998.90002400000003</v>
      </c>
      <c r="O2003" s="1">
        <f>ABS(Table4[[#This Row],[EndMP]]-Table4[[#This Row],[StartMP]])</f>
        <v>0.1140000000000001</v>
      </c>
      <c r="P2003" s="1" t="str">
        <f>IF( AND( Table4[[#This Row],[Route]]=ClosureLocation!$B$3, ClosureLocation!$B$6 &gt;= Table4[[#This Row],[StartMP]], ClosureLocation!$B$6 &lt;= Table4[[#This Row],[EndMP]]), "Yes", "")</f>
        <v/>
      </c>
      <c r="Q2003" s="1" t="str">
        <f>IF( AND( Table4[[#This Row],[Route]]=ClosureLocation!$B$3, ClosureLocation!$B$6 &lt;= Table4[[#This Row],[StartMP]], ClosureLocation!$B$6 &gt;= Table4[[#This Row],[EndMP]]), "Yes", "")</f>
        <v/>
      </c>
      <c r="R2003" s="1" t="str">
        <f>IF( OR( Table4[[#This Row],[PrimaryMatch]]="Yes", Table4[[#This Row],[SecondaryMatch]]="Yes"), "Yes", "")</f>
        <v/>
      </c>
    </row>
    <row r="2004" spans="1:18" hidden="1" x14ac:dyDescent="0.25">
      <c r="A2004" t="s">
        <v>1483</v>
      </c>
      <c r="B2004" t="s">
        <v>3205</v>
      </c>
      <c r="C2004" t="s">
        <v>3206</v>
      </c>
      <c r="D2004" t="s">
        <v>4238</v>
      </c>
      <c r="E2004" s="1">
        <v>126.32399700000001</v>
      </c>
      <c r="F2004" s="1">
        <v>126.480003</v>
      </c>
      <c r="K2004" s="39">
        <f>DefaultValues!$B$4</f>
        <v>5</v>
      </c>
      <c r="L2004" s="1">
        <f>DefaultValues!$C$4</f>
        <v>0.5</v>
      </c>
      <c r="M2004" s="1" t="str">
        <f>DefaultValues!$D$4</f>
        <v xml:space="preserve">- Within interchange - </v>
      </c>
      <c r="N2004" s="1">
        <v>126.32399700000001</v>
      </c>
      <c r="O2004" s="1">
        <f>ABS(Table4[[#This Row],[EndMP]]-Table4[[#This Row],[StartMP]])</f>
        <v>0.15600599999999076</v>
      </c>
      <c r="P2004" s="1" t="str">
        <f>IF( AND( Table4[[#This Row],[Route]]=ClosureLocation!$B$3, ClosureLocation!$B$6 &gt;= Table4[[#This Row],[StartMP]], ClosureLocation!$B$6 &lt;= Table4[[#This Row],[EndMP]]), "Yes", "")</f>
        <v/>
      </c>
      <c r="Q2004" s="1" t="str">
        <f>IF( AND( Table4[[#This Row],[Route]]=ClosureLocation!$B$3, ClosureLocation!$B$6 &lt;= Table4[[#This Row],[StartMP]], ClosureLocation!$B$6 &gt;= Table4[[#This Row],[EndMP]]), "Yes", "")</f>
        <v/>
      </c>
      <c r="R2004" s="1" t="str">
        <f>IF( OR( Table4[[#This Row],[PrimaryMatch]]="Yes", Table4[[#This Row],[SecondaryMatch]]="Yes"), "Yes", "")</f>
        <v/>
      </c>
    </row>
    <row r="2005" spans="1:18" hidden="1" x14ac:dyDescent="0.25">
      <c r="A2005" t="s">
        <v>1483</v>
      </c>
      <c r="B2005" t="s">
        <v>3209</v>
      </c>
      <c r="C2005" t="s">
        <v>3210</v>
      </c>
      <c r="D2005" t="s">
        <v>4242</v>
      </c>
      <c r="E2005" s="1">
        <v>126.480003</v>
      </c>
      <c r="F2005" s="1">
        <v>126.32399700000001</v>
      </c>
      <c r="K2005" s="39">
        <f>DefaultValues!$B$4</f>
        <v>5</v>
      </c>
      <c r="L2005" s="1">
        <f>DefaultValues!$C$4</f>
        <v>0.5</v>
      </c>
      <c r="M2005" s="1" t="str">
        <f>DefaultValues!$D$4</f>
        <v xml:space="preserve">- Within interchange - </v>
      </c>
      <c r="N2005" s="1">
        <v>873.52002000000005</v>
      </c>
      <c r="O2005" s="1">
        <f>ABS(Table4[[#This Row],[EndMP]]-Table4[[#This Row],[StartMP]])</f>
        <v>0.15600599999999076</v>
      </c>
      <c r="P2005" s="1" t="str">
        <f>IF( AND( Table4[[#This Row],[Route]]=ClosureLocation!$B$3, ClosureLocation!$B$6 &gt;= Table4[[#This Row],[StartMP]], ClosureLocation!$B$6 &lt;= Table4[[#This Row],[EndMP]]), "Yes", "")</f>
        <v/>
      </c>
      <c r="Q2005" s="1" t="str">
        <f>IF( AND( Table4[[#This Row],[Route]]=ClosureLocation!$B$3, ClosureLocation!$B$6 &lt;= Table4[[#This Row],[StartMP]], ClosureLocation!$B$6 &gt;= Table4[[#This Row],[EndMP]]), "Yes", "")</f>
        <v/>
      </c>
      <c r="R2005" s="1" t="str">
        <f>IF( OR( Table4[[#This Row],[PrimaryMatch]]="Yes", Table4[[#This Row],[SecondaryMatch]]="Yes"), "Yes", "")</f>
        <v/>
      </c>
    </row>
    <row r="2006" spans="1:18" hidden="1" x14ac:dyDescent="0.25">
      <c r="A2006" t="s">
        <v>1489</v>
      </c>
      <c r="B2006" t="s">
        <v>3209</v>
      </c>
      <c r="C2006" t="s">
        <v>3210</v>
      </c>
      <c r="D2006" t="s">
        <v>4249</v>
      </c>
      <c r="E2006" s="1">
        <v>148.06500199999999</v>
      </c>
      <c r="F2006" s="1">
        <v>148</v>
      </c>
      <c r="K2006" s="39">
        <f>DefaultValues!$B$4</f>
        <v>5</v>
      </c>
      <c r="L2006" s="1">
        <f>DefaultValues!$C$4</f>
        <v>0.5</v>
      </c>
      <c r="M2006" s="1" t="str">
        <f>DefaultValues!$D$4</f>
        <v xml:space="preserve">- Within interchange - </v>
      </c>
      <c r="N2006" s="1">
        <v>851.93499799999995</v>
      </c>
      <c r="O2006" s="1">
        <f>ABS(Table4[[#This Row],[EndMP]]-Table4[[#This Row],[StartMP]])</f>
        <v>6.5001999999992677E-2</v>
      </c>
      <c r="P2006" s="1" t="str">
        <f>IF( AND( Table4[[#This Row],[Route]]=ClosureLocation!$B$3, ClosureLocation!$B$6 &gt;= Table4[[#This Row],[StartMP]], ClosureLocation!$B$6 &lt;= Table4[[#This Row],[EndMP]]), "Yes", "")</f>
        <v/>
      </c>
      <c r="Q2006" s="1" t="str">
        <f>IF( AND( Table4[[#This Row],[Route]]=ClosureLocation!$B$3, ClosureLocation!$B$6 &lt;= Table4[[#This Row],[StartMP]], ClosureLocation!$B$6 &gt;= Table4[[#This Row],[EndMP]]), "Yes", "")</f>
        <v/>
      </c>
      <c r="R2006" s="1" t="str">
        <f>IF( OR( Table4[[#This Row],[PrimaryMatch]]="Yes", Table4[[#This Row],[SecondaryMatch]]="Yes"), "Yes", "")</f>
        <v/>
      </c>
    </row>
    <row r="2007" spans="1:18" hidden="1" x14ac:dyDescent="0.25">
      <c r="A2007" t="s">
        <v>1493</v>
      </c>
      <c r="B2007" t="s">
        <v>3205</v>
      </c>
      <c r="C2007" t="s">
        <v>3206</v>
      </c>
      <c r="D2007" t="s">
        <v>4252</v>
      </c>
      <c r="E2007" s="1">
        <v>161.78900100000001</v>
      </c>
      <c r="F2007" s="1">
        <v>161.82899499999999</v>
      </c>
      <c r="K2007" s="39">
        <f>DefaultValues!$B$4</f>
        <v>5</v>
      </c>
      <c r="L2007" s="1">
        <f>DefaultValues!$C$4</f>
        <v>0.5</v>
      </c>
      <c r="M2007" s="1" t="str">
        <f>DefaultValues!$D$4</f>
        <v xml:space="preserve">- Within interchange - </v>
      </c>
      <c r="N2007" s="1">
        <v>161.78900100000001</v>
      </c>
      <c r="O2007" s="1">
        <f>ABS(Table4[[#This Row],[EndMP]]-Table4[[#This Row],[StartMP]])</f>
        <v>3.9993999999978769E-2</v>
      </c>
      <c r="P2007" s="1" t="str">
        <f>IF( AND( Table4[[#This Row],[Route]]=ClosureLocation!$B$3, ClosureLocation!$B$6 &gt;= Table4[[#This Row],[StartMP]], ClosureLocation!$B$6 &lt;= Table4[[#This Row],[EndMP]]), "Yes", "")</f>
        <v/>
      </c>
      <c r="Q2007" s="1" t="str">
        <f>IF( AND( Table4[[#This Row],[Route]]=ClosureLocation!$B$3, ClosureLocation!$B$6 &lt;= Table4[[#This Row],[StartMP]], ClosureLocation!$B$6 &gt;= Table4[[#This Row],[EndMP]]), "Yes", "")</f>
        <v/>
      </c>
      <c r="R2007" s="1" t="str">
        <f>IF( OR( Table4[[#This Row],[PrimaryMatch]]="Yes", Table4[[#This Row],[SecondaryMatch]]="Yes"), "Yes", "")</f>
        <v/>
      </c>
    </row>
    <row r="2008" spans="1:18" hidden="1" x14ac:dyDescent="0.25">
      <c r="A2008" t="s">
        <v>1493</v>
      </c>
      <c r="B2008" t="s">
        <v>3205</v>
      </c>
      <c r="C2008" t="s">
        <v>3206</v>
      </c>
      <c r="D2008" t="s">
        <v>4252</v>
      </c>
      <c r="E2008" s="1">
        <v>224.44399999999999</v>
      </c>
      <c r="F2008" s="1">
        <v>224.537003</v>
      </c>
      <c r="K2008" s="39">
        <f>DefaultValues!$B$4</f>
        <v>5</v>
      </c>
      <c r="L2008" s="1">
        <f>DefaultValues!$C$4</f>
        <v>0.5</v>
      </c>
      <c r="M2008" s="1" t="str">
        <f>DefaultValues!$D$4</f>
        <v xml:space="preserve">- Within interchange - </v>
      </c>
      <c r="N2008" s="1">
        <v>224.44399999999999</v>
      </c>
      <c r="O2008" s="1">
        <f>ABS(Table4[[#This Row],[EndMP]]-Table4[[#This Row],[StartMP]])</f>
        <v>9.3003000000010161E-2</v>
      </c>
      <c r="P2008" s="1" t="str">
        <f>IF( AND( Table4[[#This Row],[Route]]=ClosureLocation!$B$3, ClosureLocation!$B$6 &gt;= Table4[[#This Row],[StartMP]], ClosureLocation!$B$6 &lt;= Table4[[#This Row],[EndMP]]), "Yes", "")</f>
        <v/>
      </c>
      <c r="Q2008" s="1" t="str">
        <f>IF( AND( Table4[[#This Row],[Route]]=ClosureLocation!$B$3, ClosureLocation!$B$6 &lt;= Table4[[#This Row],[StartMP]], ClosureLocation!$B$6 &gt;= Table4[[#This Row],[EndMP]]), "Yes", "")</f>
        <v/>
      </c>
      <c r="R2008" s="1" t="str">
        <f>IF( OR( Table4[[#This Row],[PrimaryMatch]]="Yes", Table4[[#This Row],[SecondaryMatch]]="Yes"), "Yes", "")</f>
        <v/>
      </c>
    </row>
    <row r="2009" spans="1:18" hidden="1" x14ac:dyDescent="0.25">
      <c r="A2009" t="s">
        <v>1493</v>
      </c>
      <c r="B2009" t="s">
        <v>3205</v>
      </c>
      <c r="C2009" t="s">
        <v>3206</v>
      </c>
      <c r="D2009" t="s">
        <v>4252</v>
      </c>
      <c r="E2009" s="1">
        <v>236.658997</v>
      </c>
      <c r="F2009" s="1">
        <v>236.74099699999999</v>
      </c>
      <c r="K2009" s="39">
        <f>DefaultValues!$B$4</f>
        <v>5</v>
      </c>
      <c r="L2009" s="1">
        <f>DefaultValues!$C$4</f>
        <v>0.5</v>
      </c>
      <c r="M2009" s="1" t="str">
        <f>DefaultValues!$D$4</f>
        <v xml:space="preserve">- Within interchange - </v>
      </c>
      <c r="N2009" s="1">
        <v>236.658997</v>
      </c>
      <c r="O2009" s="1">
        <f>ABS(Table4[[#This Row],[EndMP]]-Table4[[#This Row],[StartMP]])</f>
        <v>8.1999999999993634E-2</v>
      </c>
      <c r="P2009" s="1" t="str">
        <f>IF( AND( Table4[[#This Row],[Route]]=ClosureLocation!$B$3, ClosureLocation!$B$6 &gt;= Table4[[#This Row],[StartMP]], ClosureLocation!$B$6 &lt;= Table4[[#This Row],[EndMP]]), "Yes", "")</f>
        <v/>
      </c>
      <c r="Q2009" s="1" t="str">
        <f>IF( AND( Table4[[#This Row],[Route]]=ClosureLocation!$B$3, ClosureLocation!$B$6 &lt;= Table4[[#This Row],[StartMP]], ClosureLocation!$B$6 &gt;= Table4[[#This Row],[EndMP]]), "Yes", "")</f>
        <v/>
      </c>
      <c r="R2009" s="1" t="str">
        <f>IF( OR( Table4[[#This Row],[PrimaryMatch]]="Yes", Table4[[#This Row],[SecondaryMatch]]="Yes"), "Yes", "")</f>
        <v/>
      </c>
    </row>
    <row r="2010" spans="1:18" hidden="1" x14ac:dyDescent="0.25">
      <c r="A2010" t="s">
        <v>1493</v>
      </c>
      <c r="B2010" t="s">
        <v>3205</v>
      </c>
      <c r="C2010" t="s">
        <v>3206</v>
      </c>
      <c r="D2010" t="s">
        <v>4252</v>
      </c>
      <c r="E2010" s="1">
        <v>248.32299800000001</v>
      </c>
      <c r="F2010" s="1">
        <v>248.442993</v>
      </c>
      <c r="K2010" s="39">
        <f>DefaultValues!$B$4</f>
        <v>5</v>
      </c>
      <c r="L2010" s="1">
        <f>DefaultValues!$C$4</f>
        <v>0.5</v>
      </c>
      <c r="M2010" s="1" t="str">
        <f>DefaultValues!$D$4</f>
        <v xml:space="preserve">- Within interchange - </v>
      </c>
      <c r="N2010" s="1">
        <v>248.32299800000001</v>
      </c>
      <c r="O2010" s="1">
        <f>ABS(Table4[[#This Row],[EndMP]]-Table4[[#This Row],[StartMP]])</f>
        <v>0.11999499999998875</v>
      </c>
      <c r="P2010" s="1" t="str">
        <f>IF( AND( Table4[[#This Row],[Route]]=ClosureLocation!$B$3, ClosureLocation!$B$6 &gt;= Table4[[#This Row],[StartMP]], ClosureLocation!$B$6 &lt;= Table4[[#This Row],[EndMP]]), "Yes", "")</f>
        <v/>
      </c>
      <c r="Q2010" s="1" t="str">
        <f>IF( AND( Table4[[#This Row],[Route]]=ClosureLocation!$B$3, ClosureLocation!$B$6 &lt;= Table4[[#This Row],[StartMP]], ClosureLocation!$B$6 &gt;= Table4[[#This Row],[EndMP]]), "Yes", "")</f>
        <v/>
      </c>
      <c r="R2010" s="1" t="str">
        <f>IF( OR( Table4[[#This Row],[PrimaryMatch]]="Yes", Table4[[#This Row],[SecondaryMatch]]="Yes"), "Yes", "")</f>
        <v/>
      </c>
    </row>
    <row r="2011" spans="1:18" hidden="1" x14ac:dyDescent="0.25">
      <c r="A2011" t="s">
        <v>1493</v>
      </c>
      <c r="B2011" t="s">
        <v>3205</v>
      </c>
      <c r="C2011" t="s">
        <v>3206</v>
      </c>
      <c r="D2011" t="s">
        <v>4252</v>
      </c>
      <c r="E2011" s="1">
        <v>249.58000200000001</v>
      </c>
      <c r="F2011" s="1">
        <v>250.43899500000001</v>
      </c>
      <c r="K2011" s="39">
        <f>DefaultValues!$B$4</f>
        <v>5</v>
      </c>
      <c r="L2011" s="1">
        <f>DefaultValues!$C$4</f>
        <v>0.5</v>
      </c>
      <c r="M2011" s="1" t="str">
        <f>DefaultValues!$D$4</f>
        <v xml:space="preserve">- Within interchange - </v>
      </c>
      <c r="N2011" s="1">
        <v>249.58000200000001</v>
      </c>
      <c r="O2011" s="1">
        <f>ABS(Table4[[#This Row],[EndMP]]-Table4[[#This Row],[StartMP]])</f>
        <v>0.85899299999999812</v>
      </c>
      <c r="P2011" s="1" t="str">
        <f>IF( AND( Table4[[#This Row],[Route]]=ClosureLocation!$B$3, ClosureLocation!$B$6 &gt;= Table4[[#This Row],[StartMP]], ClosureLocation!$B$6 &lt;= Table4[[#This Row],[EndMP]]), "Yes", "")</f>
        <v/>
      </c>
      <c r="Q2011" s="1" t="str">
        <f>IF( AND( Table4[[#This Row],[Route]]=ClosureLocation!$B$3, ClosureLocation!$B$6 &lt;= Table4[[#This Row],[StartMP]], ClosureLocation!$B$6 &gt;= Table4[[#This Row],[EndMP]]), "Yes", "")</f>
        <v/>
      </c>
      <c r="R2011" s="1" t="str">
        <f>IF( OR( Table4[[#This Row],[PrimaryMatch]]="Yes", Table4[[#This Row],[SecondaryMatch]]="Yes"), "Yes", "")</f>
        <v/>
      </c>
    </row>
    <row r="2012" spans="1:18" hidden="1" x14ac:dyDescent="0.25">
      <c r="A2012" t="s">
        <v>1493</v>
      </c>
      <c r="B2012" t="s">
        <v>3205</v>
      </c>
      <c r="C2012" t="s">
        <v>3206</v>
      </c>
      <c r="D2012" t="s">
        <v>4252</v>
      </c>
      <c r="E2012" s="1">
        <v>251.91499300000001</v>
      </c>
      <c r="F2012" s="1">
        <v>252.229996</v>
      </c>
      <c r="K2012" s="39">
        <f>DefaultValues!$B$4</f>
        <v>5</v>
      </c>
      <c r="L2012" s="1">
        <f>DefaultValues!$C$4</f>
        <v>0.5</v>
      </c>
      <c r="M2012" s="1" t="str">
        <f>DefaultValues!$D$4</f>
        <v xml:space="preserve">- Within interchange - </v>
      </c>
      <c r="N2012" s="1">
        <v>251.91499300000001</v>
      </c>
      <c r="O2012" s="1">
        <f>ABS(Table4[[#This Row],[EndMP]]-Table4[[#This Row],[StartMP]])</f>
        <v>0.31500299999999015</v>
      </c>
      <c r="P2012" s="1" t="str">
        <f>IF( AND( Table4[[#This Row],[Route]]=ClosureLocation!$B$3, ClosureLocation!$B$6 &gt;= Table4[[#This Row],[StartMP]], ClosureLocation!$B$6 &lt;= Table4[[#This Row],[EndMP]]), "Yes", "")</f>
        <v/>
      </c>
      <c r="Q2012" s="1" t="str">
        <f>IF( AND( Table4[[#This Row],[Route]]=ClosureLocation!$B$3, ClosureLocation!$B$6 &lt;= Table4[[#This Row],[StartMP]], ClosureLocation!$B$6 &gt;= Table4[[#This Row],[EndMP]]), "Yes", "")</f>
        <v/>
      </c>
      <c r="R2012" s="1" t="str">
        <f>IF( OR( Table4[[#This Row],[PrimaryMatch]]="Yes", Table4[[#This Row],[SecondaryMatch]]="Yes"), "Yes", "")</f>
        <v/>
      </c>
    </row>
    <row r="2013" spans="1:18" hidden="1" x14ac:dyDescent="0.25">
      <c r="A2013" t="s">
        <v>1493</v>
      </c>
      <c r="B2013" t="s">
        <v>3205</v>
      </c>
      <c r="C2013" t="s">
        <v>3206</v>
      </c>
      <c r="D2013" t="s">
        <v>4252</v>
      </c>
      <c r="E2013" s="1">
        <v>253.29499799999999</v>
      </c>
      <c r="F2013" s="1">
        <v>253.779999</v>
      </c>
      <c r="K2013" s="39">
        <f>DefaultValues!$B$4</f>
        <v>5</v>
      </c>
      <c r="L2013" s="1">
        <f>DefaultValues!$C$4</f>
        <v>0.5</v>
      </c>
      <c r="M2013" s="1" t="str">
        <f>DefaultValues!$D$4</f>
        <v xml:space="preserve">- Within interchange - </v>
      </c>
      <c r="N2013" s="1">
        <v>253.29499799999999</v>
      </c>
      <c r="O2013" s="1">
        <f>ABS(Table4[[#This Row],[EndMP]]-Table4[[#This Row],[StartMP]])</f>
        <v>0.48500100000001112</v>
      </c>
      <c r="P2013" s="1" t="str">
        <f>IF( AND( Table4[[#This Row],[Route]]=ClosureLocation!$B$3, ClosureLocation!$B$6 &gt;= Table4[[#This Row],[StartMP]], ClosureLocation!$B$6 &lt;= Table4[[#This Row],[EndMP]]), "Yes", "")</f>
        <v/>
      </c>
      <c r="Q2013" s="1" t="str">
        <f>IF( AND( Table4[[#This Row],[Route]]=ClosureLocation!$B$3, ClosureLocation!$B$6 &lt;= Table4[[#This Row],[StartMP]], ClosureLocation!$B$6 &gt;= Table4[[#This Row],[EndMP]]), "Yes", "")</f>
        <v/>
      </c>
      <c r="R2013" s="1" t="str">
        <f>IF( OR( Table4[[#This Row],[PrimaryMatch]]="Yes", Table4[[#This Row],[SecondaryMatch]]="Yes"), "Yes", "")</f>
        <v/>
      </c>
    </row>
    <row r="2014" spans="1:18" hidden="1" x14ac:dyDescent="0.25">
      <c r="A2014" t="s">
        <v>1493</v>
      </c>
      <c r="B2014" t="s">
        <v>3205</v>
      </c>
      <c r="C2014" t="s">
        <v>3206</v>
      </c>
      <c r="D2014" t="s">
        <v>4252</v>
      </c>
      <c r="E2014" s="1">
        <v>254.81199599999999</v>
      </c>
      <c r="F2014" s="1">
        <v>255.246994</v>
      </c>
      <c r="K2014" s="39">
        <f>DefaultValues!$B$4</f>
        <v>5</v>
      </c>
      <c r="L2014" s="1">
        <f>DefaultValues!$C$4</f>
        <v>0.5</v>
      </c>
      <c r="M2014" s="1" t="str">
        <f>DefaultValues!$D$4</f>
        <v xml:space="preserve">- Within interchange - </v>
      </c>
      <c r="N2014" s="1">
        <v>254.81199599999999</v>
      </c>
      <c r="O2014" s="1">
        <f>ABS(Table4[[#This Row],[EndMP]]-Table4[[#This Row],[StartMP]])</f>
        <v>0.43499800000000732</v>
      </c>
      <c r="P2014" s="1" t="str">
        <f>IF( AND( Table4[[#This Row],[Route]]=ClosureLocation!$B$3, ClosureLocation!$B$6 &gt;= Table4[[#This Row],[StartMP]], ClosureLocation!$B$6 &lt;= Table4[[#This Row],[EndMP]]), "Yes", "")</f>
        <v/>
      </c>
      <c r="Q2014" s="1" t="str">
        <f>IF( AND( Table4[[#This Row],[Route]]=ClosureLocation!$B$3, ClosureLocation!$B$6 &lt;= Table4[[#This Row],[StartMP]], ClosureLocation!$B$6 &gt;= Table4[[#This Row],[EndMP]]), "Yes", "")</f>
        <v/>
      </c>
      <c r="R2014" s="1" t="str">
        <f>IF( OR( Table4[[#This Row],[PrimaryMatch]]="Yes", Table4[[#This Row],[SecondaryMatch]]="Yes"), "Yes", "")</f>
        <v/>
      </c>
    </row>
    <row r="2015" spans="1:18" hidden="1" x14ac:dyDescent="0.25">
      <c r="A2015" t="s">
        <v>1493</v>
      </c>
      <c r="B2015" t="s">
        <v>3205</v>
      </c>
      <c r="C2015" t="s">
        <v>3206</v>
      </c>
      <c r="D2015" t="s">
        <v>4252</v>
      </c>
      <c r="E2015" s="1">
        <v>256.54699699999998</v>
      </c>
      <c r="F2015" s="1">
        <v>256.64599600000003</v>
      </c>
      <c r="K2015" s="39">
        <f>DefaultValues!$B$4</f>
        <v>5</v>
      </c>
      <c r="L2015" s="1">
        <f>DefaultValues!$C$4</f>
        <v>0.5</v>
      </c>
      <c r="M2015" s="1" t="str">
        <f>DefaultValues!$D$4</f>
        <v xml:space="preserve">- Within interchange - </v>
      </c>
      <c r="N2015" s="1">
        <v>256.54699699999998</v>
      </c>
      <c r="O2015" s="1">
        <f>ABS(Table4[[#This Row],[EndMP]]-Table4[[#This Row],[StartMP]])</f>
        <v>9.8999000000048909E-2</v>
      </c>
      <c r="P2015" s="1" t="str">
        <f>IF( AND( Table4[[#This Row],[Route]]=ClosureLocation!$B$3, ClosureLocation!$B$6 &gt;= Table4[[#This Row],[StartMP]], ClosureLocation!$B$6 &lt;= Table4[[#This Row],[EndMP]]), "Yes", "")</f>
        <v/>
      </c>
      <c r="Q2015" s="1" t="str">
        <f>IF( AND( Table4[[#This Row],[Route]]=ClosureLocation!$B$3, ClosureLocation!$B$6 &lt;= Table4[[#This Row],[StartMP]], ClosureLocation!$B$6 &gt;= Table4[[#This Row],[EndMP]]), "Yes", "")</f>
        <v/>
      </c>
      <c r="R2015" s="1" t="str">
        <f>IF( OR( Table4[[#This Row],[PrimaryMatch]]="Yes", Table4[[#This Row],[SecondaryMatch]]="Yes"), "Yes", "")</f>
        <v/>
      </c>
    </row>
    <row r="2016" spans="1:18" hidden="1" x14ac:dyDescent="0.25">
      <c r="A2016" t="s">
        <v>1493</v>
      </c>
      <c r="B2016" t="s">
        <v>3205</v>
      </c>
      <c r="C2016" t="s">
        <v>3206</v>
      </c>
      <c r="D2016" t="s">
        <v>4252</v>
      </c>
      <c r="E2016" s="1">
        <v>257.66101099999997</v>
      </c>
      <c r="F2016" s="1">
        <v>257.72100799999998</v>
      </c>
      <c r="K2016" s="39">
        <f>DefaultValues!$B$4</f>
        <v>5</v>
      </c>
      <c r="L2016" s="1">
        <f>DefaultValues!$C$4</f>
        <v>0.5</v>
      </c>
      <c r="M2016" s="1" t="str">
        <f>DefaultValues!$D$4</f>
        <v xml:space="preserve">- Within interchange - </v>
      </c>
      <c r="N2016" s="1">
        <v>257.66101099999997</v>
      </c>
      <c r="O2016" s="1">
        <f>ABS(Table4[[#This Row],[EndMP]]-Table4[[#This Row],[StartMP]])</f>
        <v>5.9997000000009848E-2</v>
      </c>
      <c r="P2016" s="1" t="str">
        <f>IF( AND( Table4[[#This Row],[Route]]=ClosureLocation!$B$3, ClosureLocation!$B$6 &gt;= Table4[[#This Row],[StartMP]], ClosureLocation!$B$6 &lt;= Table4[[#This Row],[EndMP]]), "Yes", "")</f>
        <v/>
      </c>
      <c r="Q2016" s="1" t="str">
        <f>IF( AND( Table4[[#This Row],[Route]]=ClosureLocation!$B$3, ClosureLocation!$B$6 &lt;= Table4[[#This Row],[StartMP]], ClosureLocation!$B$6 &gt;= Table4[[#This Row],[EndMP]]), "Yes", "")</f>
        <v/>
      </c>
      <c r="R2016" s="1" t="str">
        <f>IF( OR( Table4[[#This Row],[PrimaryMatch]]="Yes", Table4[[#This Row],[SecondaryMatch]]="Yes"), "Yes", "")</f>
        <v/>
      </c>
    </row>
    <row r="2017" spans="1:18" hidden="1" x14ac:dyDescent="0.25">
      <c r="A2017" t="s">
        <v>1493</v>
      </c>
      <c r="B2017" t="s">
        <v>3205</v>
      </c>
      <c r="C2017" t="s">
        <v>3206</v>
      </c>
      <c r="D2017" t="s">
        <v>4252</v>
      </c>
      <c r="E2017" s="1">
        <v>257.942993</v>
      </c>
      <c r="F2017" s="1">
        <v>258.25201399999997</v>
      </c>
      <c r="K2017" s="39">
        <f>DefaultValues!$B$4</f>
        <v>5</v>
      </c>
      <c r="L2017" s="1">
        <f>DefaultValues!$C$4</f>
        <v>0.5</v>
      </c>
      <c r="M2017" s="1" t="str">
        <f>DefaultValues!$D$4</f>
        <v xml:space="preserve">- Within interchange - </v>
      </c>
      <c r="N2017" s="1">
        <v>257.942993</v>
      </c>
      <c r="O2017" s="1">
        <f>ABS(Table4[[#This Row],[EndMP]]-Table4[[#This Row],[StartMP]])</f>
        <v>0.3090209999999729</v>
      </c>
      <c r="P2017" s="1" t="str">
        <f>IF( AND( Table4[[#This Row],[Route]]=ClosureLocation!$B$3, ClosureLocation!$B$6 &gt;= Table4[[#This Row],[StartMP]], ClosureLocation!$B$6 &lt;= Table4[[#This Row],[EndMP]]), "Yes", "")</f>
        <v/>
      </c>
      <c r="Q2017" s="1" t="str">
        <f>IF( AND( Table4[[#This Row],[Route]]=ClosureLocation!$B$3, ClosureLocation!$B$6 &lt;= Table4[[#This Row],[StartMP]], ClosureLocation!$B$6 &gt;= Table4[[#This Row],[EndMP]]), "Yes", "")</f>
        <v/>
      </c>
      <c r="R2017" s="1" t="str">
        <f>IF( OR( Table4[[#This Row],[PrimaryMatch]]="Yes", Table4[[#This Row],[SecondaryMatch]]="Yes"), "Yes", "")</f>
        <v/>
      </c>
    </row>
    <row r="2018" spans="1:18" hidden="1" x14ac:dyDescent="0.25">
      <c r="A2018" t="s">
        <v>1493</v>
      </c>
      <c r="B2018" t="s">
        <v>3205</v>
      </c>
      <c r="C2018" t="s">
        <v>3206</v>
      </c>
      <c r="D2018" t="s">
        <v>4252</v>
      </c>
      <c r="E2018" s="1">
        <v>259.20700099999999</v>
      </c>
      <c r="F2018" s="1">
        <v>259.39300500000002</v>
      </c>
      <c r="K2018" s="39">
        <f>DefaultValues!$B$4</f>
        <v>5</v>
      </c>
      <c r="L2018" s="1">
        <f>DefaultValues!$C$4</f>
        <v>0.5</v>
      </c>
      <c r="M2018" s="1" t="str">
        <f>DefaultValues!$D$4</f>
        <v xml:space="preserve">- Within interchange - </v>
      </c>
      <c r="N2018" s="1">
        <v>259.20700099999999</v>
      </c>
      <c r="O2018" s="1">
        <f>ABS(Table4[[#This Row],[EndMP]]-Table4[[#This Row],[StartMP]])</f>
        <v>0.18600400000002537</v>
      </c>
      <c r="P2018" s="1" t="str">
        <f>IF( AND( Table4[[#This Row],[Route]]=ClosureLocation!$B$3, ClosureLocation!$B$6 &gt;= Table4[[#This Row],[StartMP]], ClosureLocation!$B$6 &lt;= Table4[[#This Row],[EndMP]]), "Yes", "")</f>
        <v/>
      </c>
      <c r="Q2018" s="1" t="str">
        <f>IF( AND( Table4[[#This Row],[Route]]=ClosureLocation!$B$3, ClosureLocation!$B$6 &lt;= Table4[[#This Row],[StartMP]], ClosureLocation!$B$6 &gt;= Table4[[#This Row],[EndMP]]), "Yes", "")</f>
        <v/>
      </c>
      <c r="R2018" s="1" t="str">
        <f>IF( OR( Table4[[#This Row],[PrimaryMatch]]="Yes", Table4[[#This Row],[SecondaryMatch]]="Yes"), "Yes", "")</f>
        <v/>
      </c>
    </row>
    <row r="2019" spans="1:18" hidden="1" x14ac:dyDescent="0.25">
      <c r="A2019" t="s">
        <v>1493</v>
      </c>
      <c r="B2019" t="s">
        <v>3205</v>
      </c>
      <c r="C2019" t="s">
        <v>3206</v>
      </c>
      <c r="D2019" t="s">
        <v>4252</v>
      </c>
      <c r="E2019" s="1">
        <v>260.050995</v>
      </c>
      <c r="F2019" s="1">
        <v>260.28698700000001</v>
      </c>
      <c r="K2019" s="39">
        <f>DefaultValues!$B$4</f>
        <v>5</v>
      </c>
      <c r="L2019" s="1">
        <f>DefaultValues!$C$4</f>
        <v>0.5</v>
      </c>
      <c r="M2019" s="1" t="str">
        <f>DefaultValues!$D$4</f>
        <v xml:space="preserve">- Within interchange - </v>
      </c>
      <c r="N2019" s="1">
        <v>260.050995</v>
      </c>
      <c r="O2019" s="1">
        <f>ABS(Table4[[#This Row],[EndMP]]-Table4[[#This Row],[StartMP]])</f>
        <v>0.23599200000001019</v>
      </c>
      <c r="P2019" s="1" t="str">
        <f>IF( AND( Table4[[#This Row],[Route]]=ClosureLocation!$B$3, ClosureLocation!$B$6 &gt;= Table4[[#This Row],[StartMP]], ClosureLocation!$B$6 &lt;= Table4[[#This Row],[EndMP]]), "Yes", "")</f>
        <v/>
      </c>
      <c r="Q2019" s="1" t="str">
        <f>IF( AND( Table4[[#This Row],[Route]]=ClosureLocation!$B$3, ClosureLocation!$B$6 &lt;= Table4[[#This Row],[StartMP]], ClosureLocation!$B$6 &gt;= Table4[[#This Row],[EndMP]]), "Yes", "")</f>
        <v/>
      </c>
      <c r="R2019" s="1" t="str">
        <f>IF( OR( Table4[[#This Row],[PrimaryMatch]]="Yes", Table4[[#This Row],[SecondaryMatch]]="Yes"), "Yes", "")</f>
        <v/>
      </c>
    </row>
    <row r="2020" spans="1:18" hidden="1" x14ac:dyDescent="0.25">
      <c r="A2020" t="s">
        <v>1493</v>
      </c>
      <c r="B2020" t="s">
        <v>3205</v>
      </c>
      <c r="C2020" t="s">
        <v>3206</v>
      </c>
      <c r="D2020" t="s">
        <v>4252</v>
      </c>
      <c r="E2020" s="1">
        <v>263.81698599999999</v>
      </c>
      <c r="F2020" s="1">
        <v>263.94699100000003</v>
      </c>
      <c r="K2020" s="39">
        <f>DefaultValues!$B$4</f>
        <v>5</v>
      </c>
      <c r="L2020" s="1">
        <f>DefaultValues!$C$4</f>
        <v>0.5</v>
      </c>
      <c r="M2020" s="1" t="str">
        <f>DefaultValues!$D$4</f>
        <v xml:space="preserve">- Within interchange - </v>
      </c>
      <c r="N2020" s="1">
        <v>263.81698599999999</v>
      </c>
      <c r="O2020" s="1">
        <f>ABS(Table4[[#This Row],[EndMP]]-Table4[[#This Row],[StartMP]])</f>
        <v>0.13000500000003967</v>
      </c>
      <c r="P2020" s="1" t="str">
        <f>IF( AND( Table4[[#This Row],[Route]]=ClosureLocation!$B$3, ClosureLocation!$B$6 &gt;= Table4[[#This Row],[StartMP]], ClosureLocation!$B$6 &lt;= Table4[[#This Row],[EndMP]]), "Yes", "")</f>
        <v/>
      </c>
      <c r="Q2020" s="1" t="str">
        <f>IF( AND( Table4[[#This Row],[Route]]=ClosureLocation!$B$3, ClosureLocation!$B$6 &lt;= Table4[[#This Row],[StartMP]], ClosureLocation!$B$6 &gt;= Table4[[#This Row],[EndMP]]), "Yes", "")</f>
        <v/>
      </c>
      <c r="R2020" s="1" t="str">
        <f>IF( OR( Table4[[#This Row],[PrimaryMatch]]="Yes", Table4[[#This Row],[SecondaryMatch]]="Yes"), "Yes", "")</f>
        <v/>
      </c>
    </row>
    <row r="2021" spans="1:18" hidden="1" x14ac:dyDescent="0.25">
      <c r="A2021" t="s">
        <v>1493</v>
      </c>
      <c r="B2021" t="s">
        <v>3209</v>
      </c>
      <c r="C2021" t="s">
        <v>3210</v>
      </c>
      <c r="D2021" t="s">
        <v>4262</v>
      </c>
      <c r="E2021" s="1">
        <v>263.94699100000003</v>
      </c>
      <c r="F2021" s="1">
        <v>263.81698599999999</v>
      </c>
      <c r="K2021" s="39">
        <f>DefaultValues!$B$4</f>
        <v>5</v>
      </c>
      <c r="L2021" s="1">
        <f>DefaultValues!$C$4</f>
        <v>0.5</v>
      </c>
      <c r="M2021" s="1" t="str">
        <f>DefaultValues!$D$4</f>
        <v xml:space="preserve">- Within interchange - </v>
      </c>
      <c r="N2021" s="1">
        <v>736.05297900000005</v>
      </c>
      <c r="O2021" s="1">
        <f>ABS(Table4[[#This Row],[EndMP]]-Table4[[#This Row],[StartMP]])</f>
        <v>0.13000500000003967</v>
      </c>
      <c r="P2021" s="1" t="str">
        <f>IF( AND( Table4[[#This Row],[Route]]=ClosureLocation!$B$3, ClosureLocation!$B$6 &gt;= Table4[[#This Row],[StartMP]], ClosureLocation!$B$6 &lt;= Table4[[#This Row],[EndMP]]), "Yes", "")</f>
        <v/>
      </c>
      <c r="Q2021" s="1" t="str">
        <f>IF( AND( Table4[[#This Row],[Route]]=ClosureLocation!$B$3, ClosureLocation!$B$6 &lt;= Table4[[#This Row],[StartMP]], ClosureLocation!$B$6 &gt;= Table4[[#This Row],[EndMP]]), "Yes", "")</f>
        <v/>
      </c>
      <c r="R2021" s="1" t="str">
        <f>IF( OR( Table4[[#This Row],[PrimaryMatch]]="Yes", Table4[[#This Row],[SecondaryMatch]]="Yes"), "Yes", "")</f>
        <v/>
      </c>
    </row>
    <row r="2022" spans="1:18" hidden="1" x14ac:dyDescent="0.25">
      <c r="A2022" t="s">
        <v>1493</v>
      </c>
      <c r="B2022" t="s">
        <v>3209</v>
      </c>
      <c r="C2022" t="s">
        <v>3210</v>
      </c>
      <c r="D2022" t="s">
        <v>4262</v>
      </c>
      <c r="E2022" s="1">
        <v>260.28698700000001</v>
      </c>
      <c r="F2022" s="1">
        <v>260.050995</v>
      </c>
      <c r="K2022" s="39">
        <f>DefaultValues!$B$4</f>
        <v>5</v>
      </c>
      <c r="L2022" s="1">
        <f>DefaultValues!$C$4</f>
        <v>0.5</v>
      </c>
      <c r="M2022" s="1" t="str">
        <f>DefaultValues!$D$4</f>
        <v xml:space="preserve">- Within interchange - </v>
      </c>
      <c r="N2022" s="1">
        <v>739.71301300000005</v>
      </c>
      <c r="O2022" s="1">
        <f>ABS(Table4[[#This Row],[EndMP]]-Table4[[#This Row],[StartMP]])</f>
        <v>0.23599200000001019</v>
      </c>
      <c r="P2022" s="1" t="str">
        <f>IF( AND( Table4[[#This Row],[Route]]=ClosureLocation!$B$3, ClosureLocation!$B$6 &gt;= Table4[[#This Row],[StartMP]], ClosureLocation!$B$6 &lt;= Table4[[#This Row],[EndMP]]), "Yes", "")</f>
        <v/>
      </c>
      <c r="Q2022" s="1" t="str">
        <f>IF( AND( Table4[[#This Row],[Route]]=ClosureLocation!$B$3, ClosureLocation!$B$6 &lt;= Table4[[#This Row],[StartMP]], ClosureLocation!$B$6 &gt;= Table4[[#This Row],[EndMP]]), "Yes", "")</f>
        <v/>
      </c>
      <c r="R2022" s="1" t="str">
        <f>IF( OR( Table4[[#This Row],[PrimaryMatch]]="Yes", Table4[[#This Row],[SecondaryMatch]]="Yes"), "Yes", "")</f>
        <v/>
      </c>
    </row>
    <row r="2023" spans="1:18" hidden="1" x14ac:dyDescent="0.25">
      <c r="A2023" t="s">
        <v>1493</v>
      </c>
      <c r="B2023" t="s">
        <v>3209</v>
      </c>
      <c r="C2023" t="s">
        <v>3210</v>
      </c>
      <c r="D2023" t="s">
        <v>4262</v>
      </c>
      <c r="E2023" s="1">
        <v>259.39300500000002</v>
      </c>
      <c r="F2023" s="1">
        <v>259.13198899999998</v>
      </c>
      <c r="K2023" s="39">
        <f>DefaultValues!$B$4</f>
        <v>5</v>
      </c>
      <c r="L2023" s="1">
        <f>DefaultValues!$C$4</f>
        <v>0.5</v>
      </c>
      <c r="M2023" s="1" t="str">
        <f>DefaultValues!$D$4</f>
        <v xml:space="preserve">- Within interchange - </v>
      </c>
      <c r="N2023" s="1">
        <v>740.60699499999998</v>
      </c>
      <c r="O2023" s="1">
        <f>ABS(Table4[[#This Row],[EndMP]]-Table4[[#This Row],[StartMP]])</f>
        <v>0.26101600000004055</v>
      </c>
      <c r="P2023" s="1" t="str">
        <f>IF( AND( Table4[[#This Row],[Route]]=ClosureLocation!$B$3, ClosureLocation!$B$6 &gt;= Table4[[#This Row],[StartMP]], ClosureLocation!$B$6 &lt;= Table4[[#This Row],[EndMP]]), "Yes", "")</f>
        <v/>
      </c>
      <c r="Q2023" s="1" t="str">
        <f>IF( AND( Table4[[#This Row],[Route]]=ClosureLocation!$B$3, ClosureLocation!$B$6 &lt;= Table4[[#This Row],[StartMP]], ClosureLocation!$B$6 &gt;= Table4[[#This Row],[EndMP]]), "Yes", "")</f>
        <v/>
      </c>
      <c r="R2023" s="1" t="str">
        <f>IF( OR( Table4[[#This Row],[PrimaryMatch]]="Yes", Table4[[#This Row],[SecondaryMatch]]="Yes"), "Yes", "")</f>
        <v/>
      </c>
    </row>
    <row r="2024" spans="1:18" hidden="1" x14ac:dyDescent="0.25">
      <c r="A2024" t="s">
        <v>1493</v>
      </c>
      <c r="B2024" t="s">
        <v>3209</v>
      </c>
      <c r="C2024" t="s">
        <v>3210</v>
      </c>
      <c r="D2024" t="s">
        <v>4262</v>
      </c>
      <c r="E2024" s="1">
        <v>258.16900600000002</v>
      </c>
      <c r="F2024" s="1">
        <v>257.942993</v>
      </c>
      <c r="K2024" s="39">
        <f>DefaultValues!$B$4</f>
        <v>5</v>
      </c>
      <c r="L2024" s="1">
        <f>DefaultValues!$C$4</f>
        <v>0.5</v>
      </c>
      <c r="M2024" s="1" t="str">
        <f>DefaultValues!$D$4</f>
        <v xml:space="preserve">- Within interchange - </v>
      </c>
      <c r="N2024" s="1">
        <v>741.83099400000003</v>
      </c>
      <c r="O2024" s="1">
        <f>ABS(Table4[[#This Row],[EndMP]]-Table4[[#This Row],[StartMP]])</f>
        <v>0.22601300000002311</v>
      </c>
      <c r="P2024" s="1" t="str">
        <f>IF( AND( Table4[[#This Row],[Route]]=ClosureLocation!$B$3, ClosureLocation!$B$6 &gt;= Table4[[#This Row],[StartMP]], ClosureLocation!$B$6 &lt;= Table4[[#This Row],[EndMP]]), "Yes", "")</f>
        <v/>
      </c>
      <c r="Q2024" s="1" t="str">
        <f>IF( AND( Table4[[#This Row],[Route]]=ClosureLocation!$B$3, ClosureLocation!$B$6 &lt;= Table4[[#This Row],[StartMP]], ClosureLocation!$B$6 &gt;= Table4[[#This Row],[EndMP]]), "Yes", "")</f>
        <v/>
      </c>
      <c r="R2024" s="1" t="str">
        <f>IF( OR( Table4[[#This Row],[PrimaryMatch]]="Yes", Table4[[#This Row],[SecondaryMatch]]="Yes"), "Yes", "")</f>
        <v/>
      </c>
    </row>
    <row r="2025" spans="1:18" hidden="1" x14ac:dyDescent="0.25">
      <c r="A2025" t="s">
        <v>1493</v>
      </c>
      <c r="B2025" t="s">
        <v>3209</v>
      </c>
      <c r="C2025" t="s">
        <v>3210</v>
      </c>
      <c r="D2025" t="s">
        <v>4262</v>
      </c>
      <c r="E2025" s="1">
        <v>257.72100799999998</v>
      </c>
      <c r="F2025" s="1">
        <v>257.66101099999997</v>
      </c>
      <c r="K2025" s="39">
        <f>DefaultValues!$B$4</f>
        <v>5</v>
      </c>
      <c r="L2025" s="1">
        <f>DefaultValues!$C$4</f>
        <v>0.5</v>
      </c>
      <c r="M2025" s="1" t="str">
        <f>DefaultValues!$D$4</f>
        <v xml:space="preserve">- Within interchange - </v>
      </c>
      <c r="N2025" s="1">
        <v>742.27899200000002</v>
      </c>
      <c r="O2025" s="1">
        <f>ABS(Table4[[#This Row],[EndMP]]-Table4[[#This Row],[StartMP]])</f>
        <v>5.9997000000009848E-2</v>
      </c>
      <c r="P2025" s="1" t="str">
        <f>IF( AND( Table4[[#This Row],[Route]]=ClosureLocation!$B$3, ClosureLocation!$B$6 &gt;= Table4[[#This Row],[StartMP]], ClosureLocation!$B$6 &lt;= Table4[[#This Row],[EndMP]]), "Yes", "")</f>
        <v/>
      </c>
      <c r="Q2025" s="1" t="str">
        <f>IF( AND( Table4[[#This Row],[Route]]=ClosureLocation!$B$3, ClosureLocation!$B$6 &lt;= Table4[[#This Row],[StartMP]], ClosureLocation!$B$6 &gt;= Table4[[#This Row],[EndMP]]), "Yes", "")</f>
        <v/>
      </c>
      <c r="R2025" s="1" t="str">
        <f>IF( OR( Table4[[#This Row],[PrimaryMatch]]="Yes", Table4[[#This Row],[SecondaryMatch]]="Yes"), "Yes", "")</f>
        <v/>
      </c>
    </row>
    <row r="2026" spans="1:18" hidden="1" x14ac:dyDescent="0.25">
      <c r="A2026" t="s">
        <v>1493</v>
      </c>
      <c r="B2026" t="s">
        <v>3209</v>
      </c>
      <c r="C2026" t="s">
        <v>3210</v>
      </c>
      <c r="D2026" t="s">
        <v>4262</v>
      </c>
      <c r="E2026" s="1">
        <v>256.64599600000003</v>
      </c>
      <c r="F2026" s="1">
        <v>256.317993</v>
      </c>
      <c r="K2026" s="39">
        <f>DefaultValues!$B$4</f>
        <v>5</v>
      </c>
      <c r="L2026" s="1">
        <f>DefaultValues!$C$4</f>
        <v>0.5</v>
      </c>
      <c r="M2026" s="1" t="str">
        <f>DefaultValues!$D$4</f>
        <v xml:space="preserve">- Within interchange - </v>
      </c>
      <c r="N2026" s="1">
        <v>743.35400400000003</v>
      </c>
      <c r="O2026" s="1">
        <f>ABS(Table4[[#This Row],[EndMP]]-Table4[[#This Row],[StartMP]])</f>
        <v>0.3280030000000238</v>
      </c>
      <c r="P2026" s="1" t="str">
        <f>IF( AND( Table4[[#This Row],[Route]]=ClosureLocation!$B$3, ClosureLocation!$B$6 &gt;= Table4[[#This Row],[StartMP]], ClosureLocation!$B$6 &lt;= Table4[[#This Row],[EndMP]]), "Yes", "")</f>
        <v/>
      </c>
      <c r="Q2026" s="1" t="str">
        <f>IF( AND( Table4[[#This Row],[Route]]=ClosureLocation!$B$3, ClosureLocation!$B$6 &lt;= Table4[[#This Row],[StartMP]], ClosureLocation!$B$6 &gt;= Table4[[#This Row],[EndMP]]), "Yes", "")</f>
        <v/>
      </c>
      <c r="R2026" s="1" t="str">
        <f>IF( OR( Table4[[#This Row],[PrimaryMatch]]="Yes", Table4[[#This Row],[SecondaryMatch]]="Yes"), "Yes", "")</f>
        <v/>
      </c>
    </row>
    <row r="2027" spans="1:18" hidden="1" x14ac:dyDescent="0.25">
      <c r="A2027" t="s">
        <v>1493</v>
      </c>
      <c r="B2027" t="s">
        <v>3209</v>
      </c>
      <c r="C2027" t="s">
        <v>3210</v>
      </c>
      <c r="D2027" t="s">
        <v>4262</v>
      </c>
      <c r="E2027" s="1">
        <v>255.246994</v>
      </c>
      <c r="F2027" s="1">
        <v>254.746994</v>
      </c>
      <c r="K2027" s="39">
        <f>DefaultValues!$B$4</f>
        <v>5</v>
      </c>
      <c r="L2027" s="1">
        <f>DefaultValues!$C$4</f>
        <v>0.5</v>
      </c>
      <c r="M2027" s="1" t="str">
        <f>DefaultValues!$D$4</f>
        <v xml:space="preserve">- Within interchange - </v>
      </c>
      <c r="N2027" s="1">
        <v>744.75299099999995</v>
      </c>
      <c r="O2027" s="1">
        <f>ABS(Table4[[#This Row],[EndMP]]-Table4[[#This Row],[StartMP]])</f>
        <v>0.5</v>
      </c>
      <c r="P2027" s="1" t="str">
        <f>IF( AND( Table4[[#This Row],[Route]]=ClosureLocation!$B$3, ClosureLocation!$B$6 &gt;= Table4[[#This Row],[StartMP]], ClosureLocation!$B$6 &lt;= Table4[[#This Row],[EndMP]]), "Yes", "")</f>
        <v/>
      </c>
      <c r="Q2027" s="1" t="str">
        <f>IF( AND( Table4[[#This Row],[Route]]=ClosureLocation!$B$3, ClosureLocation!$B$6 &lt;= Table4[[#This Row],[StartMP]], ClosureLocation!$B$6 &gt;= Table4[[#This Row],[EndMP]]), "Yes", "")</f>
        <v/>
      </c>
      <c r="R2027" s="1" t="str">
        <f>IF( OR( Table4[[#This Row],[PrimaryMatch]]="Yes", Table4[[#This Row],[SecondaryMatch]]="Yes"), "Yes", "")</f>
        <v/>
      </c>
    </row>
    <row r="2028" spans="1:18" hidden="1" x14ac:dyDescent="0.25">
      <c r="A2028" t="s">
        <v>1493</v>
      </c>
      <c r="B2028" t="s">
        <v>3209</v>
      </c>
      <c r="C2028" t="s">
        <v>3210</v>
      </c>
      <c r="D2028" t="s">
        <v>4262</v>
      </c>
      <c r="E2028" s="1">
        <v>253.69000199999999</v>
      </c>
      <c r="F2028" s="1">
        <v>253.29499799999999</v>
      </c>
      <c r="K2028" s="39">
        <f>DefaultValues!$B$4</f>
        <v>5</v>
      </c>
      <c r="L2028" s="1">
        <f>DefaultValues!$C$4</f>
        <v>0.5</v>
      </c>
      <c r="M2028" s="1" t="str">
        <f>DefaultValues!$D$4</f>
        <v xml:space="preserve">- Within interchange - </v>
      </c>
      <c r="N2028" s="1">
        <v>746.30999799999995</v>
      </c>
      <c r="O2028" s="1">
        <f>ABS(Table4[[#This Row],[EndMP]]-Table4[[#This Row],[StartMP]])</f>
        <v>0.39500400000000013</v>
      </c>
      <c r="P2028" s="1" t="str">
        <f>IF( AND( Table4[[#This Row],[Route]]=ClosureLocation!$B$3, ClosureLocation!$B$6 &gt;= Table4[[#This Row],[StartMP]], ClosureLocation!$B$6 &lt;= Table4[[#This Row],[EndMP]]), "Yes", "")</f>
        <v/>
      </c>
      <c r="Q2028" s="1" t="str">
        <f>IF( AND( Table4[[#This Row],[Route]]=ClosureLocation!$B$3, ClosureLocation!$B$6 &lt;= Table4[[#This Row],[StartMP]], ClosureLocation!$B$6 &gt;= Table4[[#This Row],[EndMP]]), "Yes", "")</f>
        <v/>
      </c>
      <c r="R2028" s="1" t="str">
        <f>IF( OR( Table4[[#This Row],[PrimaryMatch]]="Yes", Table4[[#This Row],[SecondaryMatch]]="Yes"), "Yes", "")</f>
        <v/>
      </c>
    </row>
    <row r="2029" spans="1:18" hidden="1" x14ac:dyDescent="0.25">
      <c r="A2029" t="s">
        <v>1493</v>
      </c>
      <c r="B2029" t="s">
        <v>3209</v>
      </c>
      <c r="C2029" t="s">
        <v>3210</v>
      </c>
      <c r="D2029" t="s">
        <v>4262</v>
      </c>
      <c r="E2029" s="1">
        <v>252.404999</v>
      </c>
      <c r="F2029" s="1">
        <v>252.05200199999999</v>
      </c>
      <c r="K2029" s="39">
        <f>DefaultValues!$B$4</f>
        <v>5</v>
      </c>
      <c r="L2029" s="1">
        <f>DefaultValues!$C$4</f>
        <v>0.5</v>
      </c>
      <c r="M2029" s="1" t="str">
        <f>DefaultValues!$D$4</f>
        <v xml:space="preserve">- Within interchange - </v>
      </c>
      <c r="N2029" s="1">
        <v>747.59497099999999</v>
      </c>
      <c r="O2029" s="1">
        <f>ABS(Table4[[#This Row],[EndMP]]-Table4[[#This Row],[StartMP]])</f>
        <v>0.35299700000001621</v>
      </c>
      <c r="P2029" s="1" t="str">
        <f>IF( AND( Table4[[#This Row],[Route]]=ClosureLocation!$B$3, ClosureLocation!$B$6 &gt;= Table4[[#This Row],[StartMP]], ClosureLocation!$B$6 &lt;= Table4[[#This Row],[EndMP]]), "Yes", "")</f>
        <v/>
      </c>
      <c r="Q2029" s="1" t="str">
        <f>IF( AND( Table4[[#This Row],[Route]]=ClosureLocation!$B$3, ClosureLocation!$B$6 &lt;= Table4[[#This Row],[StartMP]], ClosureLocation!$B$6 &gt;= Table4[[#This Row],[EndMP]]), "Yes", "")</f>
        <v/>
      </c>
      <c r="R2029" s="1" t="str">
        <f>IF( OR( Table4[[#This Row],[PrimaryMatch]]="Yes", Table4[[#This Row],[SecondaryMatch]]="Yes"), "Yes", "")</f>
        <v/>
      </c>
    </row>
    <row r="2030" spans="1:18" hidden="1" x14ac:dyDescent="0.25">
      <c r="A2030" t="s">
        <v>1493</v>
      </c>
      <c r="B2030" t="s">
        <v>3209</v>
      </c>
      <c r="C2030" t="s">
        <v>3210</v>
      </c>
      <c r="D2030" t="s">
        <v>4262</v>
      </c>
      <c r="E2030" s="1">
        <v>250.328003</v>
      </c>
      <c r="F2030" s="1">
        <v>249.87399300000001</v>
      </c>
      <c r="K2030" s="39">
        <f>DefaultValues!$B$4</f>
        <v>5</v>
      </c>
      <c r="L2030" s="1">
        <f>DefaultValues!$C$4</f>
        <v>0.5</v>
      </c>
      <c r="M2030" s="1" t="str">
        <f>DefaultValues!$D$4</f>
        <v xml:space="preserve">- Within interchange - </v>
      </c>
      <c r="N2030" s="1">
        <v>749.67199700000003</v>
      </c>
      <c r="O2030" s="1">
        <f>ABS(Table4[[#This Row],[EndMP]]-Table4[[#This Row],[StartMP]])</f>
        <v>0.45400999999998248</v>
      </c>
      <c r="P2030" s="1" t="str">
        <f>IF( AND( Table4[[#This Row],[Route]]=ClosureLocation!$B$3, ClosureLocation!$B$6 &gt;= Table4[[#This Row],[StartMP]], ClosureLocation!$B$6 &lt;= Table4[[#This Row],[EndMP]]), "Yes", "")</f>
        <v/>
      </c>
      <c r="Q2030" s="1" t="str">
        <f>IF( AND( Table4[[#This Row],[Route]]=ClosureLocation!$B$3, ClosureLocation!$B$6 &lt;= Table4[[#This Row],[StartMP]], ClosureLocation!$B$6 &gt;= Table4[[#This Row],[EndMP]]), "Yes", "")</f>
        <v/>
      </c>
      <c r="R2030" s="1" t="str">
        <f>IF( OR( Table4[[#This Row],[PrimaryMatch]]="Yes", Table4[[#This Row],[SecondaryMatch]]="Yes"), "Yes", "")</f>
        <v/>
      </c>
    </row>
    <row r="2031" spans="1:18" hidden="1" x14ac:dyDescent="0.25">
      <c r="A2031" t="s">
        <v>1493</v>
      </c>
      <c r="B2031" t="s">
        <v>3209</v>
      </c>
      <c r="C2031" t="s">
        <v>3210</v>
      </c>
      <c r="D2031" t="s">
        <v>4262</v>
      </c>
      <c r="E2031" s="1">
        <v>248.459</v>
      </c>
      <c r="F2031" s="1">
        <v>248.32299800000001</v>
      </c>
      <c r="K2031" s="39">
        <f>DefaultValues!$B$4</f>
        <v>5</v>
      </c>
      <c r="L2031" s="1">
        <f>DefaultValues!$C$4</f>
        <v>0.5</v>
      </c>
      <c r="M2031" s="1" t="str">
        <f>DefaultValues!$D$4</f>
        <v xml:space="preserve">- Within interchange - </v>
      </c>
      <c r="N2031" s="1">
        <v>751.54101600000001</v>
      </c>
      <c r="O2031" s="1">
        <f>ABS(Table4[[#This Row],[EndMP]]-Table4[[#This Row],[StartMP]])</f>
        <v>0.13600199999999063</v>
      </c>
      <c r="P2031" s="1" t="str">
        <f>IF( AND( Table4[[#This Row],[Route]]=ClosureLocation!$B$3, ClosureLocation!$B$6 &gt;= Table4[[#This Row],[StartMP]], ClosureLocation!$B$6 &lt;= Table4[[#This Row],[EndMP]]), "Yes", "")</f>
        <v/>
      </c>
      <c r="Q2031" s="1" t="str">
        <f>IF( AND( Table4[[#This Row],[Route]]=ClosureLocation!$B$3, ClosureLocation!$B$6 &lt;= Table4[[#This Row],[StartMP]], ClosureLocation!$B$6 &gt;= Table4[[#This Row],[EndMP]]), "Yes", "")</f>
        <v/>
      </c>
      <c r="R2031" s="1" t="str">
        <f>IF( OR( Table4[[#This Row],[PrimaryMatch]]="Yes", Table4[[#This Row],[SecondaryMatch]]="Yes"), "Yes", "")</f>
        <v/>
      </c>
    </row>
    <row r="2032" spans="1:18" hidden="1" x14ac:dyDescent="0.25">
      <c r="A2032" t="s">
        <v>1493</v>
      </c>
      <c r="B2032" t="s">
        <v>3209</v>
      </c>
      <c r="C2032" t="s">
        <v>3210</v>
      </c>
      <c r="D2032" t="s">
        <v>4262</v>
      </c>
      <c r="E2032" s="1">
        <v>236.74099699999999</v>
      </c>
      <c r="F2032" s="1">
        <v>236.658997</v>
      </c>
      <c r="K2032" s="39">
        <f>DefaultValues!$B$4</f>
        <v>5</v>
      </c>
      <c r="L2032" s="1">
        <f>DefaultValues!$C$4</f>
        <v>0.5</v>
      </c>
      <c r="M2032" s="1" t="str">
        <f>DefaultValues!$D$4</f>
        <v xml:space="preserve">- Within interchange - </v>
      </c>
      <c r="N2032" s="1">
        <v>763.25897199999997</v>
      </c>
      <c r="O2032" s="1">
        <f>ABS(Table4[[#This Row],[EndMP]]-Table4[[#This Row],[StartMP]])</f>
        <v>8.1999999999993634E-2</v>
      </c>
      <c r="P2032" s="1" t="str">
        <f>IF( AND( Table4[[#This Row],[Route]]=ClosureLocation!$B$3, ClosureLocation!$B$6 &gt;= Table4[[#This Row],[StartMP]], ClosureLocation!$B$6 &lt;= Table4[[#This Row],[EndMP]]), "Yes", "")</f>
        <v/>
      </c>
      <c r="Q2032" s="1" t="str">
        <f>IF( AND( Table4[[#This Row],[Route]]=ClosureLocation!$B$3, ClosureLocation!$B$6 &lt;= Table4[[#This Row],[StartMP]], ClosureLocation!$B$6 &gt;= Table4[[#This Row],[EndMP]]), "Yes", "")</f>
        <v/>
      </c>
      <c r="R2032" s="1" t="str">
        <f>IF( OR( Table4[[#This Row],[PrimaryMatch]]="Yes", Table4[[#This Row],[SecondaryMatch]]="Yes"), "Yes", "")</f>
        <v/>
      </c>
    </row>
    <row r="2033" spans="1:18" hidden="1" x14ac:dyDescent="0.25">
      <c r="A2033" t="s">
        <v>1493</v>
      </c>
      <c r="B2033" t="s">
        <v>3209</v>
      </c>
      <c r="C2033" t="s">
        <v>3210</v>
      </c>
      <c r="D2033" t="s">
        <v>4262</v>
      </c>
      <c r="E2033" s="1">
        <v>224.712006</v>
      </c>
      <c r="F2033" s="1">
        <v>224.44399999999999</v>
      </c>
      <c r="K2033" s="39">
        <f>DefaultValues!$B$4</f>
        <v>5</v>
      </c>
      <c r="L2033" s="1">
        <f>DefaultValues!$C$4</f>
        <v>0.5</v>
      </c>
      <c r="M2033" s="1" t="str">
        <f>DefaultValues!$D$4</f>
        <v xml:space="preserve">- Within interchange - </v>
      </c>
      <c r="N2033" s="1">
        <v>775.28802499999995</v>
      </c>
      <c r="O2033" s="1">
        <f>ABS(Table4[[#This Row],[EndMP]]-Table4[[#This Row],[StartMP]])</f>
        <v>0.26800600000001396</v>
      </c>
      <c r="P2033" s="1" t="str">
        <f>IF( AND( Table4[[#This Row],[Route]]=ClosureLocation!$B$3, ClosureLocation!$B$6 &gt;= Table4[[#This Row],[StartMP]], ClosureLocation!$B$6 &lt;= Table4[[#This Row],[EndMP]]), "Yes", "")</f>
        <v/>
      </c>
      <c r="Q2033" s="1" t="str">
        <f>IF( AND( Table4[[#This Row],[Route]]=ClosureLocation!$B$3, ClosureLocation!$B$6 &lt;= Table4[[#This Row],[StartMP]], ClosureLocation!$B$6 &gt;= Table4[[#This Row],[EndMP]]), "Yes", "")</f>
        <v/>
      </c>
      <c r="R2033" s="1" t="str">
        <f>IF( OR( Table4[[#This Row],[PrimaryMatch]]="Yes", Table4[[#This Row],[SecondaryMatch]]="Yes"), "Yes", "")</f>
        <v/>
      </c>
    </row>
    <row r="2034" spans="1:18" hidden="1" x14ac:dyDescent="0.25">
      <c r="A2034" t="s">
        <v>1493</v>
      </c>
      <c r="B2034" t="s">
        <v>3209</v>
      </c>
      <c r="C2034" t="s">
        <v>3210</v>
      </c>
      <c r="D2034" t="s">
        <v>4262</v>
      </c>
      <c r="E2034" s="1">
        <v>161.82899499999999</v>
      </c>
      <c r="F2034" s="1">
        <v>161.78900100000001</v>
      </c>
      <c r="K2034" s="39">
        <f>DefaultValues!$B$4</f>
        <v>5</v>
      </c>
      <c r="L2034" s="1">
        <f>DefaultValues!$C$4</f>
        <v>0.5</v>
      </c>
      <c r="M2034" s="1" t="str">
        <f>DefaultValues!$D$4</f>
        <v xml:space="preserve">- Within interchange - </v>
      </c>
      <c r="N2034" s="1">
        <v>838.171021</v>
      </c>
      <c r="O2034" s="1">
        <f>ABS(Table4[[#This Row],[EndMP]]-Table4[[#This Row],[StartMP]])</f>
        <v>3.9993999999978769E-2</v>
      </c>
      <c r="P2034" s="1" t="str">
        <f>IF( AND( Table4[[#This Row],[Route]]=ClosureLocation!$B$3, ClosureLocation!$B$6 &gt;= Table4[[#This Row],[StartMP]], ClosureLocation!$B$6 &lt;= Table4[[#This Row],[EndMP]]), "Yes", "")</f>
        <v/>
      </c>
      <c r="Q2034" s="1" t="str">
        <f>IF( AND( Table4[[#This Row],[Route]]=ClosureLocation!$B$3, ClosureLocation!$B$6 &lt;= Table4[[#This Row],[StartMP]], ClosureLocation!$B$6 &gt;= Table4[[#This Row],[EndMP]]), "Yes", "")</f>
        <v/>
      </c>
      <c r="R2034" s="1" t="str">
        <f>IF( OR( Table4[[#This Row],[PrimaryMatch]]="Yes", Table4[[#This Row],[SecondaryMatch]]="Yes"), "Yes", "")</f>
        <v/>
      </c>
    </row>
    <row r="2035" spans="1:18" hidden="1" x14ac:dyDescent="0.25">
      <c r="A2035" t="s">
        <v>1508</v>
      </c>
      <c r="B2035" t="s">
        <v>3205</v>
      </c>
      <c r="C2035" t="s">
        <v>3206</v>
      </c>
      <c r="D2035" t="s">
        <v>4277</v>
      </c>
      <c r="E2035" s="1">
        <v>85.188004000000006</v>
      </c>
      <c r="F2035" s="1">
        <v>85.811995999999994</v>
      </c>
      <c r="K2035" s="39">
        <f>DefaultValues!$B$4</f>
        <v>5</v>
      </c>
      <c r="L2035" s="1">
        <f>DefaultValues!$C$4</f>
        <v>0.5</v>
      </c>
      <c r="M2035" s="1" t="str">
        <f>DefaultValues!$D$4</f>
        <v xml:space="preserve">- Within interchange - </v>
      </c>
      <c r="N2035" s="1">
        <v>85.188004000000006</v>
      </c>
      <c r="O2035" s="1">
        <f>ABS(Table4[[#This Row],[EndMP]]-Table4[[#This Row],[StartMP]])</f>
        <v>0.623991999999987</v>
      </c>
      <c r="P2035" s="1" t="str">
        <f>IF( AND( Table4[[#This Row],[Route]]=ClosureLocation!$B$3, ClosureLocation!$B$6 &gt;= Table4[[#This Row],[StartMP]], ClosureLocation!$B$6 &lt;= Table4[[#This Row],[EndMP]]), "Yes", "")</f>
        <v/>
      </c>
      <c r="Q2035" s="1" t="str">
        <f>IF( AND( Table4[[#This Row],[Route]]=ClosureLocation!$B$3, ClosureLocation!$B$6 &lt;= Table4[[#This Row],[StartMP]], ClosureLocation!$B$6 &gt;= Table4[[#This Row],[EndMP]]), "Yes", "")</f>
        <v/>
      </c>
      <c r="R2035" s="1" t="str">
        <f>IF( OR( Table4[[#This Row],[PrimaryMatch]]="Yes", Table4[[#This Row],[SecondaryMatch]]="Yes"), "Yes", "")</f>
        <v/>
      </c>
    </row>
    <row r="2036" spans="1:18" hidden="1" x14ac:dyDescent="0.25">
      <c r="A2036" t="s">
        <v>1508</v>
      </c>
      <c r="B2036" t="s">
        <v>3209</v>
      </c>
      <c r="C2036" t="s">
        <v>3210</v>
      </c>
      <c r="D2036" t="s">
        <v>4281</v>
      </c>
      <c r="E2036" s="1">
        <v>85.811995999999994</v>
      </c>
      <c r="F2036" s="1">
        <v>85.188004000000006</v>
      </c>
      <c r="K2036" s="39">
        <f>DefaultValues!$B$4</f>
        <v>5</v>
      </c>
      <c r="L2036" s="1">
        <f>DefaultValues!$C$4</f>
        <v>0.5</v>
      </c>
      <c r="M2036" s="1" t="str">
        <f>DefaultValues!$D$4</f>
        <v xml:space="preserve">- Within interchange - </v>
      </c>
      <c r="N2036" s="1">
        <v>914.18798800000002</v>
      </c>
      <c r="O2036" s="1">
        <f>ABS(Table4[[#This Row],[EndMP]]-Table4[[#This Row],[StartMP]])</f>
        <v>0.623991999999987</v>
      </c>
      <c r="P2036" s="1" t="str">
        <f>IF( AND( Table4[[#This Row],[Route]]=ClosureLocation!$B$3, ClosureLocation!$B$6 &gt;= Table4[[#This Row],[StartMP]], ClosureLocation!$B$6 &lt;= Table4[[#This Row],[EndMP]]), "Yes", "")</f>
        <v/>
      </c>
      <c r="Q2036" s="1" t="str">
        <f>IF( AND( Table4[[#This Row],[Route]]=ClosureLocation!$B$3, ClosureLocation!$B$6 &lt;= Table4[[#This Row],[StartMP]], ClosureLocation!$B$6 &gt;= Table4[[#This Row],[EndMP]]), "Yes", "")</f>
        <v/>
      </c>
      <c r="R2036" s="1" t="str">
        <f>IF( OR( Table4[[#This Row],[PrimaryMatch]]="Yes", Table4[[#This Row],[SecondaryMatch]]="Yes"), "Yes", "")</f>
        <v/>
      </c>
    </row>
    <row r="2037" spans="1:18" hidden="1" x14ac:dyDescent="0.25">
      <c r="A2037" t="s">
        <v>1516</v>
      </c>
      <c r="B2037" t="s">
        <v>3205</v>
      </c>
      <c r="C2037" t="s">
        <v>3206</v>
      </c>
      <c r="D2037" t="s">
        <v>4285</v>
      </c>
      <c r="E2037" s="1">
        <v>282.73098800000002</v>
      </c>
      <c r="F2037" s="1">
        <v>282.85998499999999</v>
      </c>
      <c r="K2037" s="39">
        <f>DefaultValues!$B$4</f>
        <v>5</v>
      </c>
      <c r="L2037" s="1">
        <f>DefaultValues!$C$4</f>
        <v>0.5</v>
      </c>
      <c r="M2037" s="1" t="str">
        <f>DefaultValues!$D$4</f>
        <v xml:space="preserve">- Within interchange - </v>
      </c>
      <c r="N2037" s="1">
        <v>282.73098800000002</v>
      </c>
      <c r="O2037" s="1">
        <f>ABS(Table4[[#This Row],[EndMP]]-Table4[[#This Row],[StartMP]])</f>
        <v>0.12899699999996983</v>
      </c>
      <c r="P2037" s="1" t="str">
        <f>IF( AND( Table4[[#This Row],[Route]]=ClosureLocation!$B$3, ClosureLocation!$B$6 &gt;= Table4[[#This Row],[StartMP]], ClosureLocation!$B$6 &lt;= Table4[[#This Row],[EndMP]]), "Yes", "")</f>
        <v/>
      </c>
      <c r="Q2037" s="1" t="str">
        <f>IF( AND( Table4[[#This Row],[Route]]=ClosureLocation!$B$3, ClosureLocation!$B$6 &lt;= Table4[[#This Row],[StartMP]], ClosureLocation!$B$6 &gt;= Table4[[#This Row],[EndMP]]), "Yes", "")</f>
        <v/>
      </c>
      <c r="R2037" s="1" t="str">
        <f>IF( OR( Table4[[#This Row],[PrimaryMatch]]="Yes", Table4[[#This Row],[SecondaryMatch]]="Yes"), "Yes", "")</f>
        <v/>
      </c>
    </row>
    <row r="2038" spans="1:18" hidden="1" x14ac:dyDescent="0.25">
      <c r="A2038" t="s">
        <v>1516</v>
      </c>
      <c r="B2038" t="s">
        <v>3205</v>
      </c>
      <c r="C2038" t="s">
        <v>3206</v>
      </c>
      <c r="D2038" t="s">
        <v>4285</v>
      </c>
      <c r="E2038" s="1">
        <v>285.743988</v>
      </c>
      <c r="F2038" s="1">
        <v>285.79800399999999</v>
      </c>
      <c r="K2038" s="39">
        <f>DefaultValues!$B$4</f>
        <v>5</v>
      </c>
      <c r="L2038" s="1">
        <f>DefaultValues!$C$4</f>
        <v>0.5</v>
      </c>
      <c r="M2038" s="1" t="str">
        <f>DefaultValues!$D$4</f>
        <v xml:space="preserve">- Within interchange - </v>
      </c>
      <c r="N2038" s="1">
        <v>285.743988</v>
      </c>
      <c r="O2038" s="1">
        <f>ABS(Table4[[#This Row],[EndMP]]-Table4[[#This Row],[StartMP]])</f>
        <v>5.4015999999990072E-2</v>
      </c>
      <c r="P2038" s="1" t="str">
        <f>IF( AND( Table4[[#This Row],[Route]]=ClosureLocation!$B$3, ClosureLocation!$B$6 &gt;= Table4[[#This Row],[StartMP]], ClosureLocation!$B$6 &lt;= Table4[[#This Row],[EndMP]]), "Yes", "")</f>
        <v/>
      </c>
      <c r="Q2038" s="1" t="str">
        <f>IF( AND( Table4[[#This Row],[Route]]=ClosureLocation!$B$3, ClosureLocation!$B$6 &lt;= Table4[[#This Row],[StartMP]], ClosureLocation!$B$6 &gt;= Table4[[#This Row],[EndMP]]), "Yes", "")</f>
        <v/>
      </c>
      <c r="R2038" s="1" t="str">
        <f>IF( OR( Table4[[#This Row],[PrimaryMatch]]="Yes", Table4[[#This Row],[SecondaryMatch]]="Yes"), "Yes", "")</f>
        <v/>
      </c>
    </row>
    <row r="2039" spans="1:18" hidden="1" x14ac:dyDescent="0.25">
      <c r="A2039" t="s">
        <v>1516</v>
      </c>
      <c r="B2039" t="s">
        <v>3205</v>
      </c>
      <c r="C2039" t="s">
        <v>3206</v>
      </c>
      <c r="D2039" t="s">
        <v>4285</v>
      </c>
      <c r="E2039" s="1">
        <v>286.834991</v>
      </c>
      <c r="F2039" s="1">
        <v>286.96701000000002</v>
      </c>
      <c r="K2039" s="39">
        <f>DefaultValues!$B$4</f>
        <v>5</v>
      </c>
      <c r="L2039" s="1">
        <f>DefaultValues!$C$4</f>
        <v>0.5</v>
      </c>
      <c r="M2039" s="1" t="str">
        <f>DefaultValues!$D$4</f>
        <v xml:space="preserve">- Within interchange - </v>
      </c>
      <c r="N2039" s="1">
        <v>286.834991</v>
      </c>
      <c r="O2039" s="1">
        <f>ABS(Table4[[#This Row],[EndMP]]-Table4[[#This Row],[StartMP]])</f>
        <v>0.13201900000001388</v>
      </c>
      <c r="P2039" s="1" t="str">
        <f>IF( AND( Table4[[#This Row],[Route]]=ClosureLocation!$B$3, ClosureLocation!$B$6 &gt;= Table4[[#This Row],[StartMP]], ClosureLocation!$B$6 &lt;= Table4[[#This Row],[EndMP]]), "Yes", "")</f>
        <v/>
      </c>
      <c r="Q2039" s="1" t="str">
        <f>IF( AND( Table4[[#This Row],[Route]]=ClosureLocation!$B$3, ClosureLocation!$B$6 &lt;= Table4[[#This Row],[StartMP]], ClosureLocation!$B$6 &gt;= Table4[[#This Row],[EndMP]]), "Yes", "")</f>
        <v/>
      </c>
      <c r="R2039" s="1" t="str">
        <f>IF( OR( Table4[[#This Row],[PrimaryMatch]]="Yes", Table4[[#This Row],[SecondaryMatch]]="Yes"), "Yes", "")</f>
        <v/>
      </c>
    </row>
    <row r="2040" spans="1:18" hidden="1" x14ac:dyDescent="0.25">
      <c r="A2040" t="s">
        <v>1516</v>
      </c>
      <c r="B2040" t="s">
        <v>3205</v>
      </c>
      <c r="C2040" t="s">
        <v>3206</v>
      </c>
      <c r="D2040" t="s">
        <v>4285</v>
      </c>
      <c r="E2040" s="1">
        <v>289.15399200000002</v>
      </c>
      <c r="F2040" s="1">
        <v>289.59298699999999</v>
      </c>
      <c r="K2040" s="39">
        <f>DefaultValues!$B$4</f>
        <v>5</v>
      </c>
      <c r="L2040" s="1">
        <f>DefaultValues!$C$4</f>
        <v>0.5</v>
      </c>
      <c r="M2040" s="1" t="str">
        <f>DefaultValues!$D$4</f>
        <v xml:space="preserve">- Within interchange - </v>
      </c>
      <c r="N2040" s="1">
        <v>289.15399200000002</v>
      </c>
      <c r="O2040" s="1">
        <f>ABS(Table4[[#This Row],[EndMP]]-Table4[[#This Row],[StartMP]])</f>
        <v>0.43899499999997715</v>
      </c>
      <c r="P2040" s="1" t="str">
        <f>IF( AND( Table4[[#This Row],[Route]]=ClosureLocation!$B$3, ClosureLocation!$B$6 &gt;= Table4[[#This Row],[StartMP]], ClosureLocation!$B$6 &lt;= Table4[[#This Row],[EndMP]]), "Yes", "")</f>
        <v/>
      </c>
      <c r="Q2040" s="1" t="str">
        <f>IF( AND( Table4[[#This Row],[Route]]=ClosureLocation!$B$3, ClosureLocation!$B$6 &lt;= Table4[[#This Row],[StartMP]], ClosureLocation!$B$6 &gt;= Table4[[#This Row],[EndMP]]), "Yes", "")</f>
        <v/>
      </c>
      <c r="R2040" s="1" t="str">
        <f>IF( OR( Table4[[#This Row],[PrimaryMatch]]="Yes", Table4[[#This Row],[SecondaryMatch]]="Yes"), "Yes", "")</f>
        <v/>
      </c>
    </row>
    <row r="2041" spans="1:18" hidden="1" x14ac:dyDescent="0.25">
      <c r="A2041" t="s">
        <v>1516</v>
      </c>
      <c r="B2041" t="s">
        <v>3205</v>
      </c>
      <c r="C2041" t="s">
        <v>3206</v>
      </c>
      <c r="D2041" t="s">
        <v>4285</v>
      </c>
      <c r="E2041" s="1">
        <v>298.08200099999999</v>
      </c>
      <c r="F2041" s="1">
        <v>298.29400600000002</v>
      </c>
      <c r="K2041" s="39">
        <f>DefaultValues!$B$4</f>
        <v>5</v>
      </c>
      <c r="L2041" s="1">
        <f>DefaultValues!$C$4</f>
        <v>0.5</v>
      </c>
      <c r="M2041" s="1" t="str">
        <f>DefaultValues!$D$4</f>
        <v xml:space="preserve">- Within interchange - </v>
      </c>
      <c r="N2041" s="1">
        <v>298.08200099999999</v>
      </c>
      <c r="O2041" s="1">
        <f>ABS(Table4[[#This Row],[EndMP]]-Table4[[#This Row],[StartMP]])</f>
        <v>0.21200500000003331</v>
      </c>
      <c r="P2041" s="1" t="str">
        <f>IF( AND( Table4[[#This Row],[Route]]=ClosureLocation!$B$3, ClosureLocation!$B$6 &gt;= Table4[[#This Row],[StartMP]], ClosureLocation!$B$6 &lt;= Table4[[#This Row],[EndMP]]), "Yes", "")</f>
        <v/>
      </c>
      <c r="Q2041" s="1" t="str">
        <f>IF( AND( Table4[[#This Row],[Route]]=ClosureLocation!$B$3, ClosureLocation!$B$6 &lt;= Table4[[#This Row],[StartMP]], ClosureLocation!$B$6 &gt;= Table4[[#This Row],[EndMP]]), "Yes", "")</f>
        <v/>
      </c>
      <c r="R2041" s="1" t="str">
        <f>IF( OR( Table4[[#This Row],[PrimaryMatch]]="Yes", Table4[[#This Row],[SecondaryMatch]]="Yes"), "Yes", "")</f>
        <v/>
      </c>
    </row>
    <row r="2042" spans="1:18" hidden="1" x14ac:dyDescent="0.25">
      <c r="A2042" t="s">
        <v>1516</v>
      </c>
      <c r="B2042" t="s">
        <v>3205</v>
      </c>
      <c r="C2042" t="s">
        <v>3206</v>
      </c>
      <c r="D2042" t="s">
        <v>4285</v>
      </c>
      <c r="E2042" s="1">
        <v>300.84698500000002</v>
      </c>
      <c r="F2042" s="1">
        <v>300.95001200000002</v>
      </c>
      <c r="K2042" s="39">
        <f>DefaultValues!$B$4</f>
        <v>5</v>
      </c>
      <c r="L2042" s="1">
        <f>DefaultValues!$C$4</f>
        <v>0.5</v>
      </c>
      <c r="M2042" s="1" t="str">
        <f>DefaultValues!$D$4</f>
        <v xml:space="preserve">- Within interchange - </v>
      </c>
      <c r="N2042" s="1">
        <v>300.84698500000002</v>
      </c>
      <c r="O2042" s="1">
        <f>ABS(Table4[[#This Row],[EndMP]]-Table4[[#This Row],[StartMP]])</f>
        <v>0.10302699999999732</v>
      </c>
      <c r="P2042" s="1" t="str">
        <f>IF( AND( Table4[[#This Row],[Route]]=ClosureLocation!$B$3, ClosureLocation!$B$6 &gt;= Table4[[#This Row],[StartMP]], ClosureLocation!$B$6 &lt;= Table4[[#This Row],[EndMP]]), "Yes", "")</f>
        <v/>
      </c>
      <c r="Q2042" s="1" t="str">
        <f>IF( AND( Table4[[#This Row],[Route]]=ClosureLocation!$B$3, ClosureLocation!$B$6 &lt;= Table4[[#This Row],[StartMP]], ClosureLocation!$B$6 &gt;= Table4[[#This Row],[EndMP]]), "Yes", "")</f>
        <v/>
      </c>
      <c r="R2042" s="1" t="str">
        <f>IF( OR( Table4[[#This Row],[PrimaryMatch]]="Yes", Table4[[#This Row],[SecondaryMatch]]="Yes"), "Yes", "")</f>
        <v/>
      </c>
    </row>
    <row r="2043" spans="1:18" hidden="1" x14ac:dyDescent="0.25">
      <c r="A2043" t="s">
        <v>1516</v>
      </c>
      <c r="B2043" t="s">
        <v>3209</v>
      </c>
      <c r="C2043" t="s">
        <v>3210</v>
      </c>
      <c r="D2043" t="s">
        <v>4296</v>
      </c>
      <c r="E2043" s="1">
        <v>300.95001200000002</v>
      </c>
      <c r="F2043" s="1">
        <v>300.84698500000002</v>
      </c>
      <c r="K2043" s="39">
        <f>DefaultValues!$B$4</f>
        <v>5</v>
      </c>
      <c r="L2043" s="1">
        <f>DefaultValues!$C$4</f>
        <v>0.5</v>
      </c>
      <c r="M2043" s="1" t="str">
        <f>DefaultValues!$D$4</f>
        <v xml:space="preserve">- Within interchange - </v>
      </c>
      <c r="N2043" s="1">
        <v>699.04998799999998</v>
      </c>
      <c r="O2043" s="1">
        <f>ABS(Table4[[#This Row],[EndMP]]-Table4[[#This Row],[StartMP]])</f>
        <v>0.10302699999999732</v>
      </c>
      <c r="P2043" s="1" t="str">
        <f>IF( AND( Table4[[#This Row],[Route]]=ClosureLocation!$B$3, ClosureLocation!$B$6 &gt;= Table4[[#This Row],[StartMP]], ClosureLocation!$B$6 &lt;= Table4[[#This Row],[EndMP]]), "Yes", "")</f>
        <v/>
      </c>
      <c r="Q2043" s="1" t="str">
        <f>IF( AND( Table4[[#This Row],[Route]]=ClosureLocation!$B$3, ClosureLocation!$B$6 &lt;= Table4[[#This Row],[StartMP]], ClosureLocation!$B$6 &gt;= Table4[[#This Row],[EndMP]]), "Yes", "")</f>
        <v/>
      </c>
      <c r="R2043" s="1" t="str">
        <f>IF( OR( Table4[[#This Row],[PrimaryMatch]]="Yes", Table4[[#This Row],[SecondaryMatch]]="Yes"), "Yes", "")</f>
        <v/>
      </c>
    </row>
    <row r="2044" spans="1:18" hidden="1" x14ac:dyDescent="0.25">
      <c r="A2044" t="s">
        <v>1516</v>
      </c>
      <c r="B2044" t="s">
        <v>3209</v>
      </c>
      <c r="C2044" t="s">
        <v>3210</v>
      </c>
      <c r="D2044" t="s">
        <v>4296</v>
      </c>
      <c r="E2044" s="1">
        <v>298.29400600000002</v>
      </c>
      <c r="F2044" s="1">
        <v>298.08200099999999</v>
      </c>
      <c r="K2044" s="39">
        <f>DefaultValues!$B$4</f>
        <v>5</v>
      </c>
      <c r="L2044" s="1">
        <f>DefaultValues!$C$4</f>
        <v>0.5</v>
      </c>
      <c r="M2044" s="1" t="str">
        <f>DefaultValues!$D$4</f>
        <v xml:space="preserve">- Within interchange - </v>
      </c>
      <c r="N2044" s="1">
        <v>701.70599400000003</v>
      </c>
      <c r="O2044" s="1">
        <f>ABS(Table4[[#This Row],[EndMP]]-Table4[[#This Row],[StartMP]])</f>
        <v>0.21200500000003331</v>
      </c>
      <c r="P2044" s="1" t="str">
        <f>IF( AND( Table4[[#This Row],[Route]]=ClosureLocation!$B$3, ClosureLocation!$B$6 &gt;= Table4[[#This Row],[StartMP]], ClosureLocation!$B$6 &lt;= Table4[[#This Row],[EndMP]]), "Yes", "")</f>
        <v/>
      </c>
      <c r="Q2044" s="1" t="str">
        <f>IF( AND( Table4[[#This Row],[Route]]=ClosureLocation!$B$3, ClosureLocation!$B$6 &lt;= Table4[[#This Row],[StartMP]], ClosureLocation!$B$6 &gt;= Table4[[#This Row],[EndMP]]), "Yes", "")</f>
        <v/>
      </c>
      <c r="R2044" s="1" t="str">
        <f>IF( OR( Table4[[#This Row],[PrimaryMatch]]="Yes", Table4[[#This Row],[SecondaryMatch]]="Yes"), "Yes", "")</f>
        <v/>
      </c>
    </row>
    <row r="2045" spans="1:18" hidden="1" x14ac:dyDescent="0.25">
      <c r="A2045" t="s">
        <v>1516</v>
      </c>
      <c r="B2045" t="s">
        <v>3209</v>
      </c>
      <c r="C2045" t="s">
        <v>3210</v>
      </c>
      <c r="D2045" t="s">
        <v>4296</v>
      </c>
      <c r="E2045" s="1">
        <v>289.59298699999999</v>
      </c>
      <c r="F2045" s="1">
        <v>289.15399200000002</v>
      </c>
      <c r="K2045" s="39">
        <f>DefaultValues!$B$4</f>
        <v>5</v>
      </c>
      <c r="L2045" s="1">
        <f>DefaultValues!$C$4</f>
        <v>0.5</v>
      </c>
      <c r="M2045" s="1" t="str">
        <f>DefaultValues!$D$4</f>
        <v xml:space="preserve">- Within interchange - </v>
      </c>
      <c r="N2045" s="1">
        <v>710.40698199999997</v>
      </c>
      <c r="O2045" s="1">
        <f>ABS(Table4[[#This Row],[EndMP]]-Table4[[#This Row],[StartMP]])</f>
        <v>0.43899499999997715</v>
      </c>
      <c r="P2045" s="1" t="str">
        <f>IF( AND( Table4[[#This Row],[Route]]=ClosureLocation!$B$3, ClosureLocation!$B$6 &gt;= Table4[[#This Row],[StartMP]], ClosureLocation!$B$6 &lt;= Table4[[#This Row],[EndMP]]), "Yes", "")</f>
        <v/>
      </c>
      <c r="Q2045" s="1" t="str">
        <f>IF( AND( Table4[[#This Row],[Route]]=ClosureLocation!$B$3, ClosureLocation!$B$6 &lt;= Table4[[#This Row],[StartMP]], ClosureLocation!$B$6 &gt;= Table4[[#This Row],[EndMP]]), "Yes", "")</f>
        <v/>
      </c>
      <c r="R2045" s="1" t="str">
        <f>IF( OR( Table4[[#This Row],[PrimaryMatch]]="Yes", Table4[[#This Row],[SecondaryMatch]]="Yes"), "Yes", "")</f>
        <v/>
      </c>
    </row>
    <row r="2046" spans="1:18" hidden="1" x14ac:dyDescent="0.25">
      <c r="A2046" t="s">
        <v>1516</v>
      </c>
      <c r="B2046" t="s">
        <v>3209</v>
      </c>
      <c r="C2046" t="s">
        <v>3210</v>
      </c>
      <c r="D2046" t="s">
        <v>4296</v>
      </c>
      <c r="E2046" s="1">
        <v>286.96701000000002</v>
      </c>
      <c r="F2046" s="1">
        <v>286.834991</v>
      </c>
      <c r="K2046" s="39">
        <f>DefaultValues!$B$4</f>
        <v>5</v>
      </c>
      <c r="L2046" s="1">
        <f>DefaultValues!$C$4</f>
        <v>0.5</v>
      </c>
      <c r="M2046" s="1" t="str">
        <f>DefaultValues!$D$4</f>
        <v xml:space="preserve">- Within interchange - </v>
      </c>
      <c r="N2046" s="1">
        <v>713.03301999999996</v>
      </c>
      <c r="O2046" s="1">
        <f>ABS(Table4[[#This Row],[EndMP]]-Table4[[#This Row],[StartMP]])</f>
        <v>0.13201900000001388</v>
      </c>
      <c r="P2046" s="1" t="str">
        <f>IF( AND( Table4[[#This Row],[Route]]=ClosureLocation!$B$3, ClosureLocation!$B$6 &gt;= Table4[[#This Row],[StartMP]], ClosureLocation!$B$6 &lt;= Table4[[#This Row],[EndMP]]), "Yes", "")</f>
        <v/>
      </c>
      <c r="Q2046" s="1" t="str">
        <f>IF( AND( Table4[[#This Row],[Route]]=ClosureLocation!$B$3, ClosureLocation!$B$6 &lt;= Table4[[#This Row],[StartMP]], ClosureLocation!$B$6 &gt;= Table4[[#This Row],[EndMP]]), "Yes", "")</f>
        <v/>
      </c>
      <c r="R2046" s="1" t="str">
        <f>IF( OR( Table4[[#This Row],[PrimaryMatch]]="Yes", Table4[[#This Row],[SecondaryMatch]]="Yes"), "Yes", "")</f>
        <v/>
      </c>
    </row>
    <row r="2047" spans="1:18" hidden="1" x14ac:dyDescent="0.25">
      <c r="A2047" t="s">
        <v>1516</v>
      </c>
      <c r="B2047" t="s">
        <v>3209</v>
      </c>
      <c r="C2047" t="s">
        <v>3210</v>
      </c>
      <c r="D2047" t="s">
        <v>4296</v>
      </c>
      <c r="E2047" s="1">
        <v>285.79800399999999</v>
      </c>
      <c r="F2047" s="1">
        <v>285.743988</v>
      </c>
      <c r="K2047" s="39">
        <f>DefaultValues!$B$4</f>
        <v>5</v>
      </c>
      <c r="L2047" s="1">
        <f>DefaultValues!$C$4</f>
        <v>0.5</v>
      </c>
      <c r="M2047" s="1" t="str">
        <f>DefaultValues!$D$4</f>
        <v xml:space="preserve">- Within interchange - </v>
      </c>
      <c r="N2047" s="1">
        <v>714.20202600000005</v>
      </c>
      <c r="O2047" s="1">
        <f>ABS(Table4[[#This Row],[EndMP]]-Table4[[#This Row],[StartMP]])</f>
        <v>5.4015999999990072E-2</v>
      </c>
      <c r="P2047" s="1" t="str">
        <f>IF( AND( Table4[[#This Row],[Route]]=ClosureLocation!$B$3, ClosureLocation!$B$6 &gt;= Table4[[#This Row],[StartMP]], ClosureLocation!$B$6 &lt;= Table4[[#This Row],[EndMP]]), "Yes", "")</f>
        <v/>
      </c>
      <c r="Q2047" s="1" t="str">
        <f>IF( AND( Table4[[#This Row],[Route]]=ClosureLocation!$B$3, ClosureLocation!$B$6 &lt;= Table4[[#This Row],[StartMP]], ClosureLocation!$B$6 &gt;= Table4[[#This Row],[EndMP]]), "Yes", "")</f>
        <v/>
      </c>
      <c r="R2047" s="1" t="str">
        <f>IF( OR( Table4[[#This Row],[PrimaryMatch]]="Yes", Table4[[#This Row],[SecondaryMatch]]="Yes"), "Yes", "")</f>
        <v/>
      </c>
    </row>
    <row r="2048" spans="1:18" hidden="1" x14ac:dyDescent="0.25">
      <c r="A2048" t="s">
        <v>1516</v>
      </c>
      <c r="B2048" t="s">
        <v>3209</v>
      </c>
      <c r="C2048" t="s">
        <v>3210</v>
      </c>
      <c r="D2048" t="s">
        <v>4296</v>
      </c>
      <c r="E2048" s="1">
        <v>282.85998499999999</v>
      </c>
      <c r="F2048" s="1">
        <v>282.73098800000002</v>
      </c>
      <c r="K2048" s="39">
        <f>DefaultValues!$B$4</f>
        <v>5</v>
      </c>
      <c r="L2048" s="1">
        <f>DefaultValues!$C$4</f>
        <v>0.5</v>
      </c>
      <c r="M2048" s="1" t="str">
        <f>DefaultValues!$D$4</f>
        <v xml:space="preserve">- Within interchange - </v>
      </c>
      <c r="N2048" s="1">
        <v>717.14001499999995</v>
      </c>
      <c r="O2048" s="1">
        <f>ABS(Table4[[#This Row],[EndMP]]-Table4[[#This Row],[StartMP]])</f>
        <v>0.12899699999996983</v>
      </c>
      <c r="P2048" s="1" t="str">
        <f>IF( AND( Table4[[#This Row],[Route]]=ClosureLocation!$B$3, ClosureLocation!$B$6 &gt;= Table4[[#This Row],[StartMP]], ClosureLocation!$B$6 &lt;= Table4[[#This Row],[EndMP]]), "Yes", "")</f>
        <v/>
      </c>
      <c r="Q2048" s="1" t="str">
        <f>IF( AND( Table4[[#This Row],[Route]]=ClosureLocation!$B$3, ClosureLocation!$B$6 &lt;= Table4[[#This Row],[StartMP]], ClosureLocation!$B$6 &gt;= Table4[[#This Row],[EndMP]]), "Yes", "")</f>
        <v/>
      </c>
      <c r="R2048" s="1" t="str">
        <f>IF( OR( Table4[[#This Row],[PrimaryMatch]]="Yes", Table4[[#This Row],[SecondaryMatch]]="Yes"), "Yes", "")</f>
        <v/>
      </c>
    </row>
    <row r="2049" spans="1:18" hidden="1" x14ac:dyDescent="0.25">
      <c r="A2049" t="s">
        <v>1569</v>
      </c>
      <c r="B2049" t="s">
        <v>3205</v>
      </c>
      <c r="C2049" t="s">
        <v>3222</v>
      </c>
      <c r="D2049" t="s">
        <v>4310</v>
      </c>
      <c r="E2049" s="1">
        <v>0.47799999999999998</v>
      </c>
      <c r="F2049" s="1">
        <v>0.55100000000000005</v>
      </c>
      <c r="K2049" s="39">
        <f>DefaultValues!$B$4</f>
        <v>5</v>
      </c>
      <c r="L2049" s="1">
        <f>DefaultValues!$C$4</f>
        <v>0.5</v>
      </c>
      <c r="M2049" s="1" t="str">
        <f>DefaultValues!$D$4</f>
        <v xml:space="preserve">- Within interchange - </v>
      </c>
      <c r="N2049" s="1">
        <v>0.47799999999999998</v>
      </c>
      <c r="O2049" s="1">
        <f>ABS(Table4[[#This Row],[EndMP]]-Table4[[#This Row],[StartMP]])</f>
        <v>7.3000000000000065E-2</v>
      </c>
      <c r="P2049" s="1" t="str">
        <f>IF( AND( Table4[[#This Row],[Route]]=ClosureLocation!$B$3, ClosureLocation!$B$6 &gt;= Table4[[#This Row],[StartMP]], ClosureLocation!$B$6 &lt;= Table4[[#This Row],[EndMP]]), "Yes", "")</f>
        <v/>
      </c>
      <c r="Q2049" s="1" t="str">
        <f>IF( AND( Table4[[#This Row],[Route]]=ClosureLocation!$B$3, ClosureLocation!$B$6 &lt;= Table4[[#This Row],[StartMP]], ClosureLocation!$B$6 &gt;= Table4[[#This Row],[EndMP]]), "Yes", "")</f>
        <v/>
      </c>
      <c r="R2049" s="1" t="str">
        <f>IF( OR( Table4[[#This Row],[PrimaryMatch]]="Yes", Table4[[#This Row],[SecondaryMatch]]="Yes"), "Yes", "")</f>
        <v/>
      </c>
    </row>
    <row r="2050" spans="1:18" hidden="1" x14ac:dyDescent="0.25">
      <c r="A2050" t="s">
        <v>1569</v>
      </c>
      <c r="B2050" t="s">
        <v>3209</v>
      </c>
      <c r="C2050" t="s">
        <v>3226</v>
      </c>
      <c r="D2050" t="s">
        <v>4312</v>
      </c>
      <c r="E2050" s="1">
        <v>0.55100000000000005</v>
      </c>
      <c r="F2050" s="1">
        <v>0.47799999999999998</v>
      </c>
      <c r="K2050" s="39">
        <f>DefaultValues!$B$4</f>
        <v>5</v>
      </c>
      <c r="L2050" s="1">
        <f>DefaultValues!$C$4</f>
        <v>0.5</v>
      </c>
      <c r="M2050" s="1" t="str">
        <f>DefaultValues!$D$4</f>
        <v xml:space="preserve">- Within interchange - </v>
      </c>
      <c r="N2050" s="1">
        <v>999.44897500000002</v>
      </c>
      <c r="O2050" s="1">
        <f>ABS(Table4[[#This Row],[EndMP]]-Table4[[#This Row],[StartMP]])</f>
        <v>7.3000000000000065E-2</v>
      </c>
      <c r="P2050" s="1" t="str">
        <f>IF( AND( Table4[[#This Row],[Route]]=ClosureLocation!$B$3, ClosureLocation!$B$6 &gt;= Table4[[#This Row],[StartMP]], ClosureLocation!$B$6 &lt;= Table4[[#This Row],[EndMP]]), "Yes", "")</f>
        <v/>
      </c>
      <c r="Q2050" s="1" t="str">
        <f>IF( AND( Table4[[#This Row],[Route]]=ClosureLocation!$B$3, ClosureLocation!$B$6 &lt;= Table4[[#This Row],[StartMP]], ClosureLocation!$B$6 &gt;= Table4[[#This Row],[EndMP]]), "Yes", "")</f>
        <v/>
      </c>
      <c r="R2050" s="1" t="str">
        <f>IF( OR( Table4[[#This Row],[PrimaryMatch]]="Yes", Table4[[#This Row],[SecondaryMatch]]="Yes"), "Yes", "")</f>
        <v/>
      </c>
    </row>
    <row r="2051" spans="1:18" hidden="1" x14ac:dyDescent="0.25">
      <c r="A2051" t="s">
        <v>1605</v>
      </c>
      <c r="B2051" t="s">
        <v>3205</v>
      </c>
      <c r="C2051" t="s">
        <v>3206</v>
      </c>
      <c r="D2051" t="s">
        <v>4346</v>
      </c>
      <c r="E2051" s="1">
        <v>187.36599699999999</v>
      </c>
      <c r="F2051" s="1">
        <v>187.462997</v>
      </c>
      <c r="K2051" s="39">
        <f>DefaultValues!$B$4</f>
        <v>5</v>
      </c>
      <c r="L2051" s="1">
        <f>DefaultValues!$C$4</f>
        <v>0.5</v>
      </c>
      <c r="M2051" s="1" t="str">
        <f>DefaultValues!$D$4</f>
        <v xml:space="preserve">- Within interchange - </v>
      </c>
      <c r="N2051" s="1">
        <v>187.36599699999999</v>
      </c>
      <c r="O2051" s="1">
        <f>ABS(Table4[[#This Row],[EndMP]]-Table4[[#This Row],[StartMP]])</f>
        <v>9.7000000000008413E-2</v>
      </c>
      <c r="P2051" s="1" t="str">
        <f>IF( AND( Table4[[#This Row],[Route]]=ClosureLocation!$B$3, ClosureLocation!$B$6 &gt;= Table4[[#This Row],[StartMP]], ClosureLocation!$B$6 &lt;= Table4[[#This Row],[EndMP]]), "Yes", "")</f>
        <v/>
      </c>
      <c r="Q2051" s="1" t="str">
        <f>IF( AND( Table4[[#This Row],[Route]]=ClosureLocation!$B$3, ClosureLocation!$B$6 &lt;= Table4[[#This Row],[StartMP]], ClosureLocation!$B$6 &gt;= Table4[[#This Row],[EndMP]]), "Yes", "")</f>
        <v/>
      </c>
      <c r="R2051" s="1" t="str">
        <f>IF( OR( Table4[[#This Row],[PrimaryMatch]]="Yes", Table4[[#This Row],[SecondaryMatch]]="Yes"), "Yes", "")</f>
        <v/>
      </c>
    </row>
    <row r="2052" spans="1:18" hidden="1" x14ac:dyDescent="0.25">
      <c r="A2052" t="s">
        <v>1605</v>
      </c>
      <c r="B2052" t="s">
        <v>3209</v>
      </c>
      <c r="C2052" t="s">
        <v>3210</v>
      </c>
      <c r="D2052" t="s">
        <v>4350</v>
      </c>
      <c r="E2052" s="1">
        <v>187.462997</v>
      </c>
      <c r="F2052" s="1">
        <v>187.36599699999999</v>
      </c>
      <c r="K2052" s="39">
        <f>DefaultValues!$B$4</f>
        <v>5</v>
      </c>
      <c r="L2052" s="1">
        <f>DefaultValues!$C$4</f>
        <v>0.5</v>
      </c>
      <c r="M2052" s="1" t="str">
        <f>DefaultValues!$D$4</f>
        <v xml:space="preserve">- Within interchange - </v>
      </c>
      <c r="N2052" s="1">
        <v>812.53698699999995</v>
      </c>
      <c r="O2052" s="1">
        <f>ABS(Table4[[#This Row],[EndMP]]-Table4[[#This Row],[StartMP]])</f>
        <v>9.7000000000008413E-2</v>
      </c>
      <c r="P2052" s="1" t="str">
        <f>IF( AND( Table4[[#This Row],[Route]]=ClosureLocation!$B$3, ClosureLocation!$B$6 &gt;= Table4[[#This Row],[StartMP]], ClosureLocation!$B$6 &lt;= Table4[[#This Row],[EndMP]]), "Yes", "")</f>
        <v/>
      </c>
      <c r="Q2052" s="1" t="str">
        <f>IF( AND( Table4[[#This Row],[Route]]=ClosureLocation!$B$3, ClosureLocation!$B$6 &lt;= Table4[[#This Row],[StartMP]], ClosureLocation!$B$6 &gt;= Table4[[#This Row],[EndMP]]), "Yes", "")</f>
        <v/>
      </c>
      <c r="R2052" s="1" t="str">
        <f>IF( OR( Table4[[#This Row],[PrimaryMatch]]="Yes", Table4[[#This Row],[SecondaryMatch]]="Yes"), "Yes", "")</f>
        <v/>
      </c>
    </row>
    <row r="2053" spans="1:18" hidden="1" x14ac:dyDescent="0.25">
      <c r="A2053" t="s">
        <v>1615</v>
      </c>
      <c r="B2053" t="s">
        <v>3205</v>
      </c>
      <c r="C2053" t="s">
        <v>3206</v>
      </c>
      <c r="D2053" t="s">
        <v>4354</v>
      </c>
      <c r="E2053" s="1">
        <v>309.09698500000002</v>
      </c>
      <c r="F2053" s="1">
        <v>309.21701000000002</v>
      </c>
      <c r="K2053" s="39">
        <f>DefaultValues!$B$4</f>
        <v>5</v>
      </c>
      <c r="L2053" s="1">
        <f>DefaultValues!$C$4</f>
        <v>0.5</v>
      </c>
      <c r="M2053" s="1" t="str">
        <f>DefaultValues!$D$4</f>
        <v xml:space="preserve">- Within interchange - </v>
      </c>
      <c r="N2053" s="1">
        <v>309.09698500000002</v>
      </c>
      <c r="O2053" s="1">
        <f>ABS(Table4[[#This Row],[EndMP]]-Table4[[#This Row],[StartMP]])</f>
        <v>0.12002499999999827</v>
      </c>
      <c r="P2053" s="1" t="str">
        <f>IF( AND( Table4[[#This Row],[Route]]=ClosureLocation!$B$3, ClosureLocation!$B$6 &gt;= Table4[[#This Row],[StartMP]], ClosureLocation!$B$6 &lt;= Table4[[#This Row],[EndMP]]), "Yes", "")</f>
        <v/>
      </c>
      <c r="Q2053" s="1" t="str">
        <f>IF( AND( Table4[[#This Row],[Route]]=ClosureLocation!$B$3, ClosureLocation!$B$6 &lt;= Table4[[#This Row],[StartMP]], ClosureLocation!$B$6 &gt;= Table4[[#This Row],[EndMP]]), "Yes", "")</f>
        <v/>
      </c>
      <c r="R2053" s="1" t="str">
        <f>IF( OR( Table4[[#This Row],[PrimaryMatch]]="Yes", Table4[[#This Row],[SecondaryMatch]]="Yes"), "Yes", "")</f>
        <v/>
      </c>
    </row>
    <row r="2054" spans="1:18" hidden="1" x14ac:dyDescent="0.25">
      <c r="A2054" t="s">
        <v>1615</v>
      </c>
      <c r="B2054" t="s">
        <v>3205</v>
      </c>
      <c r="C2054" t="s">
        <v>3206</v>
      </c>
      <c r="D2054" t="s">
        <v>4354</v>
      </c>
      <c r="E2054" s="1">
        <v>310.95001200000002</v>
      </c>
      <c r="F2054" s="1">
        <v>310.99600199999998</v>
      </c>
      <c r="K2054" s="39">
        <f>DefaultValues!$B$4</f>
        <v>5</v>
      </c>
      <c r="L2054" s="1">
        <f>DefaultValues!$C$4</f>
        <v>0.5</v>
      </c>
      <c r="M2054" s="1" t="str">
        <f>DefaultValues!$D$4</f>
        <v xml:space="preserve">- Within interchange - </v>
      </c>
      <c r="N2054" s="1">
        <v>310.95001200000002</v>
      </c>
      <c r="O2054" s="1">
        <f>ABS(Table4[[#This Row],[EndMP]]-Table4[[#This Row],[StartMP]])</f>
        <v>4.5989999999960673E-2</v>
      </c>
      <c r="P2054" s="1" t="str">
        <f>IF( AND( Table4[[#This Row],[Route]]=ClosureLocation!$B$3, ClosureLocation!$B$6 &gt;= Table4[[#This Row],[StartMP]], ClosureLocation!$B$6 &lt;= Table4[[#This Row],[EndMP]]), "Yes", "")</f>
        <v/>
      </c>
      <c r="Q2054" s="1" t="str">
        <f>IF( AND( Table4[[#This Row],[Route]]=ClosureLocation!$B$3, ClosureLocation!$B$6 &lt;= Table4[[#This Row],[StartMP]], ClosureLocation!$B$6 &gt;= Table4[[#This Row],[EndMP]]), "Yes", "")</f>
        <v/>
      </c>
      <c r="R2054" s="1" t="str">
        <f>IF( OR( Table4[[#This Row],[PrimaryMatch]]="Yes", Table4[[#This Row],[SecondaryMatch]]="Yes"), "Yes", "")</f>
        <v/>
      </c>
    </row>
    <row r="2055" spans="1:18" hidden="1" x14ac:dyDescent="0.25">
      <c r="A2055" t="s">
        <v>1615</v>
      </c>
      <c r="B2055" t="s">
        <v>3209</v>
      </c>
      <c r="C2055" t="s">
        <v>3210</v>
      </c>
      <c r="D2055" t="s">
        <v>4359</v>
      </c>
      <c r="E2055" s="1">
        <v>310.99600199999998</v>
      </c>
      <c r="F2055" s="1">
        <v>310.95001200000002</v>
      </c>
      <c r="K2055" s="39">
        <f>DefaultValues!$B$4</f>
        <v>5</v>
      </c>
      <c r="L2055" s="1">
        <f>DefaultValues!$C$4</f>
        <v>0.5</v>
      </c>
      <c r="M2055" s="1" t="str">
        <f>DefaultValues!$D$4</f>
        <v xml:space="preserve">- Within interchange - </v>
      </c>
      <c r="N2055" s="1">
        <v>689.00402799999995</v>
      </c>
      <c r="O2055" s="1">
        <f>ABS(Table4[[#This Row],[EndMP]]-Table4[[#This Row],[StartMP]])</f>
        <v>4.5989999999960673E-2</v>
      </c>
      <c r="P2055" s="1" t="str">
        <f>IF( AND( Table4[[#This Row],[Route]]=ClosureLocation!$B$3, ClosureLocation!$B$6 &gt;= Table4[[#This Row],[StartMP]], ClosureLocation!$B$6 &lt;= Table4[[#This Row],[EndMP]]), "Yes", "")</f>
        <v/>
      </c>
      <c r="Q2055" s="1" t="str">
        <f>IF( AND( Table4[[#This Row],[Route]]=ClosureLocation!$B$3, ClosureLocation!$B$6 &lt;= Table4[[#This Row],[StartMP]], ClosureLocation!$B$6 &gt;= Table4[[#This Row],[EndMP]]), "Yes", "")</f>
        <v/>
      </c>
      <c r="R2055" s="1" t="str">
        <f>IF( OR( Table4[[#This Row],[PrimaryMatch]]="Yes", Table4[[#This Row],[SecondaryMatch]]="Yes"), "Yes", "")</f>
        <v/>
      </c>
    </row>
    <row r="2056" spans="1:18" hidden="1" x14ac:dyDescent="0.25">
      <c r="A2056" t="s">
        <v>1615</v>
      </c>
      <c r="B2056" t="s">
        <v>3209</v>
      </c>
      <c r="C2056" t="s">
        <v>3210</v>
      </c>
      <c r="D2056" t="s">
        <v>4359</v>
      </c>
      <c r="E2056" s="1">
        <v>309.21701000000002</v>
      </c>
      <c r="F2056" s="1">
        <v>309.09698500000002</v>
      </c>
      <c r="K2056" s="39">
        <f>DefaultValues!$B$4</f>
        <v>5</v>
      </c>
      <c r="L2056" s="1">
        <f>DefaultValues!$C$4</f>
        <v>0.5</v>
      </c>
      <c r="M2056" s="1" t="str">
        <f>DefaultValues!$D$4</f>
        <v xml:space="preserve">- Within interchange - </v>
      </c>
      <c r="N2056" s="1">
        <v>690.78301999999996</v>
      </c>
      <c r="O2056" s="1">
        <f>ABS(Table4[[#This Row],[EndMP]]-Table4[[#This Row],[StartMP]])</f>
        <v>0.12002499999999827</v>
      </c>
      <c r="P2056" s="1" t="str">
        <f>IF( AND( Table4[[#This Row],[Route]]=ClosureLocation!$B$3, ClosureLocation!$B$6 &gt;= Table4[[#This Row],[StartMP]], ClosureLocation!$B$6 &lt;= Table4[[#This Row],[EndMP]]), "Yes", "")</f>
        <v/>
      </c>
      <c r="Q2056" s="1" t="str">
        <f>IF( AND( Table4[[#This Row],[Route]]=ClosureLocation!$B$3, ClosureLocation!$B$6 &lt;= Table4[[#This Row],[StartMP]], ClosureLocation!$B$6 &gt;= Table4[[#This Row],[EndMP]]), "Yes", "")</f>
        <v/>
      </c>
      <c r="R2056" s="1" t="str">
        <f>IF( OR( Table4[[#This Row],[PrimaryMatch]]="Yes", Table4[[#This Row],[SecondaryMatch]]="Yes"), "Yes", "")</f>
        <v/>
      </c>
    </row>
    <row r="2057" spans="1:18" hidden="1" x14ac:dyDescent="0.25">
      <c r="A2057" t="s">
        <v>1627</v>
      </c>
      <c r="B2057" t="s">
        <v>3205</v>
      </c>
      <c r="C2057" t="s">
        <v>3206</v>
      </c>
      <c r="D2057" t="s">
        <v>4370</v>
      </c>
      <c r="E2057" s="1">
        <v>0</v>
      </c>
      <c r="F2057" s="1">
        <v>5.8999999999999997E-2</v>
      </c>
      <c r="K2057" s="39">
        <f>DefaultValues!$B$4</f>
        <v>5</v>
      </c>
      <c r="L2057" s="1">
        <f>DefaultValues!$C$4</f>
        <v>0.5</v>
      </c>
      <c r="M2057" s="1" t="str">
        <f>DefaultValues!$D$4</f>
        <v xml:space="preserve">- Within interchange - </v>
      </c>
      <c r="N2057" s="1">
        <v>0</v>
      </c>
      <c r="O2057" s="1">
        <f>ABS(Table4[[#This Row],[EndMP]]-Table4[[#This Row],[StartMP]])</f>
        <v>5.8999999999999997E-2</v>
      </c>
      <c r="P2057" s="1" t="str">
        <f>IF( AND( Table4[[#This Row],[Route]]=ClosureLocation!$B$3, ClosureLocation!$B$6 &gt;= Table4[[#This Row],[StartMP]], ClosureLocation!$B$6 &lt;= Table4[[#This Row],[EndMP]]), "Yes", "")</f>
        <v/>
      </c>
      <c r="Q2057" s="1" t="str">
        <f>IF( AND( Table4[[#This Row],[Route]]=ClosureLocation!$B$3, ClosureLocation!$B$6 &lt;= Table4[[#This Row],[StartMP]], ClosureLocation!$B$6 &gt;= Table4[[#This Row],[EndMP]]), "Yes", "")</f>
        <v/>
      </c>
      <c r="R2057" s="1" t="str">
        <f>IF( OR( Table4[[#This Row],[PrimaryMatch]]="Yes", Table4[[#This Row],[SecondaryMatch]]="Yes"), "Yes", "")</f>
        <v/>
      </c>
    </row>
    <row r="2058" spans="1:18" hidden="1" x14ac:dyDescent="0.25">
      <c r="A2058" t="s">
        <v>1627</v>
      </c>
      <c r="B2058" t="s">
        <v>3205</v>
      </c>
      <c r="C2058" t="s">
        <v>3206</v>
      </c>
      <c r="D2058" t="s">
        <v>4370</v>
      </c>
      <c r="E2058" s="1">
        <v>5.08</v>
      </c>
      <c r="F2058" s="1">
        <v>5.3490000000000002</v>
      </c>
      <c r="K2058" s="39">
        <f>DefaultValues!$B$4</f>
        <v>5</v>
      </c>
      <c r="L2058" s="1">
        <f>DefaultValues!$C$4</f>
        <v>0.5</v>
      </c>
      <c r="M2058" s="1" t="str">
        <f>DefaultValues!$D$4</f>
        <v xml:space="preserve">- Within interchange - </v>
      </c>
      <c r="N2058" s="1">
        <v>5.08</v>
      </c>
      <c r="O2058" s="1">
        <f>ABS(Table4[[#This Row],[EndMP]]-Table4[[#This Row],[StartMP]])</f>
        <v>0.26900000000000013</v>
      </c>
      <c r="P2058" s="1" t="str">
        <f>IF( AND( Table4[[#This Row],[Route]]=ClosureLocation!$B$3, ClosureLocation!$B$6 &gt;= Table4[[#This Row],[StartMP]], ClosureLocation!$B$6 &lt;= Table4[[#This Row],[EndMP]]), "Yes", "")</f>
        <v/>
      </c>
      <c r="Q2058" s="1" t="str">
        <f>IF( AND( Table4[[#This Row],[Route]]=ClosureLocation!$B$3, ClosureLocation!$B$6 &lt;= Table4[[#This Row],[StartMP]], ClosureLocation!$B$6 &gt;= Table4[[#This Row],[EndMP]]), "Yes", "")</f>
        <v/>
      </c>
      <c r="R2058" s="1" t="str">
        <f>IF( OR( Table4[[#This Row],[PrimaryMatch]]="Yes", Table4[[#This Row],[SecondaryMatch]]="Yes"), "Yes", "")</f>
        <v/>
      </c>
    </row>
    <row r="2059" spans="1:18" hidden="1" x14ac:dyDescent="0.25">
      <c r="A2059" t="s">
        <v>1627</v>
      </c>
      <c r="B2059" t="s">
        <v>3205</v>
      </c>
      <c r="C2059" t="s">
        <v>3206</v>
      </c>
      <c r="D2059" t="s">
        <v>4370</v>
      </c>
      <c r="E2059" s="1">
        <v>9.5009999999999994</v>
      </c>
      <c r="F2059" s="1">
        <v>9.641</v>
      </c>
      <c r="K2059" s="39">
        <f>DefaultValues!$B$4</f>
        <v>5</v>
      </c>
      <c r="L2059" s="1">
        <f>DefaultValues!$C$4</f>
        <v>0.5</v>
      </c>
      <c r="M2059" s="1" t="str">
        <f>DefaultValues!$D$4</f>
        <v xml:space="preserve">- Within interchange - </v>
      </c>
      <c r="N2059" s="1">
        <v>9.5009999999999994</v>
      </c>
      <c r="O2059" s="1">
        <f>ABS(Table4[[#This Row],[EndMP]]-Table4[[#This Row],[StartMP]])</f>
        <v>0.14000000000000057</v>
      </c>
      <c r="P2059" s="1" t="str">
        <f>IF( AND( Table4[[#This Row],[Route]]=ClosureLocation!$B$3, ClosureLocation!$B$6 &gt;= Table4[[#This Row],[StartMP]], ClosureLocation!$B$6 &lt;= Table4[[#This Row],[EndMP]]), "Yes", "")</f>
        <v/>
      </c>
      <c r="Q2059" s="1" t="str">
        <f>IF( AND( Table4[[#This Row],[Route]]=ClosureLocation!$B$3, ClosureLocation!$B$6 &lt;= Table4[[#This Row],[StartMP]], ClosureLocation!$B$6 &gt;= Table4[[#This Row],[EndMP]]), "Yes", "")</f>
        <v/>
      </c>
      <c r="R2059" s="1" t="str">
        <f>IF( OR( Table4[[#This Row],[PrimaryMatch]]="Yes", Table4[[#This Row],[SecondaryMatch]]="Yes"), "Yes", "")</f>
        <v/>
      </c>
    </row>
    <row r="2060" spans="1:18" hidden="1" x14ac:dyDescent="0.25">
      <c r="A2060" t="s">
        <v>1627</v>
      </c>
      <c r="B2060" t="s">
        <v>3209</v>
      </c>
      <c r="C2060" t="s">
        <v>3210</v>
      </c>
      <c r="D2060" t="s">
        <v>4374</v>
      </c>
      <c r="E2060" s="1">
        <v>9.641</v>
      </c>
      <c r="F2060" s="1">
        <v>9.5009999999999994</v>
      </c>
      <c r="K2060" s="39">
        <f>DefaultValues!$B$4</f>
        <v>5</v>
      </c>
      <c r="L2060" s="1">
        <f>DefaultValues!$C$4</f>
        <v>0.5</v>
      </c>
      <c r="M2060" s="1" t="str">
        <f>DefaultValues!$D$4</f>
        <v xml:space="preserve">- Within interchange - </v>
      </c>
      <c r="N2060" s="1">
        <v>990.35900900000001</v>
      </c>
      <c r="O2060" s="1">
        <f>ABS(Table4[[#This Row],[EndMP]]-Table4[[#This Row],[StartMP]])</f>
        <v>0.14000000000000057</v>
      </c>
      <c r="P2060" s="1" t="str">
        <f>IF( AND( Table4[[#This Row],[Route]]=ClosureLocation!$B$3, ClosureLocation!$B$6 &gt;= Table4[[#This Row],[StartMP]], ClosureLocation!$B$6 &lt;= Table4[[#This Row],[EndMP]]), "Yes", "")</f>
        <v/>
      </c>
      <c r="Q2060" s="1" t="str">
        <f>IF( AND( Table4[[#This Row],[Route]]=ClosureLocation!$B$3, ClosureLocation!$B$6 &lt;= Table4[[#This Row],[StartMP]], ClosureLocation!$B$6 &gt;= Table4[[#This Row],[EndMP]]), "Yes", "")</f>
        <v/>
      </c>
      <c r="R2060" s="1" t="str">
        <f>IF( OR( Table4[[#This Row],[PrimaryMatch]]="Yes", Table4[[#This Row],[SecondaryMatch]]="Yes"), "Yes", "")</f>
        <v/>
      </c>
    </row>
    <row r="2061" spans="1:18" hidden="1" x14ac:dyDescent="0.25">
      <c r="A2061" t="s">
        <v>1627</v>
      </c>
      <c r="B2061" t="s">
        <v>3209</v>
      </c>
      <c r="C2061" t="s">
        <v>3210</v>
      </c>
      <c r="D2061" t="s">
        <v>4374</v>
      </c>
      <c r="E2061" s="1">
        <v>5.3490000000000002</v>
      </c>
      <c r="F2061" s="1">
        <v>5.08</v>
      </c>
      <c r="K2061" s="39">
        <f>DefaultValues!$B$4</f>
        <v>5</v>
      </c>
      <c r="L2061" s="1">
        <f>DefaultValues!$C$4</f>
        <v>0.5</v>
      </c>
      <c r="M2061" s="1" t="str">
        <f>DefaultValues!$D$4</f>
        <v xml:space="preserve">- Within interchange - </v>
      </c>
      <c r="N2061" s="1">
        <v>994.65100099999995</v>
      </c>
      <c r="O2061" s="1">
        <f>ABS(Table4[[#This Row],[EndMP]]-Table4[[#This Row],[StartMP]])</f>
        <v>0.26900000000000013</v>
      </c>
      <c r="P2061" s="1" t="str">
        <f>IF( AND( Table4[[#This Row],[Route]]=ClosureLocation!$B$3, ClosureLocation!$B$6 &gt;= Table4[[#This Row],[StartMP]], ClosureLocation!$B$6 &lt;= Table4[[#This Row],[EndMP]]), "Yes", "")</f>
        <v/>
      </c>
      <c r="Q2061" s="1" t="str">
        <f>IF( AND( Table4[[#This Row],[Route]]=ClosureLocation!$B$3, ClosureLocation!$B$6 &lt;= Table4[[#This Row],[StartMP]], ClosureLocation!$B$6 &gt;= Table4[[#This Row],[EndMP]]), "Yes", "")</f>
        <v/>
      </c>
      <c r="R2061" s="1" t="str">
        <f>IF( OR( Table4[[#This Row],[PrimaryMatch]]="Yes", Table4[[#This Row],[SecondaryMatch]]="Yes"), "Yes", "")</f>
        <v/>
      </c>
    </row>
    <row r="2062" spans="1:18" hidden="1" x14ac:dyDescent="0.25">
      <c r="A2062" t="s">
        <v>1627</v>
      </c>
      <c r="B2062" t="s">
        <v>3209</v>
      </c>
      <c r="C2062" t="s">
        <v>3210</v>
      </c>
      <c r="D2062" t="s">
        <v>4374</v>
      </c>
      <c r="E2062" s="1">
        <v>5.8999999999999997E-2</v>
      </c>
      <c r="F2062" s="1">
        <v>0</v>
      </c>
      <c r="K2062" s="39">
        <f>DefaultValues!$B$4</f>
        <v>5</v>
      </c>
      <c r="L2062" s="1">
        <f>DefaultValues!$C$4</f>
        <v>0.5</v>
      </c>
      <c r="M2062" s="1" t="str">
        <f>DefaultValues!$D$4</f>
        <v xml:space="preserve">- Within interchange - </v>
      </c>
      <c r="N2062" s="1">
        <v>999.94097899999997</v>
      </c>
      <c r="O2062" s="1">
        <f>ABS(Table4[[#This Row],[EndMP]]-Table4[[#This Row],[StartMP]])</f>
        <v>5.8999999999999997E-2</v>
      </c>
      <c r="P2062" s="1" t="str">
        <f>IF( AND( Table4[[#This Row],[Route]]=ClosureLocation!$B$3, ClosureLocation!$B$6 &gt;= Table4[[#This Row],[StartMP]], ClosureLocation!$B$6 &lt;= Table4[[#This Row],[EndMP]]), "Yes", "")</f>
        <v/>
      </c>
      <c r="Q2062" s="1" t="str">
        <f>IF( AND( Table4[[#This Row],[Route]]=ClosureLocation!$B$3, ClosureLocation!$B$6 &lt;= Table4[[#This Row],[StartMP]], ClosureLocation!$B$6 &gt;= Table4[[#This Row],[EndMP]]), "Yes", "")</f>
        <v/>
      </c>
      <c r="R2062" s="1" t="str">
        <f>IF( OR( Table4[[#This Row],[PrimaryMatch]]="Yes", Table4[[#This Row],[SecondaryMatch]]="Yes"), "Yes", "")</f>
        <v/>
      </c>
    </row>
    <row r="2063" spans="1:18" hidden="1" x14ac:dyDescent="0.25">
      <c r="A2063" t="s">
        <v>1630</v>
      </c>
      <c r="B2063" t="s">
        <v>3205</v>
      </c>
      <c r="C2063" t="s">
        <v>3222</v>
      </c>
      <c r="D2063" t="s">
        <v>4378</v>
      </c>
      <c r="E2063" s="1">
        <v>99.911002999999994</v>
      </c>
      <c r="F2063" s="1">
        <v>100.07199900000001</v>
      </c>
      <c r="K2063" s="39">
        <f>DefaultValues!$B$4</f>
        <v>5</v>
      </c>
      <c r="L2063" s="1">
        <f>DefaultValues!$C$4</f>
        <v>0.5</v>
      </c>
      <c r="M2063" s="1" t="str">
        <f>DefaultValues!$D$4</f>
        <v xml:space="preserve">- Within interchange - </v>
      </c>
      <c r="N2063" s="1">
        <v>99.911002999999994</v>
      </c>
      <c r="O2063" s="1">
        <f>ABS(Table4[[#This Row],[EndMP]]-Table4[[#This Row],[StartMP]])</f>
        <v>0.16099600000001146</v>
      </c>
      <c r="P2063" s="1" t="str">
        <f>IF( AND( Table4[[#This Row],[Route]]=ClosureLocation!$B$3, ClosureLocation!$B$6 &gt;= Table4[[#This Row],[StartMP]], ClosureLocation!$B$6 &lt;= Table4[[#This Row],[EndMP]]), "Yes", "")</f>
        <v/>
      </c>
      <c r="Q2063" s="1" t="str">
        <f>IF( AND( Table4[[#This Row],[Route]]=ClosureLocation!$B$3, ClosureLocation!$B$6 &lt;= Table4[[#This Row],[StartMP]], ClosureLocation!$B$6 &gt;= Table4[[#This Row],[EndMP]]), "Yes", "")</f>
        <v/>
      </c>
      <c r="R2063" s="1" t="str">
        <f>IF( OR( Table4[[#This Row],[PrimaryMatch]]="Yes", Table4[[#This Row],[SecondaryMatch]]="Yes"), "Yes", "")</f>
        <v/>
      </c>
    </row>
    <row r="2064" spans="1:18" hidden="1" x14ac:dyDescent="0.25">
      <c r="A2064" t="s">
        <v>1630</v>
      </c>
      <c r="B2064" t="s">
        <v>3209</v>
      </c>
      <c r="C2064" t="s">
        <v>3226</v>
      </c>
      <c r="D2064" t="s">
        <v>4380</v>
      </c>
      <c r="E2064" s="1">
        <v>100.07199900000001</v>
      </c>
      <c r="F2064" s="1">
        <v>99.911002999999994</v>
      </c>
      <c r="K2064" s="39">
        <f>DefaultValues!$B$4</f>
        <v>5</v>
      </c>
      <c r="L2064" s="1">
        <f>DefaultValues!$C$4</f>
        <v>0.5</v>
      </c>
      <c r="M2064" s="1" t="str">
        <f>DefaultValues!$D$4</f>
        <v xml:space="preserve">- Within interchange - </v>
      </c>
      <c r="N2064" s="1">
        <v>899.92797900000005</v>
      </c>
      <c r="O2064" s="1">
        <f>ABS(Table4[[#This Row],[EndMP]]-Table4[[#This Row],[StartMP]])</f>
        <v>0.16099600000001146</v>
      </c>
      <c r="P2064" s="1" t="str">
        <f>IF( AND( Table4[[#This Row],[Route]]=ClosureLocation!$B$3, ClosureLocation!$B$6 &gt;= Table4[[#This Row],[StartMP]], ClosureLocation!$B$6 &lt;= Table4[[#This Row],[EndMP]]), "Yes", "")</f>
        <v/>
      </c>
      <c r="Q2064" s="1" t="str">
        <f>IF( AND( Table4[[#This Row],[Route]]=ClosureLocation!$B$3, ClosureLocation!$B$6 &lt;= Table4[[#This Row],[StartMP]], ClosureLocation!$B$6 &gt;= Table4[[#This Row],[EndMP]]), "Yes", "")</f>
        <v/>
      </c>
      <c r="R2064" s="1" t="str">
        <f>IF( OR( Table4[[#This Row],[PrimaryMatch]]="Yes", Table4[[#This Row],[SecondaryMatch]]="Yes"), "Yes", "")</f>
        <v/>
      </c>
    </row>
    <row r="2065" spans="1:18" hidden="1" x14ac:dyDescent="0.25">
      <c r="A2065" t="s">
        <v>1643</v>
      </c>
      <c r="B2065" t="s">
        <v>3205</v>
      </c>
      <c r="C2065" t="s">
        <v>3222</v>
      </c>
      <c r="D2065" t="s">
        <v>4393</v>
      </c>
      <c r="E2065" s="1">
        <v>4.1790000000000003</v>
      </c>
      <c r="F2065" s="1">
        <v>4.306</v>
      </c>
      <c r="K2065" s="39">
        <f>DefaultValues!$B$4</f>
        <v>5</v>
      </c>
      <c r="L2065" s="1">
        <f>DefaultValues!$C$4</f>
        <v>0.5</v>
      </c>
      <c r="M2065" s="1" t="str">
        <f>DefaultValues!$D$4</f>
        <v xml:space="preserve">- Within interchange - </v>
      </c>
      <c r="N2065" s="1">
        <v>4.1790000000000003</v>
      </c>
      <c r="O2065" s="1">
        <f>ABS(Table4[[#This Row],[EndMP]]-Table4[[#This Row],[StartMP]])</f>
        <v>0.12699999999999978</v>
      </c>
      <c r="P2065" s="1" t="str">
        <f>IF( AND( Table4[[#This Row],[Route]]=ClosureLocation!$B$3, ClosureLocation!$B$6 &gt;= Table4[[#This Row],[StartMP]], ClosureLocation!$B$6 &lt;= Table4[[#This Row],[EndMP]]), "Yes", "")</f>
        <v/>
      </c>
      <c r="Q2065" s="1" t="str">
        <f>IF( AND( Table4[[#This Row],[Route]]=ClosureLocation!$B$3, ClosureLocation!$B$6 &lt;= Table4[[#This Row],[StartMP]], ClosureLocation!$B$6 &gt;= Table4[[#This Row],[EndMP]]), "Yes", "")</f>
        <v/>
      </c>
      <c r="R2065" s="1" t="str">
        <f>IF( OR( Table4[[#This Row],[PrimaryMatch]]="Yes", Table4[[#This Row],[SecondaryMatch]]="Yes"), "Yes", "")</f>
        <v/>
      </c>
    </row>
    <row r="2066" spans="1:18" hidden="1" x14ac:dyDescent="0.25">
      <c r="A2066" t="s">
        <v>1643</v>
      </c>
      <c r="B2066" t="s">
        <v>3209</v>
      </c>
      <c r="C2066" t="s">
        <v>3226</v>
      </c>
      <c r="D2066" t="s">
        <v>4395</v>
      </c>
      <c r="E2066" s="1">
        <v>4.306</v>
      </c>
      <c r="F2066" s="1">
        <v>4.1790000000000003</v>
      </c>
      <c r="K2066" s="39">
        <f>DefaultValues!$B$4</f>
        <v>5</v>
      </c>
      <c r="L2066" s="1">
        <f>DefaultValues!$C$4</f>
        <v>0.5</v>
      </c>
      <c r="M2066" s="1" t="str">
        <f>DefaultValues!$D$4</f>
        <v xml:space="preserve">- Within interchange - </v>
      </c>
      <c r="N2066" s="1">
        <v>995.69397000000004</v>
      </c>
      <c r="O2066" s="1">
        <f>ABS(Table4[[#This Row],[EndMP]]-Table4[[#This Row],[StartMP]])</f>
        <v>0.12699999999999978</v>
      </c>
      <c r="P2066" s="1" t="str">
        <f>IF( AND( Table4[[#This Row],[Route]]=ClosureLocation!$B$3, ClosureLocation!$B$6 &gt;= Table4[[#This Row],[StartMP]], ClosureLocation!$B$6 &lt;= Table4[[#This Row],[EndMP]]), "Yes", "")</f>
        <v/>
      </c>
      <c r="Q2066" s="1" t="str">
        <f>IF( AND( Table4[[#This Row],[Route]]=ClosureLocation!$B$3, ClosureLocation!$B$6 &lt;= Table4[[#This Row],[StartMP]], ClosureLocation!$B$6 &gt;= Table4[[#This Row],[EndMP]]), "Yes", "")</f>
        <v/>
      </c>
      <c r="R2066" s="1" t="str">
        <f>IF( OR( Table4[[#This Row],[PrimaryMatch]]="Yes", Table4[[#This Row],[SecondaryMatch]]="Yes"), "Yes", "")</f>
        <v/>
      </c>
    </row>
    <row r="2067" spans="1:18" hidden="1" x14ac:dyDescent="0.25">
      <c r="A2067" t="s">
        <v>1645</v>
      </c>
      <c r="B2067" t="s">
        <v>3205</v>
      </c>
      <c r="C2067" t="s">
        <v>3222</v>
      </c>
      <c r="D2067" t="s">
        <v>4693</v>
      </c>
      <c r="E2067" s="1">
        <v>9.6000000000000002E-2</v>
      </c>
      <c r="F2067" s="1">
        <v>0.41899999999999998</v>
      </c>
      <c r="K2067" s="39">
        <f>DefaultValues!$B$4</f>
        <v>5</v>
      </c>
      <c r="L2067" s="1">
        <f>DefaultValues!$C$4</f>
        <v>0.5</v>
      </c>
      <c r="M2067" s="1" t="str">
        <f>DefaultValues!$D$4</f>
        <v xml:space="preserve">- Within interchange - </v>
      </c>
      <c r="N2067" s="1">
        <v>9.6000000000000002E-2</v>
      </c>
      <c r="O2067" s="1">
        <f>ABS(Table4[[#This Row],[EndMP]]-Table4[[#This Row],[StartMP]])</f>
        <v>0.32299999999999995</v>
      </c>
      <c r="P2067" s="1" t="str">
        <f>IF( AND( Table4[[#This Row],[Route]]=ClosureLocation!$B$3, ClosureLocation!$B$6 &gt;= Table4[[#This Row],[StartMP]], ClosureLocation!$B$6 &lt;= Table4[[#This Row],[EndMP]]), "Yes", "")</f>
        <v/>
      </c>
      <c r="Q2067" s="1" t="str">
        <f>IF( AND( Table4[[#This Row],[Route]]=ClosureLocation!$B$3, ClosureLocation!$B$6 &lt;= Table4[[#This Row],[StartMP]], ClosureLocation!$B$6 &gt;= Table4[[#This Row],[EndMP]]), "Yes", "")</f>
        <v/>
      </c>
      <c r="R2067" s="1" t="str">
        <f>IF( OR( Table4[[#This Row],[PrimaryMatch]]="Yes", Table4[[#This Row],[SecondaryMatch]]="Yes"), "Yes", "")</f>
        <v/>
      </c>
    </row>
    <row r="2068" spans="1:18" hidden="1" x14ac:dyDescent="0.25">
      <c r="A2068" t="s">
        <v>1645</v>
      </c>
      <c r="B2068" t="s">
        <v>3205</v>
      </c>
      <c r="C2068" t="s">
        <v>3222</v>
      </c>
      <c r="D2068" t="s">
        <v>4693</v>
      </c>
      <c r="E2068" s="1">
        <v>1.587</v>
      </c>
      <c r="F2068" s="1">
        <v>2.1509999999999998</v>
      </c>
      <c r="K2068" s="39">
        <f>DefaultValues!$B$4</f>
        <v>5</v>
      </c>
      <c r="L2068" s="1">
        <f>DefaultValues!$C$4</f>
        <v>0.5</v>
      </c>
      <c r="M2068" s="1" t="str">
        <f>DefaultValues!$D$4</f>
        <v xml:space="preserve">- Within interchange - </v>
      </c>
      <c r="N2068" s="1">
        <v>1.587</v>
      </c>
      <c r="O2068" s="1">
        <f>ABS(Table4[[#This Row],[EndMP]]-Table4[[#This Row],[StartMP]])</f>
        <v>0.56399999999999983</v>
      </c>
      <c r="P2068" s="1" t="str">
        <f>IF( AND( Table4[[#This Row],[Route]]=ClosureLocation!$B$3, ClosureLocation!$B$6 &gt;= Table4[[#This Row],[StartMP]], ClosureLocation!$B$6 &lt;= Table4[[#This Row],[EndMP]]), "Yes", "")</f>
        <v/>
      </c>
      <c r="Q2068" s="1" t="str">
        <f>IF( AND( Table4[[#This Row],[Route]]=ClosureLocation!$B$3, ClosureLocation!$B$6 &lt;= Table4[[#This Row],[StartMP]], ClosureLocation!$B$6 &gt;= Table4[[#This Row],[EndMP]]), "Yes", "")</f>
        <v/>
      </c>
      <c r="R2068" s="1" t="str">
        <f>IF( OR( Table4[[#This Row],[PrimaryMatch]]="Yes", Table4[[#This Row],[SecondaryMatch]]="Yes"), "Yes", "")</f>
        <v/>
      </c>
    </row>
    <row r="2069" spans="1:18" hidden="1" x14ac:dyDescent="0.25">
      <c r="A2069" t="s">
        <v>1645</v>
      </c>
      <c r="B2069" t="s">
        <v>3205</v>
      </c>
      <c r="C2069" t="s">
        <v>3222</v>
      </c>
      <c r="D2069" t="s">
        <v>4693</v>
      </c>
      <c r="E2069" s="1">
        <v>3.8889999999999998</v>
      </c>
      <c r="F2069" s="1">
        <v>4.55</v>
      </c>
      <c r="K2069" s="39">
        <f>DefaultValues!$B$4</f>
        <v>5</v>
      </c>
      <c r="L2069" s="1">
        <f>DefaultValues!$C$4</f>
        <v>0.5</v>
      </c>
      <c r="M2069" s="1" t="str">
        <f>DefaultValues!$D$4</f>
        <v xml:space="preserve">- Within interchange - </v>
      </c>
      <c r="N2069" s="1">
        <v>3.8889999999999998</v>
      </c>
      <c r="O2069" s="1">
        <f>ABS(Table4[[#This Row],[EndMP]]-Table4[[#This Row],[StartMP]])</f>
        <v>0.66100000000000003</v>
      </c>
      <c r="P2069" s="1" t="str">
        <f>IF( AND( Table4[[#This Row],[Route]]=ClosureLocation!$B$3, ClosureLocation!$B$6 &gt;= Table4[[#This Row],[StartMP]], ClosureLocation!$B$6 &lt;= Table4[[#This Row],[EndMP]]), "Yes", "")</f>
        <v/>
      </c>
      <c r="Q2069" s="1" t="str">
        <f>IF( AND( Table4[[#This Row],[Route]]=ClosureLocation!$B$3, ClosureLocation!$B$6 &lt;= Table4[[#This Row],[StartMP]], ClosureLocation!$B$6 &gt;= Table4[[#This Row],[EndMP]]), "Yes", "")</f>
        <v/>
      </c>
      <c r="R2069" s="1" t="str">
        <f>IF( OR( Table4[[#This Row],[PrimaryMatch]]="Yes", Table4[[#This Row],[SecondaryMatch]]="Yes"), "Yes", "")</f>
        <v/>
      </c>
    </row>
    <row r="2070" spans="1:18" hidden="1" x14ac:dyDescent="0.25">
      <c r="A2070" t="s">
        <v>1645</v>
      </c>
      <c r="B2070" t="s">
        <v>3205</v>
      </c>
      <c r="C2070" t="s">
        <v>3222</v>
      </c>
      <c r="D2070" t="s">
        <v>4693</v>
      </c>
      <c r="E2070" s="1">
        <v>5.1619999999999999</v>
      </c>
      <c r="F2070" s="1">
        <v>5.9720000000000004</v>
      </c>
      <c r="K2070" s="39">
        <f>DefaultValues!$B$4</f>
        <v>5</v>
      </c>
      <c r="L2070" s="1">
        <f>DefaultValues!$C$4</f>
        <v>0.5</v>
      </c>
      <c r="M2070" s="1" t="str">
        <f>DefaultValues!$D$4</f>
        <v xml:space="preserve">- Within interchange - </v>
      </c>
      <c r="N2070" s="1">
        <v>5.1619999999999999</v>
      </c>
      <c r="O2070" s="1">
        <f>ABS(Table4[[#This Row],[EndMP]]-Table4[[#This Row],[StartMP]])</f>
        <v>0.8100000000000005</v>
      </c>
      <c r="P2070" s="1" t="str">
        <f>IF( AND( Table4[[#This Row],[Route]]=ClosureLocation!$B$3, ClosureLocation!$B$6 &gt;= Table4[[#This Row],[StartMP]], ClosureLocation!$B$6 &lt;= Table4[[#This Row],[EndMP]]), "Yes", "")</f>
        <v/>
      </c>
      <c r="Q2070" s="1" t="str">
        <f>IF( AND( Table4[[#This Row],[Route]]=ClosureLocation!$B$3, ClosureLocation!$B$6 &lt;= Table4[[#This Row],[StartMP]], ClosureLocation!$B$6 &gt;= Table4[[#This Row],[EndMP]]), "Yes", "")</f>
        <v/>
      </c>
      <c r="R2070" s="1" t="str">
        <f>IF( OR( Table4[[#This Row],[PrimaryMatch]]="Yes", Table4[[#This Row],[SecondaryMatch]]="Yes"), "Yes", "")</f>
        <v/>
      </c>
    </row>
    <row r="2071" spans="1:18" hidden="1" x14ac:dyDescent="0.25">
      <c r="A2071" t="s">
        <v>1645</v>
      </c>
      <c r="B2071" t="s">
        <v>3205</v>
      </c>
      <c r="C2071" t="s">
        <v>3222</v>
      </c>
      <c r="D2071" t="s">
        <v>4693</v>
      </c>
      <c r="E2071" s="1">
        <v>6.3070000000000004</v>
      </c>
      <c r="F2071" s="1">
        <v>6.556</v>
      </c>
      <c r="K2071" s="39">
        <f>DefaultValues!$B$4</f>
        <v>5</v>
      </c>
      <c r="L2071" s="1">
        <f>DefaultValues!$C$4</f>
        <v>0.5</v>
      </c>
      <c r="M2071" s="1" t="str">
        <f>DefaultValues!$D$4</f>
        <v xml:space="preserve">- Within interchange - </v>
      </c>
      <c r="N2071" s="1">
        <v>6.3070000000000004</v>
      </c>
      <c r="O2071" s="1">
        <f>ABS(Table4[[#This Row],[EndMP]]-Table4[[#This Row],[StartMP]])</f>
        <v>0.24899999999999967</v>
      </c>
      <c r="P2071" s="1" t="str">
        <f>IF( AND( Table4[[#This Row],[Route]]=ClosureLocation!$B$3, ClosureLocation!$B$6 &gt;= Table4[[#This Row],[StartMP]], ClosureLocation!$B$6 &lt;= Table4[[#This Row],[EndMP]]), "Yes", "")</f>
        <v/>
      </c>
      <c r="Q2071" s="1" t="str">
        <f>IF( AND( Table4[[#This Row],[Route]]=ClosureLocation!$B$3, ClosureLocation!$B$6 &lt;= Table4[[#This Row],[StartMP]], ClosureLocation!$B$6 &gt;= Table4[[#This Row],[EndMP]]), "Yes", "")</f>
        <v/>
      </c>
      <c r="R2071" s="1" t="str">
        <f>IF( OR( Table4[[#This Row],[PrimaryMatch]]="Yes", Table4[[#This Row],[SecondaryMatch]]="Yes"), "Yes", "")</f>
        <v/>
      </c>
    </row>
    <row r="2072" spans="1:18" hidden="1" x14ac:dyDescent="0.25">
      <c r="A2072" t="s">
        <v>1645</v>
      </c>
      <c r="B2072" t="s">
        <v>3205</v>
      </c>
      <c r="C2072" t="s">
        <v>3222</v>
      </c>
      <c r="D2072" t="s">
        <v>4693</v>
      </c>
      <c r="E2072" s="1">
        <v>7.5949999999999998</v>
      </c>
      <c r="F2072" s="1">
        <v>8.1630000000000003</v>
      </c>
      <c r="K2072" s="39">
        <f>DefaultValues!$B$4</f>
        <v>5</v>
      </c>
      <c r="L2072" s="1">
        <f>DefaultValues!$C$4</f>
        <v>0.5</v>
      </c>
      <c r="M2072" s="1" t="str">
        <f>DefaultValues!$D$4</f>
        <v xml:space="preserve">- Within interchange - </v>
      </c>
      <c r="N2072" s="1">
        <v>7.5949999999999998</v>
      </c>
      <c r="O2072" s="1">
        <f>ABS(Table4[[#This Row],[EndMP]]-Table4[[#This Row],[StartMP]])</f>
        <v>0.5680000000000005</v>
      </c>
      <c r="P2072" s="1" t="str">
        <f>IF( AND( Table4[[#This Row],[Route]]=ClosureLocation!$B$3, ClosureLocation!$B$6 &gt;= Table4[[#This Row],[StartMP]], ClosureLocation!$B$6 &lt;= Table4[[#This Row],[EndMP]]), "Yes", "")</f>
        <v/>
      </c>
      <c r="Q2072" s="1" t="str">
        <f>IF( AND( Table4[[#This Row],[Route]]=ClosureLocation!$B$3, ClosureLocation!$B$6 &lt;= Table4[[#This Row],[StartMP]], ClosureLocation!$B$6 &gt;= Table4[[#This Row],[EndMP]]), "Yes", "")</f>
        <v/>
      </c>
      <c r="R2072" s="1" t="str">
        <f>IF( OR( Table4[[#This Row],[PrimaryMatch]]="Yes", Table4[[#This Row],[SecondaryMatch]]="Yes"), "Yes", "")</f>
        <v/>
      </c>
    </row>
    <row r="2073" spans="1:18" hidden="1" x14ac:dyDescent="0.25">
      <c r="A2073" t="s">
        <v>1645</v>
      </c>
      <c r="B2073" t="s">
        <v>3205</v>
      </c>
      <c r="C2073" t="s">
        <v>3222</v>
      </c>
      <c r="D2073" t="s">
        <v>4693</v>
      </c>
      <c r="E2073" s="1">
        <v>9.8960000000000008</v>
      </c>
      <c r="F2073" s="1">
        <v>10.452</v>
      </c>
      <c r="K2073" s="39">
        <f>DefaultValues!$B$4</f>
        <v>5</v>
      </c>
      <c r="L2073" s="1">
        <f>DefaultValues!$C$4</f>
        <v>0.5</v>
      </c>
      <c r="M2073" s="1" t="str">
        <f>DefaultValues!$D$4</f>
        <v xml:space="preserve">- Within interchange - </v>
      </c>
      <c r="N2073" s="1">
        <v>9.8960000000000008</v>
      </c>
      <c r="O2073" s="1">
        <f>ABS(Table4[[#This Row],[EndMP]]-Table4[[#This Row],[StartMP]])</f>
        <v>0.55599999999999916</v>
      </c>
      <c r="P2073" s="1" t="str">
        <f>IF( AND( Table4[[#This Row],[Route]]=ClosureLocation!$B$3, ClosureLocation!$B$6 &gt;= Table4[[#This Row],[StartMP]], ClosureLocation!$B$6 &lt;= Table4[[#This Row],[EndMP]]), "Yes", "")</f>
        <v/>
      </c>
      <c r="Q2073" s="1" t="str">
        <f>IF( AND( Table4[[#This Row],[Route]]=ClosureLocation!$B$3, ClosureLocation!$B$6 &lt;= Table4[[#This Row],[StartMP]], ClosureLocation!$B$6 &gt;= Table4[[#This Row],[EndMP]]), "Yes", "")</f>
        <v/>
      </c>
      <c r="R2073" s="1" t="str">
        <f>IF( OR( Table4[[#This Row],[PrimaryMatch]]="Yes", Table4[[#This Row],[SecondaryMatch]]="Yes"), "Yes", "")</f>
        <v/>
      </c>
    </row>
    <row r="2074" spans="1:18" hidden="1" x14ac:dyDescent="0.25">
      <c r="A2074" t="s">
        <v>1645</v>
      </c>
      <c r="B2074" t="s">
        <v>3205</v>
      </c>
      <c r="C2074" t="s">
        <v>3222</v>
      </c>
      <c r="D2074" t="s">
        <v>4693</v>
      </c>
      <c r="E2074" s="1">
        <v>12.131</v>
      </c>
      <c r="F2074" s="1">
        <v>12.798999999999999</v>
      </c>
      <c r="K2074" s="39">
        <f>DefaultValues!$B$4</f>
        <v>5</v>
      </c>
      <c r="L2074" s="1">
        <f>DefaultValues!$C$4</f>
        <v>0.5</v>
      </c>
      <c r="M2074" s="1" t="str">
        <f>DefaultValues!$D$4</f>
        <v xml:space="preserve">- Within interchange - </v>
      </c>
      <c r="N2074" s="1">
        <v>12.131</v>
      </c>
      <c r="O2074" s="1">
        <f>ABS(Table4[[#This Row],[EndMP]]-Table4[[#This Row],[StartMP]])</f>
        <v>0.66799999999999926</v>
      </c>
      <c r="P2074" s="1" t="str">
        <f>IF( AND( Table4[[#This Row],[Route]]=ClosureLocation!$B$3, ClosureLocation!$B$6 &gt;= Table4[[#This Row],[StartMP]], ClosureLocation!$B$6 &lt;= Table4[[#This Row],[EndMP]]), "Yes", "")</f>
        <v/>
      </c>
      <c r="Q2074" s="1" t="str">
        <f>IF( AND( Table4[[#This Row],[Route]]=ClosureLocation!$B$3, ClosureLocation!$B$6 &lt;= Table4[[#This Row],[StartMP]], ClosureLocation!$B$6 &gt;= Table4[[#This Row],[EndMP]]), "Yes", "")</f>
        <v/>
      </c>
      <c r="R2074" s="1" t="str">
        <f>IF( OR( Table4[[#This Row],[PrimaryMatch]]="Yes", Table4[[#This Row],[SecondaryMatch]]="Yes"), "Yes", "")</f>
        <v/>
      </c>
    </row>
    <row r="2075" spans="1:18" hidden="1" x14ac:dyDescent="0.25">
      <c r="A2075" t="s">
        <v>1645</v>
      </c>
      <c r="B2075" t="s">
        <v>3205</v>
      </c>
      <c r="C2075" t="s">
        <v>3222</v>
      </c>
      <c r="D2075" t="s">
        <v>4693</v>
      </c>
      <c r="E2075" s="1">
        <v>13.54</v>
      </c>
      <c r="F2075" s="1">
        <v>14.284000000000001</v>
      </c>
      <c r="K2075" s="39">
        <f>DefaultValues!$B$4</f>
        <v>5</v>
      </c>
      <c r="L2075" s="1">
        <f>DefaultValues!$C$4</f>
        <v>0.5</v>
      </c>
      <c r="M2075" s="1" t="str">
        <f>DefaultValues!$D$4</f>
        <v xml:space="preserve">- Within interchange - </v>
      </c>
      <c r="N2075" s="1">
        <v>13.54</v>
      </c>
      <c r="O2075" s="1">
        <f>ABS(Table4[[#This Row],[EndMP]]-Table4[[#This Row],[StartMP]])</f>
        <v>0.74400000000000155</v>
      </c>
      <c r="P2075" s="1" t="str">
        <f>IF( AND( Table4[[#This Row],[Route]]=ClosureLocation!$B$3, ClosureLocation!$B$6 &gt;= Table4[[#This Row],[StartMP]], ClosureLocation!$B$6 &lt;= Table4[[#This Row],[EndMP]]), "Yes", "")</f>
        <v/>
      </c>
      <c r="Q2075" s="1" t="str">
        <f>IF( AND( Table4[[#This Row],[Route]]=ClosureLocation!$B$3, ClosureLocation!$B$6 &lt;= Table4[[#This Row],[StartMP]], ClosureLocation!$B$6 &gt;= Table4[[#This Row],[EndMP]]), "Yes", "")</f>
        <v/>
      </c>
      <c r="R2075" s="1" t="str">
        <f>IF( OR( Table4[[#This Row],[PrimaryMatch]]="Yes", Table4[[#This Row],[SecondaryMatch]]="Yes"), "Yes", "")</f>
        <v/>
      </c>
    </row>
    <row r="2076" spans="1:18" hidden="1" x14ac:dyDescent="0.25">
      <c r="A2076" t="s">
        <v>1645</v>
      </c>
      <c r="B2076" t="s">
        <v>3205</v>
      </c>
      <c r="C2076" t="s">
        <v>3222</v>
      </c>
      <c r="D2076" t="s">
        <v>4693</v>
      </c>
      <c r="E2076" s="1">
        <v>16.768000000000001</v>
      </c>
      <c r="F2076" s="1">
        <v>17.638000000000002</v>
      </c>
      <c r="K2076" s="39">
        <f>DefaultValues!$B$4</f>
        <v>5</v>
      </c>
      <c r="L2076" s="1">
        <f>DefaultValues!$C$4</f>
        <v>0.5</v>
      </c>
      <c r="M2076" s="1" t="str">
        <f>DefaultValues!$D$4</f>
        <v xml:space="preserve">- Within interchange - </v>
      </c>
      <c r="N2076" s="1">
        <v>16.768000000000001</v>
      </c>
      <c r="O2076" s="1">
        <f>ABS(Table4[[#This Row],[EndMP]]-Table4[[#This Row],[StartMP]])</f>
        <v>0.87000000000000099</v>
      </c>
      <c r="P2076" s="1" t="str">
        <f>IF( AND( Table4[[#This Row],[Route]]=ClosureLocation!$B$3, ClosureLocation!$B$6 &gt;= Table4[[#This Row],[StartMP]], ClosureLocation!$B$6 &lt;= Table4[[#This Row],[EndMP]]), "Yes", "")</f>
        <v/>
      </c>
      <c r="Q2076" s="1" t="str">
        <f>IF( AND( Table4[[#This Row],[Route]]=ClosureLocation!$B$3, ClosureLocation!$B$6 &lt;= Table4[[#This Row],[StartMP]], ClosureLocation!$B$6 &gt;= Table4[[#This Row],[EndMP]]), "Yes", "")</f>
        <v/>
      </c>
      <c r="R2076" s="1" t="str">
        <f>IF( OR( Table4[[#This Row],[PrimaryMatch]]="Yes", Table4[[#This Row],[SecondaryMatch]]="Yes"), "Yes", "")</f>
        <v/>
      </c>
    </row>
    <row r="2077" spans="1:18" hidden="1" x14ac:dyDescent="0.25">
      <c r="A2077" t="s">
        <v>1645</v>
      </c>
      <c r="B2077" t="s">
        <v>3205</v>
      </c>
      <c r="C2077" t="s">
        <v>3222</v>
      </c>
      <c r="D2077" t="s">
        <v>4693</v>
      </c>
      <c r="E2077" s="1">
        <v>18.023001000000001</v>
      </c>
      <c r="F2077" s="1">
        <v>18.736000000000001</v>
      </c>
      <c r="K2077" s="39">
        <f>DefaultValues!$B$4</f>
        <v>5</v>
      </c>
      <c r="L2077" s="1">
        <f>DefaultValues!$C$4</f>
        <v>0.5</v>
      </c>
      <c r="M2077" s="1" t="str">
        <f>DefaultValues!$D$4</f>
        <v xml:space="preserve">- Within interchange - </v>
      </c>
      <c r="N2077" s="1">
        <v>18.023001000000001</v>
      </c>
      <c r="O2077" s="1">
        <f>ABS(Table4[[#This Row],[EndMP]]-Table4[[#This Row],[StartMP]])</f>
        <v>0.71299899999999994</v>
      </c>
      <c r="P2077" s="1" t="str">
        <f>IF( AND( Table4[[#This Row],[Route]]=ClosureLocation!$B$3, ClosureLocation!$B$6 &gt;= Table4[[#This Row],[StartMP]], ClosureLocation!$B$6 &lt;= Table4[[#This Row],[EndMP]]), "Yes", "")</f>
        <v/>
      </c>
      <c r="Q2077" s="1" t="str">
        <f>IF( AND( Table4[[#This Row],[Route]]=ClosureLocation!$B$3, ClosureLocation!$B$6 &lt;= Table4[[#This Row],[StartMP]], ClosureLocation!$B$6 &gt;= Table4[[#This Row],[EndMP]]), "Yes", "")</f>
        <v/>
      </c>
      <c r="R2077" s="1" t="str">
        <f>IF( OR( Table4[[#This Row],[PrimaryMatch]]="Yes", Table4[[#This Row],[SecondaryMatch]]="Yes"), "Yes", "")</f>
        <v/>
      </c>
    </row>
    <row r="2078" spans="1:18" hidden="1" x14ac:dyDescent="0.25">
      <c r="A2078" t="s">
        <v>1645</v>
      </c>
      <c r="B2078" t="s">
        <v>3205</v>
      </c>
      <c r="C2078" t="s">
        <v>3222</v>
      </c>
      <c r="D2078" t="s">
        <v>4693</v>
      </c>
      <c r="E2078" s="1">
        <v>19.306000000000001</v>
      </c>
      <c r="F2078" s="1">
        <v>20</v>
      </c>
      <c r="K2078" s="39">
        <f>DefaultValues!$B$4</f>
        <v>5</v>
      </c>
      <c r="L2078" s="1">
        <f>DefaultValues!$C$4</f>
        <v>0.5</v>
      </c>
      <c r="M2078" s="1" t="str">
        <f>DefaultValues!$D$4</f>
        <v xml:space="preserve">- Within interchange - </v>
      </c>
      <c r="N2078" s="1">
        <v>19.306000000000001</v>
      </c>
      <c r="O2078" s="1">
        <f>ABS(Table4[[#This Row],[EndMP]]-Table4[[#This Row],[StartMP]])</f>
        <v>0.69399999999999906</v>
      </c>
      <c r="P2078" s="1" t="str">
        <f>IF( AND( Table4[[#This Row],[Route]]=ClosureLocation!$B$3, ClosureLocation!$B$6 &gt;= Table4[[#This Row],[StartMP]], ClosureLocation!$B$6 &lt;= Table4[[#This Row],[EndMP]]), "Yes", "")</f>
        <v/>
      </c>
      <c r="Q2078" s="1" t="str">
        <f>IF( AND( Table4[[#This Row],[Route]]=ClosureLocation!$B$3, ClosureLocation!$B$6 &lt;= Table4[[#This Row],[StartMP]], ClosureLocation!$B$6 &gt;= Table4[[#This Row],[EndMP]]), "Yes", "")</f>
        <v/>
      </c>
      <c r="R2078" s="1" t="str">
        <f>IF( OR( Table4[[#This Row],[PrimaryMatch]]="Yes", Table4[[#This Row],[SecondaryMatch]]="Yes"), "Yes", "")</f>
        <v/>
      </c>
    </row>
    <row r="2079" spans="1:18" hidden="1" x14ac:dyDescent="0.25">
      <c r="A2079" t="s">
        <v>1645</v>
      </c>
      <c r="B2079" t="s">
        <v>3205</v>
      </c>
      <c r="C2079" t="s">
        <v>3222</v>
      </c>
      <c r="D2079" t="s">
        <v>4693</v>
      </c>
      <c r="E2079" s="1">
        <v>20.667998999999998</v>
      </c>
      <c r="F2079" s="1">
        <v>21.398001000000001</v>
      </c>
      <c r="K2079" s="39">
        <f>DefaultValues!$B$4</f>
        <v>5</v>
      </c>
      <c r="L2079" s="1">
        <f>DefaultValues!$C$4</f>
        <v>0.5</v>
      </c>
      <c r="M2079" s="1" t="str">
        <f>DefaultValues!$D$4</f>
        <v xml:space="preserve">- Within interchange - </v>
      </c>
      <c r="N2079" s="1">
        <v>20.667998999999998</v>
      </c>
      <c r="O2079" s="1">
        <f>ABS(Table4[[#This Row],[EndMP]]-Table4[[#This Row],[StartMP]])</f>
        <v>0.73000200000000248</v>
      </c>
      <c r="P2079" s="1" t="str">
        <f>IF( AND( Table4[[#This Row],[Route]]=ClosureLocation!$B$3, ClosureLocation!$B$6 &gt;= Table4[[#This Row],[StartMP]], ClosureLocation!$B$6 &lt;= Table4[[#This Row],[EndMP]]), "Yes", "")</f>
        <v/>
      </c>
      <c r="Q2079" s="1" t="str">
        <f>IF( AND( Table4[[#This Row],[Route]]=ClosureLocation!$B$3, ClosureLocation!$B$6 &lt;= Table4[[#This Row],[StartMP]], ClosureLocation!$B$6 &gt;= Table4[[#This Row],[EndMP]]), "Yes", "")</f>
        <v/>
      </c>
      <c r="R2079" s="1" t="str">
        <f>IF( OR( Table4[[#This Row],[PrimaryMatch]]="Yes", Table4[[#This Row],[SecondaryMatch]]="Yes"), "Yes", "")</f>
        <v/>
      </c>
    </row>
    <row r="2080" spans="1:18" hidden="1" x14ac:dyDescent="0.25">
      <c r="A2080" t="s">
        <v>1645</v>
      </c>
      <c r="B2080" t="s">
        <v>3205</v>
      </c>
      <c r="C2080" t="s">
        <v>3222</v>
      </c>
      <c r="D2080" t="s">
        <v>4693</v>
      </c>
      <c r="E2080" s="1">
        <v>23.827998999999998</v>
      </c>
      <c r="F2080" s="1">
        <v>24.504000000000001</v>
      </c>
      <c r="K2080" s="39">
        <f>DefaultValues!$B$4</f>
        <v>5</v>
      </c>
      <c r="L2080" s="1">
        <f>DefaultValues!$C$4</f>
        <v>0.5</v>
      </c>
      <c r="M2080" s="1" t="str">
        <f>DefaultValues!$D$4</f>
        <v xml:space="preserve">- Within interchange - </v>
      </c>
      <c r="N2080" s="1">
        <v>23.827998999999998</v>
      </c>
      <c r="O2080" s="1">
        <f>ABS(Table4[[#This Row],[EndMP]]-Table4[[#This Row],[StartMP]])</f>
        <v>0.67600100000000296</v>
      </c>
      <c r="P2080" s="1" t="str">
        <f>IF( AND( Table4[[#This Row],[Route]]=ClosureLocation!$B$3, ClosureLocation!$B$6 &gt;= Table4[[#This Row],[StartMP]], ClosureLocation!$B$6 &lt;= Table4[[#This Row],[EndMP]]), "Yes", "")</f>
        <v/>
      </c>
      <c r="Q2080" s="1" t="str">
        <f>IF( AND( Table4[[#This Row],[Route]]=ClosureLocation!$B$3, ClosureLocation!$B$6 &lt;= Table4[[#This Row],[StartMP]], ClosureLocation!$B$6 &gt;= Table4[[#This Row],[EndMP]]), "Yes", "")</f>
        <v/>
      </c>
      <c r="R2080" s="1" t="str">
        <f>IF( OR( Table4[[#This Row],[PrimaryMatch]]="Yes", Table4[[#This Row],[SecondaryMatch]]="Yes"), "Yes", "")</f>
        <v/>
      </c>
    </row>
    <row r="2081" spans="1:18" hidden="1" x14ac:dyDescent="0.25">
      <c r="A2081" t="s">
        <v>1645</v>
      </c>
      <c r="B2081" t="s">
        <v>3205</v>
      </c>
      <c r="C2081" t="s">
        <v>3222</v>
      </c>
      <c r="D2081" t="s">
        <v>4693</v>
      </c>
      <c r="E2081" s="1">
        <v>25.806000000000001</v>
      </c>
      <c r="F2081" s="1">
        <v>26.195</v>
      </c>
      <c r="K2081" s="39">
        <f>DefaultValues!$B$4</f>
        <v>5</v>
      </c>
      <c r="L2081" s="1">
        <f>DefaultValues!$C$4</f>
        <v>0.5</v>
      </c>
      <c r="M2081" s="1" t="str">
        <f>DefaultValues!$D$4</f>
        <v xml:space="preserve">- Within interchange - </v>
      </c>
      <c r="N2081" s="1">
        <v>25.806000000000001</v>
      </c>
      <c r="O2081" s="1">
        <f>ABS(Table4[[#This Row],[EndMP]]-Table4[[#This Row],[StartMP]])</f>
        <v>0.38899999999999935</v>
      </c>
      <c r="P2081" s="1" t="str">
        <f>IF( AND( Table4[[#This Row],[Route]]=ClosureLocation!$B$3, ClosureLocation!$B$6 &gt;= Table4[[#This Row],[StartMP]], ClosureLocation!$B$6 &lt;= Table4[[#This Row],[EndMP]]), "Yes", "")</f>
        <v/>
      </c>
      <c r="Q2081" s="1" t="str">
        <f>IF( AND( Table4[[#This Row],[Route]]=ClosureLocation!$B$3, ClosureLocation!$B$6 &lt;= Table4[[#This Row],[StartMP]], ClosureLocation!$B$6 &gt;= Table4[[#This Row],[EndMP]]), "Yes", "")</f>
        <v/>
      </c>
      <c r="R2081" s="1" t="str">
        <f>IF( OR( Table4[[#This Row],[PrimaryMatch]]="Yes", Table4[[#This Row],[SecondaryMatch]]="Yes"), "Yes", "")</f>
        <v/>
      </c>
    </row>
    <row r="2082" spans="1:18" hidden="1" x14ac:dyDescent="0.25">
      <c r="A2082" t="s">
        <v>1645</v>
      </c>
      <c r="B2082" t="s">
        <v>3209</v>
      </c>
      <c r="C2082" t="s">
        <v>3226</v>
      </c>
      <c r="D2082" t="s">
        <v>4694</v>
      </c>
      <c r="E2082" s="1">
        <v>26.195</v>
      </c>
      <c r="F2082" s="1">
        <v>25.731999999999999</v>
      </c>
      <c r="K2082" s="39">
        <f>DefaultValues!$B$4</f>
        <v>5</v>
      </c>
      <c r="L2082" s="1">
        <f>DefaultValues!$C$4</f>
        <v>0.5</v>
      </c>
      <c r="M2082" s="1" t="str">
        <f>DefaultValues!$D$4</f>
        <v xml:space="preserve">- Within interchange - </v>
      </c>
      <c r="N2082" s="1">
        <v>973.80499299999997</v>
      </c>
      <c r="O2082" s="1">
        <f>ABS(Table4[[#This Row],[EndMP]]-Table4[[#This Row],[StartMP]])</f>
        <v>0.46300000000000097</v>
      </c>
      <c r="P2082" s="1" t="str">
        <f>IF( AND( Table4[[#This Row],[Route]]=ClosureLocation!$B$3, ClosureLocation!$B$6 &gt;= Table4[[#This Row],[StartMP]], ClosureLocation!$B$6 &lt;= Table4[[#This Row],[EndMP]]), "Yes", "")</f>
        <v/>
      </c>
      <c r="Q2082" s="1" t="str">
        <f>IF( AND( Table4[[#This Row],[Route]]=ClosureLocation!$B$3, ClosureLocation!$B$6 &lt;= Table4[[#This Row],[StartMP]], ClosureLocation!$B$6 &gt;= Table4[[#This Row],[EndMP]]), "Yes", "")</f>
        <v/>
      </c>
      <c r="R2082" s="1" t="str">
        <f>IF( OR( Table4[[#This Row],[PrimaryMatch]]="Yes", Table4[[#This Row],[SecondaryMatch]]="Yes"), "Yes", "")</f>
        <v/>
      </c>
    </row>
    <row r="2083" spans="1:18" hidden="1" x14ac:dyDescent="0.25">
      <c r="A2083" t="s">
        <v>1645</v>
      </c>
      <c r="B2083" t="s">
        <v>3209</v>
      </c>
      <c r="C2083" t="s">
        <v>3226</v>
      </c>
      <c r="D2083" t="s">
        <v>4694</v>
      </c>
      <c r="E2083" s="1">
        <v>24.504000000000001</v>
      </c>
      <c r="F2083" s="1">
        <v>23.910999</v>
      </c>
      <c r="K2083" s="39">
        <f>DefaultValues!$B$4</f>
        <v>5</v>
      </c>
      <c r="L2083" s="1">
        <f>DefaultValues!$C$4</f>
        <v>0.5</v>
      </c>
      <c r="M2083" s="1" t="str">
        <f>DefaultValues!$D$4</f>
        <v xml:space="preserve">- Within interchange - </v>
      </c>
      <c r="N2083" s="1">
        <v>975.49597200000005</v>
      </c>
      <c r="O2083" s="1">
        <f>ABS(Table4[[#This Row],[EndMP]]-Table4[[#This Row],[StartMP]])</f>
        <v>0.593001000000001</v>
      </c>
      <c r="P2083" s="1" t="str">
        <f>IF( AND( Table4[[#This Row],[Route]]=ClosureLocation!$B$3, ClosureLocation!$B$6 &gt;= Table4[[#This Row],[StartMP]], ClosureLocation!$B$6 &lt;= Table4[[#This Row],[EndMP]]), "Yes", "")</f>
        <v/>
      </c>
      <c r="Q2083" s="1" t="str">
        <f>IF( AND( Table4[[#This Row],[Route]]=ClosureLocation!$B$3, ClosureLocation!$B$6 &lt;= Table4[[#This Row],[StartMP]], ClosureLocation!$B$6 &gt;= Table4[[#This Row],[EndMP]]), "Yes", "")</f>
        <v/>
      </c>
      <c r="R2083" s="1" t="str">
        <f>IF( OR( Table4[[#This Row],[PrimaryMatch]]="Yes", Table4[[#This Row],[SecondaryMatch]]="Yes"), "Yes", "")</f>
        <v/>
      </c>
    </row>
    <row r="2084" spans="1:18" hidden="1" x14ac:dyDescent="0.25">
      <c r="A2084" t="s">
        <v>1645</v>
      </c>
      <c r="B2084" t="s">
        <v>3209</v>
      </c>
      <c r="C2084" t="s">
        <v>3226</v>
      </c>
      <c r="D2084" t="s">
        <v>4694</v>
      </c>
      <c r="E2084" s="1">
        <v>21.372</v>
      </c>
      <c r="F2084" s="1">
        <v>20.750999</v>
      </c>
      <c r="K2084" s="39">
        <f>DefaultValues!$B$4</f>
        <v>5</v>
      </c>
      <c r="L2084" s="1">
        <f>DefaultValues!$C$4</f>
        <v>0.5</v>
      </c>
      <c r="M2084" s="1" t="str">
        <f>DefaultValues!$D$4</f>
        <v xml:space="preserve">- Within interchange - </v>
      </c>
      <c r="N2084" s="1">
        <v>978.62799099999995</v>
      </c>
      <c r="O2084" s="1">
        <f>ABS(Table4[[#This Row],[EndMP]]-Table4[[#This Row],[StartMP]])</f>
        <v>0.62100099999999969</v>
      </c>
      <c r="P2084" s="1" t="str">
        <f>IF( AND( Table4[[#This Row],[Route]]=ClosureLocation!$B$3, ClosureLocation!$B$6 &gt;= Table4[[#This Row],[StartMP]], ClosureLocation!$B$6 &lt;= Table4[[#This Row],[EndMP]]), "Yes", "")</f>
        <v/>
      </c>
      <c r="Q2084" s="1" t="str">
        <f>IF( AND( Table4[[#This Row],[Route]]=ClosureLocation!$B$3, ClosureLocation!$B$6 &lt;= Table4[[#This Row],[StartMP]], ClosureLocation!$B$6 &gt;= Table4[[#This Row],[EndMP]]), "Yes", "")</f>
        <v/>
      </c>
      <c r="R2084" s="1" t="str">
        <f>IF( OR( Table4[[#This Row],[PrimaryMatch]]="Yes", Table4[[#This Row],[SecondaryMatch]]="Yes"), "Yes", "")</f>
        <v/>
      </c>
    </row>
    <row r="2085" spans="1:18" hidden="1" x14ac:dyDescent="0.25">
      <c r="A2085" t="s">
        <v>1645</v>
      </c>
      <c r="B2085" t="s">
        <v>3209</v>
      </c>
      <c r="C2085" t="s">
        <v>3226</v>
      </c>
      <c r="D2085" t="s">
        <v>4694</v>
      </c>
      <c r="E2085" s="1">
        <v>19.893000000000001</v>
      </c>
      <c r="F2085" s="1">
        <v>19.306000000000001</v>
      </c>
      <c r="K2085" s="39">
        <f>DefaultValues!$B$4</f>
        <v>5</v>
      </c>
      <c r="L2085" s="1">
        <f>DefaultValues!$C$4</f>
        <v>0.5</v>
      </c>
      <c r="M2085" s="1" t="str">
        <f>DefaultValues!$D$4</f>
        <v xml:space="preserve">- Within interchange - </v>
      </c>
      <c r="N2085" s="1">
        <v>980.10699499999998</v>
      </c>
      <c r="O2085" s="1">
        <f>ABS(Table4[[#This Row],[EndMP]]-Table4[[#This Row],[StartMP]])</f>
        <v>0.58699999999999974</v>
      </c>
      <c r="P2085" s="1" t="str">
        <f>IF( AND( Table4[[#This Row],[Route]]=ClosureLocation!$B$3, ClosureLocation!$B$6 &gt;= Table4[[#This Row],[StartMP]], ClosureLocation!$B$6 &lt;= Table4[[#This Row],[EndMP]]), "Yes", "")</f>
        <v/>
      </c>
      <c r="Q2085" s="1" t="str">
        <f>IF( AND( Table4[[#This Row],[Route]]=ClosureLocation!$B$3, ClosureLocation!$B$6 &lt;= Table4[[#This Row],[StartMP]], ClosureLocation!$B$6 &gt;= Table4[[#This Row],[EndMP]]), "Yes", "")</f>
        <v/>
      </c>
      <c r="R2085" s="1" t="str">
        <f>IF( OR( Table4[[#This Row],[PrimaryMatch]]="Yes", Table4[[#This Row],[SecondaryMatch]]="Yes"), "Yes", "")</f>
        <v/>
      </c>
    </row>
    <row r="2086" spans="1:18" hidden="1" x14ac:dyDescent="0.25">
      <c r="A2086" t="s">
        <v>1645</v>
      </c>
      <c r="B2086" t="s">
        <v>3209</v>
      </c>
      <c r="C2086" t="s">
        <v>3226</v>
      </c>
      <c r="D2086" t="s">
        <v>4694</v>
      </c>
      <c r="E2086" s="1">
        <v>18.832001000000002</v>
      </c>
      <c r="F2086" s="1">
        <v>18.035</v>
      </c>
      <c r="K2086" s="39">
        <f>DefaultValues!$B$4</f>
        <v>5</v>
      </c>
      <c r="L2086" s="1">
        <f>DefaultValues!$C$4</f>
        <v>0.5</v>
      </c>
      <c r="M2086" s="1" t="str">
        <f>DefaultValues!$D$4</f>
        <v xml:space="preserve">- Within interchange - </v>
      </c>
      <c r="N2086" s="1">
        <v>981.16803000000004</v>
      </c>
      <c r="O2086" s="1">
        <f>ABS(Table4[[#This Row],[EndMP]]-Table4[[#This Row],[StartMP]])</f>
        <v>0.79700100000000162</v>
      </c>
      <c r="P2086" s="1" t="str">
        <f>IF( AND( Table4[[#This Row],[Route]]=ClosureLocation!$B$3, ClosureLocation!$B$6 &gt;= Table4[[#This Row],[StartMP]], ClosureLocation!$B$6 &lt;= Table4[[#This Row],[EndMP]]), "Yes", "")</f>
        <v/>
      </c>
      <c r="Q2086" s="1" t="str">
        <f>IF( AND( Table4[[#This Row],[Route]]=ClosureLocation!$B$3, ClosureLocation!$B$6 &lt;= Table4[[#This Row],[StartMP]], ClosureLocation!$B$6 &gt;= Table4[[#This Row],[EndMP]]), "Yes", "")</f>
        <v/>
      </c>
      <c r="R2086" s="1" t="str">
        <f>IF( OR( Table4[[#This Row],[PrimaryMatch]]="Yes", Table4[[#This Row],[SecondaryMatch]]="Yes"), "Yes", "")</f>
        <v/>
      </c>
    </row>
    <row r="2087" spans="1:18" hidden="1" x14ac:dyDescent="0.25">
      <c r="A2087" t="s">
        <v>1645</v>
      </c>
      <c r="B2087" t="s">
        <v>3209</v>
      </c>
      <c r="C2087" t="s">
        <v>3226</v>
      </c>
      <c r="D2087" t="s">
        <v>4694</v>
      </c>
      <c r="E2087" s="1">
        <v>17.457999999999998</v>
      </c>
      <c r="F2087" s="1">
        <v>16.721001000000001</v>
      </c>
      <c r="K2087" s="39">
        <f>DefaultValues!$B$4</f>
        <v>5</v>
      </c>
      <c r="L2087" s="1">
        <f>DefaultValues!$C$4</f>
        <v>0.5</v>
      </c>
      <c r="M2087" s="1" t="str">
        <f>DefaultValues!$D$4</f>
        <v xml:space="preserve">- Within interchange - </v>
      </c>
      <c r="N2087" s="1">
        <v>982.54199200000005</v>
      </c>
      <c r="O2087" s="1">
        <f>ABS(Table4[[#This Row],[EndMP]]-Table4[[#This Row],[StartMP]])</f>
        <v>0.7369989999999973</v>
      </c>
      <c r="P2087" s="1" t="str">
        <f>IF( AND( Table4[[#This Row],[Route]]=ClosureLocation!$B$3, ClosureLocation!$B$6 &gt;= Table4[[#This Row],[StartMP]], ClosureLocation!$B$6 &lt;= Table4[[#This Row],[EndMP]]), "Yes", "")</f>
        <v/>
      </c>
      <c r="Q2087" s="1" t="str">
        <f>IF( AND( Table4[[#This Row],[Route]]=ClosureLocation!$B$3, ClosureLocation!$B$6 &lt;= Table4[[#This Row],[StartMP]], ClosureLocation!$B$6 &gt;= Table4[[#This Row],[EndMP]]), "Yes", "")</f>
        <v/>
      </c>
      <c r="R2087" s="1" t="str">
        <f>IF( OR( Table4[[#This Row],[PrimaryMatch]]="Yes", Table4[[#This Row],[SecondaryMatch]]="Yes"), "Yes", "")</f>
        <v/>
      </c>
    </row>
    <row r="2088" spans="1:18" hidden="1" x14ac:dyDescent="0.25">
      <c r="A2088" t="s">
        <v>1645</v>
      </c>
      <c r="B2088" t="s">
        <v>3209</v>
      </c>
      <c r="C2088" t="s">
        <v>3226</v>
      </c>
      <c r="D2088" t="s">
        <v>4694</v>
      </c>
      <c r="E2088" s="1">
        <v>15.462</v>
      </c>
      <c r="F2088" s="1">
        <v>15.42</v>
      </c>
      <c r="K2088" s="39">
        <f>DefaultValues!$B$4</f>
        <v>5</v>
      </c>
      <c r="L2088" s="1">
        <f>DefaultValues!$C$4</f>
        <v>0.5</v>
      </c>
      <c r="M2088" s="1" t="str">
        <f>DefaultValues!$D$4</f>
        <v xml:space="preserve">- Within interchange - </v>
      </c>
      <c r="N2088" s="1">
        <v>984.53802499999995</v>
      </c>
      <c r="O2088" s="1">
        <f>ABS(Table4[[#This Row],[EndMP]]-Table4[[#This Row],[StartMP]])</f>
        <v>4.1999999999999815E-2</v>
      </c>
      <c r="P2088" s="1" t="str">
        <f>IF( AND( Table4[[#This Row],[Route]]=ClosureLocation!$B$3, ClosureLocation!$B$6 &gt;= Table4[[#This Row],[StartMP]], ClosureLocation!$B$6 &lt;= Table4[[#This Row],[EndMP]]), "Yes", "")</f>
        <v/>
      </c>
      <c r="Q2088" s="1" t="str">
        <f>IF( AND( Table4[[#This Row],[Route]]=ClosureLocation!$B$3, ClosureLocation!$B$6 &lt;= Table4[[#This Row],[StartMP]], ClosureLocation!$B$6 &gt;= Table4[[#This Row],[EndMP]]), "Yes", "")</f>
        <v/>
      </c>
      <c r="R2088" s="1" t="str">
        <f>IF( OR( Table4[[#This Row],[PrimaryMatch]]="Yes", Table4[[#This Row],[SecondaryMatch]]="Yes"), "Yes", "")</f>
        <v/>
      </c>
    </row>
    <row r="2089" spans="1:18" hidden="1" x14ac:dyDescent="0.25">
      <c r="A2089" t="s">
        <v>1645</v>
      </c>
      <c r="B2089" t="s">
        <v>3209</v>
      </c>
      <c r="C2089" t="s">
        <v>3226</v>
      </c>
      <c r="D2089" t="s">
        <v>4694</v>
      </c>
      <c r="E2089" s="1">
        <v>14.284000000000001</v>
      </c>
      <c r="F2089" s="1">
        <v>13.54</v>
      </c>
      <c r="K2089" s="39">
        <f>DefaultValues!$B$4</f>
        <v>5</v>
      </c>
      <c r="L2089" s="1">
        <f>DefaultValues!$C$4</f>
        <v>0.5</v>
      </c>
      <c r="M2089" s="1" t="str">
        <f>DefaultValues!$D$4</f>
        <v xml:space="preserve">- Within interchange - </v>
      </c>
      <c r="N2089" s="1">
        <v>985.716003</v>
      </c>
      <c r="O2089" s="1">
        <f>ABS(Table4[[#This Row],[EndMP]]-Table4[[#This Row],[StartMP]])</f>
        <v>0.74400000000000155</v>
      </c>
      <c r="P2089" s="1" t="str">
        <f>IF( AND( Table4[[#This Row],[Route]]=ClosureLocation!$B$3, ClosureLocation!$B$6 &gt;= Table4[[#This Row],[StartMP]], ClosureLocation!$B$6 &lt;= Table4[[#This Row],[EndMP]]), "Yes", "")</f>
        <v/>
      </c>
      <c r="Q2089" s="1" t="str">
        <f>IF( AND( Table4[[#This Row],[Route]]=ClosureLocation!$B$3, ClosureLocation!$B$6 &lt;= Table4[[#This Row],[StartMP]], ClosureLocation!$B$6 &gt;= Table4[[#This Row],[EndMP]]), "Yes", "")</f>
        <v/>
      </c>
      <c r="R2089" s="1" t="str">
        <f>IF( OR( Table4[[#This Row],[PrimaryMatch]]="Yes", Table4[[#This Row],[SecondaryMatch]]="Yes"), "Yes", "")</f>
        <v/>
      </c>
    </row>
    <row r="2090" spans="1:18" hidden="1" x14ac:dyDescent="0.25">
      <c r="A2090" t="s">
        <v>1645</v>
      </c>
      <c r="B2090" t="s">
        <v>3209</v>
      </c>
      <c r="C2090" t="s">
        <v>3226</v>
      </c>
      <c r="D2090" t="s">
        <v>4694</v>
      </c>
      <c r="E2090" s="1">
        <v>12.737</v>
      </c>
      <c r="F2090" s="1">
        <v>12.131</v>
      </c>
      <c r="K2090" s="39">
        <f>DefaultValues!$B$4</f>
        <v>5</v>
      </c>
      <c r="L2090" s="1">
        <f>DefaultValues!$C$4</f>
        <v>0.5</v>
      </c>
      <c r="M2090" s="1" t="str">
        <f>DefaultValues!$D$4</f>
        <v xml:space="preserve">- Within interchange - </v>
      </c>
      <c r="N2090" s="1">
        <v>987.26300000000003</v>
      </c>
      <c r="O2090" s="1">
        <f>ABS(Table4[[#This Row],[EndMP]]-Table4[[#This Row],[StartMP]])</f>
        <v>0.60599999999999987</v>
      </c>
      <c r="P2090" s="1" t="str">
        <f>IF( AND( Table4[[#This Row],[Route]]=ClosureLocation!$B$3, ClosureLocation!$B$6 &gt;= Table4[[#This Row],[StartMP]], ClosureLocation!$B$6 &lt;= Table4[[#This Row],[EndMP]]), "Yes", "")</f>
        <v/>
      </c>
      <c r="Q2090" s="1" t="str">
        <f>IF( AND( Table4[[#This Row],[Route]]=ClosureLocation!$B$3, ClosureLocation!$B$6 &lt;= Table4[[#This Row],[StartMP]], ClosureLocation!$B$6 &gt;= Table4[[#This Row],[EndMP]]), "Yes", "")</f>
        <v/>
      </c>
      <c r="R2090" s="1" t="str">
        <f>IF( OR( Table4[[#This Row],[PrimaryMatch]]="Yes", Table4[[#This Row],[SecondaryMatch]]="Yes"), "Yes", "")</f>
        <v/>
      </c>
    </row>
    <row r="2091" spans="1:18" hidden="1" x14ac:dyDescent="0.25">
      <c r="A2091" t="s">
        <v>1645</v>
      </c>
      <c r="B2091" t="s">
        <v>3209</v>
      </c>
      <c r="C2091" t="s">
        <v>3226</v>
      </c>
      <c r="D2091" t="s">
        <v>4694</v>
      </c>
      <c r="E2091" s="1">
        <v>10.452</v>
      </c>
      <c r="F2091" s="1">
        <v>9.8960000000000008</v>
      </c>
      <c r="K2091" s="39">
        <f>DefaultValues!$B$4</f>
        <v>5</v>
      </c>
      <c r="L2091" s="1">
        <f>DefaultValues!$C$4</f>
        <v>0.5</v>
      </c>
      <c r="M2091" s="1" t="str">
        <f>DefaultValues!$D$4</f>
        <v xml:space="preserve">- Within interchange - </v>
      </c>
      <c r="N2091" s="1">
        <v>989.54797399999995</v>
      </c>
      <c r="O2091" s="1">
        <f>ABS(Table4[[#This Row],[EndMP]]-Table4[[#This Row],[StartMP]])</f>
        <v>0.55599999999999916</v>
      </c>
      <c r="P2091" s="1" t="str">
        <f>IF( AND( Table4[[#This Row],[Route]]=ClosureLocation!$B$3, ClosureLocation!$B$6 &gt;= Table4[[#This Row],[StartMP]], ClosureLocation!$B$6 &lt;= Table4[[#This Row],[EndMP]]), "Yes", "")</f>
        <v/>
      </c>
      <c r="Q2091" s="1" t="str">
        <f>IF( AND( Table4[[#This Row],[Route]]=ClosureLocation!$B$3, ClosureLocation!$B$6 &lt;= Table4[[#This Row],[StartMP]], ClosureLocation!$B$6 &gt;= Table4[[#This Row],[EndMP]]), "Yes", "")</f>
        <v/>
      </c>
      <c r="R2091" s="1" t="str">
        <f>IF( OR( Table4[[#This Row],[PrimaryMatch]]="Yes", Table4[[#This Row],[SecondaryMatch]]="Yes"), "Yes", "")</f>
        <v/>
      </c>
    </row>
    <row r="2092" spans="1:18" hidden="1" x14ac:dyDescent="0.25">
      <c r="A2092" t="s">
        <v>1645</v>
      </c>
      <c r="B2092" t="s">
        <v>3209</v>
      </c>
      <c r="C2092" t="s">
        <v>3226</v>
      </c>
      <c r="D2092" t="s">
        <v>4694</v>
      </c>
      <c r="E2092" s="1">
        <v>8.1630000000000003</v>
      </c>
      <c r="F2092" s="1">
        <v>7.6349999999999998</v>
      </c>
      <c r="K2092" s="39">
        <f>DefaultValues!$B$4</f>
        <v>5</v>
      </c>
      <c r="L2092" s="1">
        <f>DefaultValues!$C$4</f>
        <v>0.5</v>
      </c>
      <c r="M2092" s="1" t="str">
        <f>DefaultValues!$D$4</f>
        <v xml:space="preserve">- Within interchange - </v>
      </c>
      <c r="N2092" s="1">
        <v>991.83697500000005</v>
      </c>
      <c r="O2092" s="1">
        <f>ABS(Table4[[#This Row],[EndMP]]-Table4[[#This Row],[StartMP]])</f>
        <v>0.52800000000000047</v>
      </c>
      <c r="P2092" s="1" t="str">
        <f>IF( AND( Table4[[#This Row],[Route]]=ClosureLocation!$B$3, ClosureLocation!$B$6 &gt;= Table4[[#This Row],[StartMP]], ClosureLocation!$B$6 &lt;= Table4[[#This Row],[EndMP]]), "Yes", "")</f>
        <v/>
      </c>
      <c r="Q2092" s="1" t="str">
        <f>IF( AND( Table4[[#This Row],[Route]]=ClosureLocation!$B$3, ClosureLocation!$B$6 &lt;= Table4[[#This Row],[StartMP]], ClosureLocation!$B$6 &gt;= Table4[[#This Row],[EndMP]]), "Yes", "")</f>
        <v/>
      </c>
      <c r="R2092" s="1" t="str">
        <f>IF( OR( Table4[[#This Row],[PrimaryMatch]]="Yes", Table4[[#This Row],[SecondaryMatch]]="Yes"), "Yes", "")</f>
        <v/>
      </c>
    </row>
    <row r="2093" spans="1:18" hidden="1" x14ac:dyDescent="0.25">
      <c r="A2093" t="s">
        <v>1645</v>
      </c>
      <c r="B2093" t="s">
        <v>3209</v>
      </c>
      <c r="C2093" t="s">
        <v>3226</v>
      </c>
      <c r="D2093" t="s">
        <v>4694</v>
      </c>
      <c r="E2093" s="1">
        <v>6.6970000000000001</v>
      </c>
      <c r="F2093" s="1">
        <v>6.3840000000000003</v>
      </c>
      <c r="K2093" s="39">
        <f>DefaultValues!$B$4</f>
        <v>5</v>
      </c>
      <c r="L2093" s="1">
        <f>DefaultValues!$C$4</f>
        <v>0.5</v>
      </c>
      <c r="M2093" s="1" t="str">
        <f>DefaultValues!$D$4</f>
        <v xml:space="preserve">- Within interchange - </v>
      </c>
      <c r="N2093" s="1">
        <v>993.30297900000005</v>
      </c>
      <c r="O2093" s="1">
        <f>ABS(Table4[[#This Row],[EndMP]]-Table4[[#This Row],[StartMP]])</f>
        <v>0.31299999999999972</v>
      </c>
      <c r="P2093" s="1" t="str">
        <f>IF( AND( Table4[[#This Row],[Route]]=ClosureLocation!$B$3, ClosureLocation!$B$6 &gt;= Table4[[#This Row],[StartMP]], ClosureLocation!$B$6 &lt;= Table4[[#This Row],[EndMP]]), "Yes", "")</f>
        <v/>
      </c>
      <c r="Q2093" s="1" t="str">
        <f>IF( AND( Table4[[#This Row],[Route]]=ClosureLocation!$B$3, ClosureLocation!$B$6 &lt;= Table4[[#This Row],[StartMP]], ClosureLocation!$B$6 &gt;= Table4[[#This Row],[EndMP]]), "Yes", "")</f>
        <v/>
      </c>
      <c r="R2093" s="1" t="str">
        <f>IF( OR( Table4[[#This Row],[PrimaryMatch]]="Yes", Table4[[#This Row],[SecondaryMatch]]="Yes"), "Yes", "")</f>
        <v/>
      </c>
    </row>
    <row r="2094" spans="1:18" hidden="1" x14ac:dyDescent="0.25">
      <c r="A2094" t="s">
        <v>1645</v>
      </c>
      <c r="B2094" t="s">
        <v>3209</v>
      </c>
      <c r="C2094" t="s">
        <v>3226</v>
      </c>
      <c r="D2094" t="s">
        <v>4694</v>
      </c>
      <c r="E2094" s="1">
        <v>6.2759999999999998</v>
      </c>
      <c r="F2094" s="1">
        <v>5.484</v>
      </c>
      <c r="K2094" s="39">
        <f>DefaultValues!$B$4</f>
        <v>5</v>
      </c>
      <c r="L2094" s="1">
        <f>DefaultValues!$C$4</f>
        <v>0.5</v>
      </c>
      <c r="M2094" s="1" t="str">
        <f>DefaultValues!$D$4</f>
        <v xml:space="preserve">- Within interchange - </v>
      </c>
      <c r="N2094" s="1">
        <v>993.72399900000005</v>
      </c>
      <c r="O2094" s="1">
        <f>ABS(Table4[[#This Row],[EndMP]]-Table4[[#This Row],[StartMP]])</f>
        <v>0.79199999999999982</v>
      </c>
      <c r="P2094" s="1" t="str">
        <f>IF( AND( Table4[[#This Row],[Route]]=ClosureLocation!$B$3, ClosureLocation!$B$6 &gt;= Table4[[#This Row],[StartMP]], ClosureLocation!$B$6 &lt;= Table4[[#This Row],[EndMP]]), "Yes", "")</f>
        <v/>
      </c>
      <c r="Q2094" s="1" t="str">
        <f>IF( AND( Table4[[#This Row],[Route]]=ClosureLocation!$B$3, ClosureLocation!$B$6 &lt;= Table4[[#This Row],[StartMP]], ClosureLocation!$B$6 &gt;= Table4[[#This Row],[EndMP]]), "Yes", "")</f>
        <v/>
      </c>
      <c r="R2094" s="1" t="str">
        <f>IF( OR( Table4[[#This Row],[PrimaryMatch]]="Yes", Table4[[#This Row],[SecondaryMatch]]="Yes"), "Yes", "")</f>
        <v/>
      </c>
    </row>
    <row r="2095" spans="1:18" hidden="1" x14ac:dyDescent="0.25">
      <c r="A2095" t="s">
        <v>1645</v>
      </c>
      <c r="B2095" t="s">
        <v>3209</v>
      </c>
      <c r="C2095" t="s">
        <v>3226</v>
      </c>
      <c r="D2095" t="s">
        <v>4694</v>
      </c>
      <c r="E2095" s="1">
        <v>4.55</v>
      </c>
      <c r="F2095" s="1">
        <v>3.8889999999999998</v>
      </c>
      <c r="K2095" s="39">
        <f>DefaultValues!$B$4</f>
        <v>5</v>
      </c>
      <c r="L2095" s="1">
        <f>DefaultValues!$C$4</f>
        <v>0.5</v>
      </c>
      <c r="M2095" s="1" t="str">
        <f>DefaultValues!$D$4</f>
        <v xml:space="preserve">- Within interchange - </v>
      </c>
      <c r="N2095" s="1">
        <v>995.45001200000002</v>
      </c>
      <c r="O2095" s="1">
        <f>ABS(Table4[[#This Row],[EndMP]]-Table4[[#This Row],[StartMP]])</f>
        <v>0.66100000000000003</v>
      </c>
      <c r="P2095" s="1" t="str">
        <f>IF( AND( Table4[[#This Row],[Route]]=ClosureLocation!$B$3, ClosureLocation!$B$6 &gt;= Table4[[#This Row],[StartMP]], ClosureLocation!$B$6 &lt;= Table4[[#This Row],[EndMP]]), "Yes", "")</f>
        <v/>
      </c>
      <c r="Q2095" s="1" t="str">
        <f>IF( AND( Table4[[#This Row],[Route]]=ClosureLocation!$B$3, ClosureLocation!$B$6 &lt;= Table4[[#This Row],[StartMP]], ClosureLocation!$B$6 &gt;= Table4[[#This Row],[EndMP]]), "Yes", "")</f>
        <v/>
      </c>
      <c r="R2095" s="1" t="str">
        <f>IF( OR( Table4[[#This Row],[PrimaryMatch]]="Yes", Table4[[#This Row],[SecondaryMatch]]="Yes"), "Yes", "")</f>
        <v/>
      </c>
    </row>
    <row r="2096" spans="1:18" hidden="1" x14ac:dyDescent="0.25">
      <c r="A2096" t="s">
        <v>1645</v>
      </c>
      <c r="B2096" t="s">
        <v>3209</v>
      </c>
      <c r="C2096" t="s">
        <v>3226</v>
      </c>
      <c r="D2096" t="s">
        <v>4694</v>
      </c>
      <c r="E2096" s="1">
        <v>2.254</v>
      </c>
      <c r="F2096" s="1">
        <v>1.587</v>
      </c>
      <c r="K2096" s="39">
        <f>DefaultValues!$B$4</f>
        <v>5</v>
      </c>
      <c r="L2096" s="1">
        <f>DefaultValues!$C$4</f>
        <v>0.5</v>
      </c>
      <c r="M2096" s="1" t="str">
        <f>DefaultValues!$D$4</f>
        <v xml:space="preserve">- Within interchange - </v>
      </c>
      <c r="N2096" s="1">
        <v>997.74597200000005</v>
      </c>
      <c r="O2096" s="1">
        <f>ABS(Table4[[#This Row],[EndMP]]-Table4[[#This Row],[StartMP]])</f>
        <v>0.66700000000000004</v>
      </c>
      <c r="P2096" s="1" t="str">
        <f>IF( AND( Table4[[#This Row],[Route]]=ClosureLocation!$B$3, ClosureLocation!$B$6 &gt;= Table4[[#This Row],[StartMP]], ClosureLocation!$B$6 &lt;= Table4[[#This Row],[EndMP]]), "Yes", "")</f>
        <v/>
      </c>
      <c r="Q2096" s="1" t="str">
        <f>IF( AND( Table4[[#This Row],[Route]]=ClosureLocation!$B$3, ClosureLocation!$B$6 &lt;= Table4[[#This Row],[StartMP]], ClosureLocation!$B$6 &gt;= Table4[[#This Row],[EndMP]]), "Yes", "")</f>
        <v/>
      </c>
      <c r="R2096" s="1" t="str">
        <f>IF( OR( Table4[[#This Row],[PrimaryMatch]]="Yes", Table4[[#This Row],[SecondaryMatch]]="Yes"), "Yes", "")</f>
        <v/>
      </c>
    </row>
    <row r="2097" spans="1:18" hidden="1" x14ac:dyDescent="0.25">
      <c r="A2097" t="s">
        <v>1645</v>
      </c>
      <c r="B2097" t="s">
        <v>3209</v>
      </c>
      <c r="C2097" t="s">
        <v>3226</v>
      </c>
      <c r="D2097" t="s">
        <v>4694</v>
      </c>
      <c r="E2097" s="1">
        <v>0.47099999999999997</v>
      </c>
      <c r="F2097" s="1">
        <v>0.14599999999999999</v>
      </c>
      <c r="K2097" s="39">
        <f>DefaultValues!$B$4</f>
        <v>5</v>
      </c>
      <c r="L2097" s="1">
        <f>DefaultValues!$C$4</f>
        <v>0.5</v>
      </c>
      <c r="M2097" s="1" t="str">
        <f>DefaultValues!$D$4</f>
        <v xml:space="preserve">- Within interchange - </v>
      </c>
      <c r="N2097" s="1">
        <v>999.52899200000002</v>
      </c>
      <c r="O2097" s="1">
        <f>ABS(Table4[[#This Row],[EndMP]]-Table4[[#This Row],[StartMP]])</f>
        <v>0.32499999999999996</v>
      </c>
      <c r="P2097" s="1" t="str">
        <f>IF( AND( Table4[[#This Row],[Route]]=ClosureLocation!$B$3, ClosureLocation!$B$6 &gt;= Table4[[#This Row],[StartMP]], ClosureLocation!$B$6 &lt;= Table4[[#This Row],[EndMP]]), "Yes", "")</f>
        <v/>
      </c>
      <c r="Q2097" s="1" t="str">
        <f>IF( AND( Table4[[#This Row],[Route]]=ClosureLocation!$B$3, ClosureLocation!$B$6 &lt;= Table4[[#This Row],[StartMP]], ClosureLocation!$B$6 &gt;= Table4[[#This Row],[EndMP]]), "Yes", "")</f>
        <v/>
      </c>
      <c r="R2097" s="1" t="str">
        <f>IF( OR( Table4[[#This Row],[PrimaryMatch]]="Yes", Table4[[#This Row],[SecondaryMatch]]="Yes"), "Yes", "")</f>
        <v/>
      </c>
    </row>
    <row r="2098" spans="1:18" hidden="1" x14ac:dyDescent="0.25">
      <c r="A2098" t="s">
        <v>1654</v>
      </c>
      <c r="B2098" t="s">
        <v>3205</v>
      </c>
      <c r="C2098" t="s">
        <v>3206</v>
      </c>
      <c r="D2098" t="s">
        <v>4399</v>
      </c>
      <c r="E2098" s="1">
        <v>1.333</v>
      </c>
      <c r="F2098" s="1">
        <v>2.0379999999999998</v>
      </c>
      <c r="K2098" s="39">
        <f>DefaultValues!$B$4</f>
        <v>5</v>
      </c>
      <c r="L2098" s="1">
        <f>DefaultValues!$C$4</f>
        <v>0.5</v>
      </c>
      <c r="M2098" s="1" t="str">
        <f>DefaultValues!$D$4</f>
        <v xml:space="preserve">- Within interchange - </v>
      </c>
      <c r="N2098" s="1">
        <v>1.333</v>
      </c>
      <c r="O2098" s="1">
        <f>ABS(Table4[[#This Row],[EndMP]]-Table4[[#This Row],[StartMP]])</f>
        <v>0.70499999999999985</v>
      </c>
      <c r="P2098" s="1" t="str">
        <f>IF( AND( Table4[[#This Row],[Route]]=ClosureLocation!$B$3, ClosureLocation!$B$6 &gt;= Table4[[#This Row],[StartMP]], ClosureLocation!$B$6 &lt;= Table4[[#This Row],[EndMP]]), "Yes", "")</f>
        <v/>
      </c>
      <c r="Q2098" s="1" t="str">
        <f>IF( AND( Table4[[#This Row],[Route]]=ClosureLocation!$B$3, ClosureLocation!$B$6 &lt;= Table4[[#This Row],[StartMP]], ClosureLocation!$B$6 &gt;= Table4[[#This Row],[EndMP]]), "Yes", "")</f>
        <v/>
      </c>
      <c r="R2098" s="1" t="str">
        <f>IF( OR( Table4[[#This Row],[PrimaryMatch]]="Yes", Table4[[#This Row],[SecondaryMatch]]="Yes"), "Yes", "")</f>
        <v/>
      </c>
    </row>
    <row r="2099" spans="1:18" hidden="1" x14ac:dyDescent="0.25">
      <c r="A2099" t="s">
        <v>1654</v>
      </c>
      <c r="B2099" t="s">
        <v>3205</v>
      </c>
      <c r="C2099" t="s">
        <v>3206</v>
      </c>
      <c r="D2099" t="s">
        <v>4399</v>
      </c>
      <c r="E2099" s="1">
        <v>3.2360000000000002</v>
      </c>
      <c r="F2099" s="1">
        <v>3.8340000000000001</v>
      </c>
      <c r="K2099" s="39">
        <f>DefaultValues!$B$4</f>
        <v>5</v>
      </c>
      <c r="L2099" s="1">
        <f>DefaultValues!$C$4</f>
        <v>0.5</v>
      </c>
      <c r="M2099" s="1" t="str">
        <f>DefaultValues!$D$4</f>
        <v xml:space="preserve">- Within interchange - </v>
      </c>
      <c r="N2099" s="1">
        <v>3.2360000000000002</v>
      </c>
      <c r="O2099" s="1">
        <f>ABS(Table4[[#This Row],[EndMP]]-Table4[[#This Row],[StartMP]])</f>
        <v>0.59799999999999986</v>
      </c>
      <c r="P2099" s="1" t="str">
        <f>IF( AND( Table4[[#This Row],[Route]]=ClosureLocation!$B$3, ClosureLocation!$B$6 &gt;= Table4[[#This Row],[StartMP]], ClosureLocation!$B$6 &lt;= Table4[[#This Row],[EndMP]]), "Yes", "")</f>
        <v/>
      </c>
      <c r="Q2099" s="1" t="str">
        <f>IF( AND( Table4[[#This Row],[Route]]=ClosureLocation!$B$3, ClosureLocation!$B$6 &lt;= Table4[[#This Row],[StartMP]], ClosureLocation!$B$6 &gt;= Table4[[#This Row],[EndMP]]), "Yes", "")</f>
        <v/>
      </c>
      <c r="R2099" s="1" t="str">
        <f>IF( OR( Table4[[#This Row],[PrimaryMatch]]="Yes", Table4[[#This Row],[SecondaryMatch]]="Yes"), "Yes", "")</f>
        <v/>
      </c>
    </row>
    <row r="2100" spans="1:18" hidden="1" x14ac:dyDescent="0.25">
      <c r="A2100" t="s">
        <v>1654</v>
      </c>
      <c r="B2100" t="s">
        <v>3205</v>
      </c>
      <c r="C2100" t="s">
        <v>3206</v>
      </c>
      <c r="D2100" t="s">
        <v>4399</v>
      </c>
      <c r="E2100" s="1">
        <v>4.0540000000000003</v>
      </c>
      <c r="F2100" s="1">
        <v>4.6390000000000002</v>
      </c>
      <c r="K2100" s="39">
        <f>DefaultValues!$B$4</f>
        <v>5</v>
      </c>
      <c r="L2100" s="1">
        <f>DefaultValues!$C$4</f>
        <v>0.5</v>
      </c>
      <c r="M2100" s="1" t="str">
        <f>DefaultValues!$D$4</f>
        <v xml:space="preserve">- Within interchange - </v>
      </c>
      <c r="N2100" s="1">
        <v>4.0540000000000003</v>
      </c>
      <c r="O2100" s="1">
        <f>ABS(Table4[[#This Row],[EndMP]]-Table4[[#This Row],[StartMP]])</f>
        <v>0.58499999999999996</v>
      </c>
      <c r="P2100" s="1" t="str">
        <f>IF( AND( Table4[[#This Row],[Route]]=ClosureLocation!$B$3, ClosureLocation!$B$6 &gt;= Table4[[#This Row],[StartMP]], ClosureLocation!$B$6 &lt;= Table4[[#This Row],[EndMP]]), "Yes", "")</f>
        <v/>
      </c>
      <c r="Q2100" s="1" t="str">
        <f>IF( AND( Table4[[#This Row],[Route]]=ClosureLocation!$B$3, ClosureLocation!$B$6 &lt;= Table4[[#This Row],[StartMP]], ClosureLocation!$B$6 &gt;= Table4[[#This Row],[EndMP]]), "Yes", "")</f>
        <v/>
      </c>
      <c r="R2100" s="1" t="str">
        <f>IF( OR( Table4[[#This Row],[PrimaryMatch]]="Yes", Table4[[#This Row],[SecondaryMatch]]="Yes"), "Yes", "")</f>
        <v/>
      </c>
    </row>
    <row r="2101" spans="1:18" hidden="1" x14ac:dyDescent="0.25">
      <c r="A2101" t="s">
        <v>1654</v>
      </c>
      <c r="B2101" t="s">
        <v>3205</v>
      </c>
      <c r="C2101" t="s">
        <v>3206</v>
      </c>
      <c r="D2101" t="s">
        <v>4399</v>
      </c>
      <c r="E2101" s="1">
        <v>4.859</v>
      </c>
      <c r="F2101" s="1">
        <v>5.5810000000000004</v>
      </c>
      <c r="K2101" s="39">
        <f>DefaultValues!$B$4</f>
        <v>5</v>
      </c>
      <c r="L2101" s="1">
        <f>DefaultValues!$C$4</f>
        <v>0.5</v>
      </c>
      <c r="M2101" s="1" t="str">
        <f>DefaultValues!$D$4</f>
        <v xml:space="preserve">- Within interchange - </v>
      </c>
      <c r="N2101" s="1">
        <v>4.859</v>
      </c>
      <c r="O2101" s="1">
        <f>ABS(Table4[[#This Row],[EndMP]]-Table4[[#This Row],[StartMP]])</f>
        <v>0.72200000000000042</v>
      </c>
      <c r="P2101" s="1" t="str">
        <f>IF( AND( Table4[[#This Row],[Route]]=ClosureLocation!$B$3, ClosureLocation!$B$6 &gt;= Table4[[#This Row],[StartMP]], ClosureLocation!$B$6 &lt;= Table4[[#This Row],[EndMP]]), "Yes", "")</f>
        <v/>
      </c>
      <c r="Q2101" s="1" t="str">
        <f>IF( AND( Table4[[#This Row],[Route]]=ClosureLocation!$B$3, ClosureLocation!$B$6 &lt;= Table4[[#This Row],[StartMP]], ClosureLocation!$B$6 &gt;= Table4[[#This Row],[EndMP]]), "Yes", "")</f>
        <v/>
      </c>
      <c r="R2101" s="1" t="str">
        <f>IF( OR( Table4[[#This Row],[PrimaryMatch]]="Yes", Table4[[#This Row],[SecondaryMatch]]="Yes"), "Yes", "")</f>
        <v/>
      </c>
    </row>
    <row r="2102" spans="1:18" hidden="1" x14ac:dyDescent="0.25">
      <c r="A2102" t="s">
        <v>1654</v>
      </c>
      <c r="B2102" t="s">
        <v>3205</v>
      </c>
      <c r="C2102" t="s">
        <v>3206</v>
      </c>
      <c r="D2102" t="s">
        <v>4399</v>
      </c>
      <c r="E2102" s="1">
        <v>8.4039999999999999</v>
      </c>
      <c r="F2102" s="1">
        <v>9.2590000000000003</v>
      </c>
      <c r="K2102" s="39">
        <f>DefaultValues!$B$4</f>
        <v>5</v>
      </c>
      <c r="L2102" s="1">
        <f>DefaultValues!$C$4</f>
        <v>0.5</v>
      </c>
      <c r="M2102" s="1" t="str">
        <f>DefaultValues!$D$4</f>
        <v xml:space="preserve">- Within interchange - </v>
      </c>
      <c r="N2102" s="1">
        <v>8.4039999999999999</v>
      </c>
      <c r="O2102" s="1">
        <f>ABS(Table4[[#This Row],[EndMP]]-Table4[[#This Row],[StartMP]])</f>
        <v>0.85500000000000043</v>
      </c>
      <c r="P2102" s="1" t="str">
        <f>IF( AND( Table4[[#This Row],[Route]]=ClosureLocation!$B$3, ClosureLocation!$B$6 &gt;= Table4[[#This Row],[StartMP]], ClosureLocation!$B$6 &lt;= Table4[[#This Row],[EndMP]]), "Yes", "")</f>
        <v/>
      </c>
      <c r="Q2102" s="1" t="str">
        <f>IF( AND( Table4[[#This Row],[Route]]=ClosureLocation!$B$3, ClosureLocation!$B$6 &lt;= Table4[[#This Row],[StartMP]], ClosureLocation!$B$6 &gt;= Table4[[#This Row],[EndMP]]), "Yes", "")</f>
        <v/>
      </c>
      <c r="R2102" s="1" t="str">
        <f>IF( OR( Table4[[#This Row],[PrimaryMatch]]="Yes", Table4[[#This Row],[SecondaryMatch]]="Yes"), "Yes", "")</f>
        <v/>
      </c>
    </row>
    <row r="2103" spans="1:18" hidden="1" x14ac:dyDescent="0.25">
      <c r="A2103" t="s">
        <v>1654</v>
      </c>
      <c r="B2103" t="s">
        <v>3205</v>
      </c>
      <c r="C2103" t="s">
        <v>3206</v>
      </c>
      <c r="D2103" t="s">
        <v>4399</v>
      </c>
      <c r="E2103" s="1">
        <v>9.9529999999999994</v>
      </c>
      <c r="F2103" s="1">
        <v>11.12</v>
      </c>
      <c r="K2103" s="39">
        <f>DefaultValues!$B$4</f>
        <v>5</v>
      </c>
      <c r="L2103" s="1">
        <f>DefaultValues!$C$4</f>
        <v>0.5</v>
      </c>
      <c r="M2103" s="1" t="str">
        <f>DefaultValues!$D$4</f>
        <v xml:space="preserve">- Within interchange - </v>
      </c>
      <c r="N2103" s="1">
        <v>9.9529999999999994</v>
      </c>
      <c r="O2103" s="1">
        <f>ABS(Table4[[#This Row],[EndMP]]-Table4[[#This Row],[StartMP]])</f>
        <v>1.1669999999999998</v>
      </c>
      <c r="P2103" s="1" t="str">
        <f>IF( AND( Table4[[#This Row],[Route]]=ClosureLocation!$B$3, ClosureLocation!$B$6 &gt;= Table4[[#This Row],[StartMP]], ClosureLocation!$B$6 &lt;= Table4[[#This Row],[EndMP]]), "Yes", "")</f>
        <v/>
      </c>
      <c r="Q2103" s="1" t="str">
        <f>IF( AND( Table4[[#This Row],[Route]]=ClosureLocation!$B$3, ClosureLocation!$B$6 &lt;= Table4[[#This Row],[StartMP]], ClosureLocation!$B$6 &gt;= Table4[[#This Row],[EndMP]]), "Yes", "")</f>
        <v/>
      </c>
      <c r="R2103" s="1" t="str">
        <f>IF( OR( Table4[[#This Row],[PrimaryMatch]]="Yes", Table4[[#This Row],[SecondaryMatch]]="Yes"), "Yes", "")</f>
        <v/>
      </c>
    </row>
    <row r="2104" spans="1:18" hidden="1" x14ac:dyDescent="0.25">
      <c r="A2104" t="s">
        <v>1654</v>
      </c>
      <c r="B2104" t="s">
        <v>3205</v>
      </c>
      <c r="C2104" t="s">
        <v>3206</v>
      </c>
      <c r="D2104" t="s">
        <v>4399</v>
      </c>
      <c r="E2104" s="1">
        <v>12.919</v>
      </c>
      <c r="F2104" s="1">
        <v>13.598000000000001</v>
      </c>
      <c r="K2104" s="39">
        <f>DefaultValues!$B$4</f>
        <v>5</v>
      </c>
      <c r="L2104" s="1">
        <f>DefaultValues!$C$4</f>
        <v>0.5</v>
      </c>
      <c r="M2104" s="1" t="str">
        <f>DefaultValues!$D$4</f>
        <v xml:space="preserve">- Within interchange - </v>
      </c>
      <c r="N2104" s="1">
        <v>12.919</v>
      </c>
      <c r="O2104" s="1">
        <f>ABS(Table4[[#This Row],[EndMP]]-Table4[[#This Row],[StartMP]])</f>
        <v>0.67900000000000027</v>
      </c>
      <c r="P2104" s="1" t="str">
        <f>IF( AND( Table4[[#This Row],[Route]]=ClosureLocation!$B$3, ClosureLocation!$B$6 &gt;= Table4[[#This Row],[StartMP]], ClosureLocation!$B$6 &lt;= Table4[[#This Row],[EndMP]]), "Yes", "")</f>
        <v/>
      </c>
      <c r="Q2104" s="1" t="str">
        <f>IF( AND( Table4[[#This Row],[Route]]=ClosureLocation!$B$3, ClosureLocation!$B$6 &lt;= Table4[[#This Row],[StartMP]], ClosureLocation!$B$6 &gt;= Table4[[#This Row],[EndMP]]), "Yes", "")</f>
        <v/>
      </c>
      <c r="R2104" s="1" t="str">
        <f>IF( OR( Table4[[#This Row],[PrimaryMatch]]="Yes", Table4[[#This Row],[SecondaryMatch]]="Yes"), "Yes", "")</f>
        <v/>
      </c>
    </row>
    <row r="2105" spans="1:18" hidden="1" x14ac:dyDescent="0.25">
      <c r="A2105" t="s">
        <v>1654</v>
      </c>
      <c r="B2105" t="s">
        <v>3205</v>
      </c>
      <c r="C2105" t="s">
        <v>3206</v>
      </c>
      <c r="D2105" t="s">
        <v>4399</v>
      </c>
      <c r="E2105" s="1">
        <v>16.061001000000001</v>
      </c>
      <c r="F2105" s="1">
        <v>16.822001</v>
      </c>
      <c r="K2105" s="39">
        <f>DefaultValues!$B$4</f>
        <v>5</v>
      </c>
      <c r="L2105" s="1">
        <f>DefaultValues!$C$4</f>
        <v>0.5</v>
      </c>
      <c r="M2105" s="1" t="str">
        <f>DefaultValues!$D$4</f>
        <v xml:space="preserve">- Within interchange - </v>
      </c>
      <c r="N2105" s="1">
        <v>16.061001000000001</v>
      </c>
      <c r="O2105" s="1">
        <f>ABS(Table4[[#This Row],[EndMP]]-Table4[[#This Row],[StartMP]])</f>
        <v>0.76099999999999923</v>
      </c>
      <c r="P2105" s="1" t="str">
        <f>IF( AND( Table4[[#This Row],[Route]]=ClosureLocation!$B$3, ClosureLocation!$B$6 &gt;= Table4[[#This Row],[StartMP]], ClosureLocation!$B$6 &lt;= Table4[[#This Row],[EndMP]]), "Yes", "")</f>
        <v/>
      </c>
      <c r="Q2105" s="1" t="str">
        <f>IF( AND( Table4[[#This Row],[Route]]=ClosureLocation!$B$3, ClosureLocation!$B$6 &lt;= Table4[[#This Row],[StartMP]], ClosureLocation!$B$6 &gt;= Table4[[#This Row],[EndMP]]), "Yes", "")</f>
        <v/>
      </c>
      <c r="R2105" s="1" t="str">
        <f>IF( OR( Table4[[#This Row],[PrimaryMatch]]="Yes", Table4[[#This Row],[SecondaryMatch]]="Yes"), "Yes", "")</f>
        <v/>
      </c>
    </row>
    <row r="2106" spans="1:18" hidden="1" x14ac:dyDescent="0.25">
      <c r="A2106" t="s">
        <v>1654</v>
      </c>
      <c r="B2106" t="s">
        <v>3205</v>
      </c>
      <c r="C2106" t="s">
        <v>3206</v>
      </c>
      <c r="D2106" t="s">
        <v>4399</v>
      </c>
      <c r="E2106" s="1">
        <v>18.725000000000001</v>
      </c>
      <c r="F2106" s="1">
        <v>19.462999</v>
      </c>
      <c r="K2106" s="39">
        <f>DefaultValues!$B$4</f>
        <v>5</v>
      </c>
      <c r="L2106" s="1">
        <f>DefaultValues!$C$4</f>
        <v>0.5</v>
      </c>
      <c r="M2106" s="1" t="str">
        <f>DefaultValues!$D$4</f>
        <v xml:space="preserve">- Within interchange - </v>
      </c>
      <c r="N2106" s="1">
        <v>18.725000000000001</v>
      </c>
      <c r="O2106" s="1">
        <f>ABS(Table4[[#This Row],[EndMP]]-Table4[[#This Row],[StartMP]])</f>
        <v>0.73799899999999852</v>
      </c>
      <c r="P2106" s="1" t="str">
        <f>IF( AND( Table4[[#This Row],[Route]]=ClosureLocation!$B$3, ClosureLocation!$B$6 &gt;= Table4[[#This Row],[StartMP]], ClosureLocation!$B$6 &lt;= Table4[[#This Row],[EndMP]]), "Yes", "")</f>
        <v/>
      </c>
      <c r="Q2106" s="1" t="str">
        <f>IF( AND( Table4[[#This Row],[Route]]=ClosureLocation!$B$3, ClosureLocation!$B$6 &lt;= Table4[[#This Row],[StartMP]], ClosureLocation!$B$6 &gt;= Table4[[#This Row],[EndMP]]), "Yes", "")</f>
        <v/>
      </c>
      <c r="R2106" s="1" t="str">
        <f>IF( OR( Table4[[#This Row],[PrimaryMatch]]="Yes", Table4[[#This Row],[SecondaryMatch]]="Yes"), "Yes", "")</f>
        <v/>
      </c>
    </row>
    <row r="2107" spans="1:18" hidden="1" x14ac:dyDescent="0.25">
      <c r="A2107" t="s">
        <v>1654</v>
      </c>
      <c r="B2107" t="s">
        <v>3205</v>
      </c>
      <c r="C2107" t="s">
        <v>3206</v>
      </c>
      <c r="D2107" t="s">
        <v>4399</v>
      </c>
      <c r="E2107" s="1">
        <v>19.509001000000001</v>
      </c>
      <c r="F2107" s="1">
        <v>21.127001</v>
      </c>
      <c r="K2107" s="39">
        <f>DefaultValues!$B$4</f>
        <v>5</v>
      </c>
      <c r="L2107" s="1">
        <f>DefaultValues!$C$4</f>
        <v>0.5</v>
      </c>
      <c r="M2107" s="1" t="str">
        <f>DefaultValues!$D$4</f>
        <v xml:space="preserve">- Within interchange - </v>
      </c>
      <c r="N2107" s="1">
        <v>19.509001000000001</v>
      </c>
      <c r="O2107" s="1">
        <f>ABS(Table4[[#This Row],[EndMP]]-Table4[[#This Row],[StartMP]])</f>
        <v>1.6179999999999986</v>
      </c>
      <c r="P2107" s="1" t="str">
        <f>IF( AND( Table4[[#This Row],[Route]]=ClosureLocation!$B$3, ClosureLocation!$B$6 &gt;= Table4[[#This Row],[StartMP]], ClosureLocation!$B$6 &lt;= Table4[[#This Row],[EndMP]]), "Yes", "")</f>
        <v/>
      </c>
      <c r="Q2107" s="1" t="str">
        <f>IF( AND( Table4[[#This Row],[Route]]=ClosureLocation!$B$3, ClosureLocation!$B$6 &lt;= Table4[[#This Row],[StartMP]], ClosureLocation!$B$6 &gt;= Table4[[#This Row],[EndMP]]), "Yes", "")</f>
        <v/>
      </c>
      <c r="R2107" s="1" t="str">
        <f>IF( OR( Table4[[#This Row],[PrimaryMatch]]="Yes", Table4[[#This Row],[SecondaryMatch]]="Yes"), "Yes", "")</f>
        <v/>
      </c>
    </row>
    <row r="2108" spans="1:18" hidden="1" x14ac:dyDescent="0.25">
      <c r="A2108" t="s">
        <v>1654</v>
      </c>
      <c r="B2108" t="s">
        <v>3205</v>
      </c>
      <c r="C2108" t="s">
        <v>3206</v>
      </c>
      <c r="D2108" t="s">
        <v>4399</v>
      </c>
      <c r="E2108" s="1">
        <v>24.158000999999999</v>
      </c>
      <c r="F2108" s="1">
        <v>24.844999000000001</v>
      </c>
      <c r="K2108" s="39">
        <f>DefaultValues!$B$4</f>
        <v>5</v>
      </c>
      <c r="L2108" s="1">
        <f>DefaultValues!$C$4</f>
        <v>0.5</v>
      </c>
      <c r="M2108" s="1" t="str">
        <f>DefaultValues!$D$4</f>
        <v xml:space="preserve">- Within interchange - </v>
      </c>
      <c r="N2108" s="1">
        <v>24.158000999999999</v>
      </c>
      <c r="O2108" s="1">
        <f>ABS(Table4[[#This Row],[EndMP]]-Table4[[#This Row],[StartMP]])</f>
        <v>0.68699800000000266</v>
      </c>
      <c r="P2108" s="1" t="str">
        <f>IF( AND( Table4[[#This Row],[Route]]=ClosureLocation!$B$3, ClosureLocation!$B$6 &gt;= Table4[[#This Row],[StartMP]], ClosureLocation!$B$6 &lt;= Table4[[#This Row],[EndMP]]), "Yes", "")</f>
        <v/>
      </c>
      <c r="Q2108" s="1" t="str">
        <f>IF( AND( Table4[[#This Row],[Route]]=ClosureLocation!$B$3, ClosureLocation!$B$6 &lt;= Table4[[#This Row],[StartMP]], ClosureLocation!$B$6 &gt;= Table4[[#This Row],[EndMP]]), "Yes", "")</f>
        <v/>
      </c>
      <c r="R2108" s="1" t="str">
        <f>IF( OR( Table4[[#This Row],[PrimaryMatch]]="Yes", Table4[[#This Row],[SecondaryMatch]]="Yes"), "Yes", "")</f>
        <v/>
      </c>
    </row>
    <row r="2109" spans="1:18" hidden="1" x14ac:dyDescent="0.25">
      <c r="A2109" t="s">
        <v>1654</v>
      </c>
      <c r="B2109" t="s">
        <v>3205</v>
      </c>
      <c r="C2109" t="s">
        <v>3206</v>
      </c>
      <c r="D2109" t="s">
        <v>4399</v>
      </c>
      <c r="E2109" s="1">
        <v>25.124001</v>
      </c>
      <c r="F2109" s="1">
        <v>25.861999999999998</v>
      </c>
      <c r="K2109" s="39">
        <f>DefaultValues!$B$4</f>
        <v>5</v>
      </c>
      <c r="L2109" s="1">
        <f>DefaultValues!$C$4</f>
        <v>0.5</v>
      </c>
      <c r="M2109" s="1" t="str">
        <f>DefaultValues!$D$4</f>
        <v xml:space="preserve">- Within interchange - </v>
      </c>
      <c r="N2109" s="1">
        <v>25.124001</v>
      </c>
      <c r="O2109" s="1">
        <f>ABS(Table4[[#This Row],[EndMP]]-Table4[[#This Row],[StartMP]])</f>
        <v>0.73799899999999852</v>
      </c>
      <c r="P2109" s="1" t="str">
        <f>IF( AND( Table4[[#This Row],[Route]]=ClosureLocation!$B$3, ClosureLocation!$B$6 &gt;= Table4[[#This Row],[StartMP]], ClosureLocation!$B$6 &lt;= Table4[[#This Row],[EndMP]]), "Yes", "")</f>
        <v/>
      </c>
      <c r="Q2109" s="1" t="str">
        <f>IF( AND( Table4[[#This Row],[Route]]=ClosureLocation!$B$3, ClosureLocation!$B$6 &lt;= Table4[[#This Row],[StartMP]], ClosureLocation!$B$6 &gt;= Table4[[#This Row],[EndMP]]), "Yes", "")</f>
        <v/>
      </c>
      <c r="R2109" s="1" t="str">
        <f>IF( OR( Table4[[#This Row],[PrimaryMatch]]="Yes", Table4[[#This Row],[SecondaryMatch]]="Yes"), "Yes", "")</f>
        <v/>
      </c>
    </row>
    <row r="2110" spans="1:18" hidden="1" x14ac:dyDescent="0.25">
      <c r="A2110" t="s">
        <v>1654</v>
      </c>
      <c r="B2110" t="s">
        <v>3205</v>
      </c>
      <c r="C2110" t="s">
        <v>3206</v>
      </c>
      <c r="D2110" t="s">
        <v>4399</v>
      </c>
      <c r="E2110" s="1">
        <v>27.302</v>
      </c>
      <c r="F2110" s="1">
        <v>28.372999</v>
      </c>
      <c r="K2110" s="39">
        <f>DefaultValues!$B$4</f>
        <v>5</v>
      </c>
      <c r="L2110" s="1">
        <f>DefaultValues!$C$4</f>
        <v>0.5</v>
      </c>
      <c r="M2110" s="1" t="str">
        <f>DefaultValues!$D$4</f>
        <v xml:space="preserve">- Within interchange - </v>
      </c>
      <c r="N2110" s="1">
        <v>27.302</v>
      </c>
      <c r="O2110" s="1">
        <f>ABS(Table4[[#This Row],[EndMP]]-Table4[[#This Row],[StartMP]])</f>
        <v>1.0709990000000005</v>
      </c>
      <c r="P2110" s="1" t="str">
        <f>IF( AND( Table4[[#This Row],[Route]]=ClosureLocation!$B$3, ClosureLocation!$B$6 &gt;= Table4[[#This Row],[StartMP]], ClosureLocation!$B$6 &lt;= Table4[[#This Row],[EndMP]]), "Yes", "")</f>
        <v/>
      </c>
      <c r="Q2110" s="1" t="str">
        <f>IF( AND( Table4[[#This Row],[Route]]=ClosureLocation!$B$3, ClosureLocation!$B$6 &lt;= Table4[[#This Row],[StartMP]], ClosureLocation!$B$6 &gt;= Table4[[#This Row],[EndMP]]), "Yes", "")</f>
        <v/>
      </c>
      <c r="R2110" s="1" t="str">
        <f>IF( OR( Table4[[#This Row],[PrimaryMatch]]="Yes", Table4[[#This Row],[SecondaryMatch]]="Yes"), "Yes", "")</f>
        <v/>
      </c>
    </row>
    <row r="2111" spans="1:18" hidden="1" x14ac:dyDescent="0.25">
      <c r="A2111" t="s">
        <v>1654</v>
      </c>
      <c r="B2111" t="s">
        <v>3205</v>
      </c>
      <c r="C2111" t="s">
        <v>3206</v>
      </c>
      <c r="D2111" t="s">
        <v>4399</v>
      </c>
      <c r="E2111" s="1">
        <v>30.291</v>
      </c>
      <c r="F2111" s="1">
        <v>30.804001</v>
      </c>
      <c r="K2111" s="39">
        <f>DefaultValues!$B$4</f>
        <v>5</v>
      </c>
      <c r="L2111" s="1">
        <f>DefaultValues!$C$4</f>
        <v>0.5</v>
      </c>
      <c r="M2111" s="1" t="str">
        <f>DefaultValues!$D$4</f>
        <v xml:space="preserve">- Within interchange - </v>
      </c>
      <c r="N2111" s="1">
        <v>30.291</v>
      </c>
      <c r="O2111" s="1">
        <f>ABS(Table4[[#This Row],[EndMP]]-Table4[[#This Row],[StartMP]])</f>
        <v>0.51300099999999915</v>
      </c>
      <c r="P2111" s="1" t="str">
        <f>IF( AND( Table4[[#This Row],[Route]]=ClosureLocation!$B$3, ClosureLocation!$B$6 &gt;= Table4[[#This Row],[StartMP]], ClosureLocation!$B$6 &lt;= Table4[[#This Row],[EndMP]]), "Yes", "")</f>
        <v/>
      </c>
      <c r="Q2111" s="1" t="str">
        <f>IF( AND( Table4[[#This Row],[Route]]=ClosureLocation!$B$3, ClosureLocation!$B$6 &lt;= Table4[[#This Row],[StartMP]], ClosureLocation!$B$6 &gt;= Table4[[#This Row],[EndMP]]), "Yes", "")</f>
        <v/>
      </c>
      <c r="R2111" s="1" t="str">
        <f>IF( OR( Table4[[#This Row],[PrimaryMatch]]="Yes", Table4[[#This Row],[SecondaryMatch]]="Yes"), "Yes", "")</f>
        <v/>
      </c>
    </row>
    <row r="2112" spans="1:18" hidden="1" x14ac:dyDescent="0.25">
      <c r="A2112" t="s">
        <v>1654</v>
      </c>
      <c r="B2112" t="s">
        <v>3205</v>
      </c>
      <c r="C2112" t="s">
        <v>3206</v>
      </c>
      <c r="D2112" t="s">
        <v>4399</v>
      </c>
      <c r="E2112" s="1">
        <v>31.254999000000002</v>
      </c>
      <c r="F2112" s="1">
        <v>31.885000000000002</v>
      </c>
      <c r="K2112" s="39">
        <f>DefaultValues!$B$4</f>
        <v>5</v>
      </c>
      <c r="L2112" s="1">
        <f>DefaultValues!$C$4</f>
        <v>0.5</v>
      </c>
      <c r="M2112" s="1" t="str">
        <f>DefaultValues!$D$4</f>
        <v xml:space="preserve">- Within interchange - </v>
      </c>
      <c r="N2112" s="1">
        <v>31.254999000000002</v>
      </c>
      <c r="O2112" s="1">
        <f>ABS(Table4[[#This Row],[EndMP]]-Table4[[#This Row],[StartMP]])</f>
        <v>0.63000100000000003</v>
      </c>
      <c r="P2112" s="1" t="str">
        <f>IF( AND( Table4[[#This Row],[Route]]=ClosureLocation!$B$3, ClosureLocation!$B$6 &gt;= Table4[[#This Row],[StartMP]], ClosureLocation!$B$6 &lt;= Table4[[#This Row],[EndMP]]), "Yes", "")</f>
        <v/>
      </c>
      <c r="Q2112" s="1" t="str">
        <f>IF( AND( Table4[[#This Row],[Route]]=ClosureLocation!$B$3, ClosureLocation!$B$6 &lt;= Table4[[#This Row],[StartMP]], ClosureLocation!$B$6 &gt;= Table4[[#This Row],[EndMP]]), "Yes", "")</f>
        <v/>
      </c>
      <c r="R2112" s="1" t="str">
        <f>IF( OR( Table4[[#This Row],[PrimaryMatch]]="Yes", Table4[[#This Row],[SecondaryMatch]]="Yes"), "Yes", "")</f>
        <v/>
      </c>
    </row>
    <row r="2113" spans="1:18" hidden="1" x14ac:dyDescent="0.25">
      <c r="A2113" t="s">
        <v>1654</v>
      </c>
      <c r="B2113" t="s">
        <v>3205</v>
      </c>
      <c r="C2113" t="s">
        <v>3206</v>
      </c>
      <c r="D2113" t="s">
        <v>4399</v>
      </c>
      <c r="E2113" s="1">
        <v>33.729999999999997</v>
      </c>
      <c r="F2113" s="1">
        <v>34.485999999999997</v>
      </c>
      <c r="K2113" s="39">
        <f>DefaultValues!$B$4</f>
        <v>5</v>
      </c>
      <c r="L2113" s="1">
        <f>DefaultValues!$C$4</f>
        <v>0.5</v>
      </c>
      <c r="M2113" s="1" t="str">
        <f>DefaultValues!$D$4</f>
        <v xml:space="preserve">- Within interchange - </v>
      </c>
      <c r="N2113" s="1">
        <v>33.729999999999997</v>
      </c>
      <c r="O2113" s="1">
        <f>ABS(Table4[[#This Row],[EndMP]]-Table4[[#This Row],[StartMP]])</f>
        <v>0.75600000000000023</v>
      </c>
      <c r="P2113" s="1" t="str">
        <f>IF( AND( Table4[[#This Row],[Route]]=ClosureLocation!$B$3, ClosureLocation!$B$6 &gt;= Table4[[#This Row],[StartMP]], ClosureLocation!$B$6 &lt;= Table4[[#This Row],[EndMP]]), "Yes", "")</f>
        <v/>
      </c>
      <c r="Q2113" s="1" t="str">
        <f>IF( AND( Table4[[#This Row],[Route]]=ClosureLocation!$B$3, ClosureLocation!$B$6 &lt;= Table4[[#This Row],[StartMP]], ClosureLocation!$B$6 &gt;= Table4[[#This Row],[EndMP]]), "Yes", "")</f>
        <v/>
      </c>
      <c r="R2113" s="1" t="str">
        <f>IF( OR( Table4[[#This Row],[PrimaryMatch]]="Yes", Table4[[#This Row],[SecondaryMatch]]="Yes"), "Yes", "")</f>
        <v/>
      </c>
    </row>
    <row r="2114" spans="1:18" hidden="1" x14ac:dyDescent="0.25">
      <c r="A2114" t="s">
        <v>1654</v>
      </c>
      <c r="B2114" t="s">
        <v>3205</v>
      </c>
      <c r="C2114" t="s">
        <v>3206</v>
      </c>
      <c r="D2114" t="s">
        <v>4399</v>
      </c>
      <c r="E2114" s="1">
        <v>37.935001</v>
      </c>
      <c r="F2114" s="1">
        <v>38.379002</v>
      </c>
      <c r="K2114" s="39">
        <f>DefaultValues!$B$4</f>
        <v>5</v>
      </c>
      <c r="L2114" s="1">
        <f>DefaultValues!$C$4</f>
        <v>0.5</v>
      </c>
      <c r="M2114" s="1" t="str">
        <f>DefaultValues!$D$4</f>
        <v xml:space="preserve">- Within interchange - </v>
      </c>
      <c r="N2114" s="1">
        <v>37.935001</v>
      </c>
      <c r="O2114" s="1">
        <f>ABS(Table4[[#This Row],[EndMP]]-Table4[[#This Row],[StartMP]])</f>
        <v>0.44400100000000009</v>
      </c>
      <c r="P2114" s="1" t="str">
        <f>IF( AND( Table4[[#This Row],[Route]]=ClosureLocation!$B$3, ClosureLocation!$B$6 &gt;= Table4[[#This Row],[StartMP]], ClosureLocation!$B$6 &lt;= Table4[[#This Row],[EndMP]]), "Yes", "")</f>
        <v/>
      </c>
      <c r="Q2114" s="1" t="str">
        <f>IF( AND( Table4[[#This Row],[Route]]=ClosureLocation!$B$3, ClosureLocation!$B$6 &lt;= Table4[[#This Row],[StartMP]], ClosureLocation!$B$6 &gt;= Table4[[#This Row],[EndMP]]), "Yes", "")</f>
        <v/>
      </c>
      <c r="R2114" s="1" t="str">
        <f>IF( OR( Table4[[#This Row],[PrimaryMatch]]="Yes", Table4[[#This Row],[SecondaryMatch]]="Yes"), "Yes", "")</f>
        <v/>
      </c>
    </row>
    <row r="2115" spans="1:18" hidden="1" x14ac:dyDescent="0.25">
      <c r="A2115" t="s">
        <v>1654</v>
      </c>
      <c r="B2115" t="s">
        <v>3205</v>
      </c>
      <c r="C2115" t="s">
        <v>3206</v>
      </c>
      <c r="D2115" t="s">
        <v>4399</v>
      </c>
      <c r="E2115" s="1">
        <v>41.587001999999998</v>
      </c>
      <c r="F2115" s="1">
        <v>41.587001999999998</v>
      </c>
      <c r="K2115" s="39">
        <f>DefaultValues!$B$4</f>
        <v>5</v>
      </c>
      <c r="L2115" s="1">
        <f>DefaultValues!$C$4</f>
        <v>0.5</v>
      </c>
      <c r="M2115" s="1" t="str">
        <f>DefaultValues!$D$4</f>
        <v xml:space="preserve">- Within interchange - </v>
      </c>
      <c r="N2115" s="1">
        <v>41.587001999999998</v>
      </c>
      <c r="O2115" s="1">
        <f>ABS(Table4[[#This Row],[EndMP]]-Table4[[#This Row],[StartMP]])</f>
        <v>0</v>
      </c>
      <c r="P2115" s="1" t="str">
        <f>IF( AND( Table4[[#This Row],[Route]]=ClosureLocation!$B$3, ClosureLocation!$B$6 &gt;= Table4[[#This Row],[StartMP]], ClosureLocation!$B$6 &lt;= Table4[[#This Row],[EndMP]]), "Yes", "")</f>
        <v/>
      </c>
      <c r="Q2115" s="1" t="str">
        <f>IF( AND( Table4[[#This Row],[Route]]=ClosureLocation!$B$3, ClosureLocation!$B$6 &lt;= Table4[[#This Row],[StartMP]], ClosureLocation!$B$6 &gt;= Table4[[#This Row],[EndMP]]), "Yes", "")</f>
        <v/>
      </c>
      <c r="R2115" s="1" t="str">
        <f>IF( OR( Table4[[#This Row],[PrimaryMatch]]="Yes", Table4[[#This Row],[SecondaryMatch]]="Yes"), "Yes", "")</f>
        <v/>
      </c>
    </row>
    <row r="2116" spans="1:18" hidden="1" x14ac:dyDescent="0.25">
      <c r="A2116" t="s">
        <v>1654</v>
      </c>
      <c r="B2116" t="s">
        <v>3205</v>
      </c>
      <c r="C2116" t="s">
        <v>3206</v>
      </c>
      <c r="D2116" t="s">
        <v>4399</v>
      </c>
      <c r="E2116" s="1">
        <v>43.200001</v>
      </c>
      <c r="F2116" s="1">
        <v>44.069000000000003</v>
      </c>
      <c r="K2116" s="39">
        <f>DefaultValues!$B$4</f>
        <v>5</v>
      </c>
      <c r="L2116" s="1">
        <f>DefaultValues!$C$4</f>
        <v>0.5</v>
      </c>
      <c r="M2116" s="1" t="str">
        <f>DefaultValues!$D$4</f>
        <v xml:space="preserve">- Within interchange - </v>
      </c>
      <c r="N2116" s="1">
        <v>43.200001</v>
      </c>
      <c r="O2116" s="1">
        <f>ABS(Table4[[#This Row],[EndMP]]-Table4[[#This Row],[StartMP]])</f>
        <v>0.8689990000000023</v>
      </c>
      <c r="P2116" s="1" t="str">
        <f>IF( AND( Table4[[#This Row],[Route]]=ClosureLocation!$B$3, ClosureLocation!$B$6 &gt;= Table4[[#This Row],[StartMP]], ClosureLocation!$B$6 &lt;= Table4[[#This Row],[EndMP]]), "Yes", "")</f>
        <v/>
      </c>
      <c r="Q2116" s="1" t="str">
        <f>IF( AND( Table4[[#This Row],[Route]]=ClosureLocation!$B$3, ClosureLocation!$B$6 &lt;= Table4[[#This Row],[StartMP]], ClosureLocation!$B$6 &gt;= Table4[[#This Row],[EndMP]]), "Yes", "")</f>
        <v/>
      </c>
      <c r="R2116" s="1" t="str">
        <f>IF( OR( Table4[[#This Row],[PrimaryMatch]]="Yes", Table4[[#This Row],[SecondaryMatch]]="Yes"), "Yes", "")</f>
        <v/>
      </c>
    </row>
    <row r="2117" spans="1:18" hidden="1" x14ac:dyDescent="0.25">
      <c r="A2117" t="s">
        <v>1654</v>
      </c>
      <c r="B2117" t="s">
        <v>3205</v>
      </c>
      <c r="C2117" t="s">
        <v>3206</v>
      </c>
      <c r="D2117" t="s">
        <v>4399</v>
      </c>
      <c r="E2117" s="1">
        <v>44.359000999999999</v>
      </c>
      <c r="F2117" s="1">
        <v>45.290000999999997</v>
      </c>
      <c r="K2117" s="39">
        <f>DefaultValues!$B$4</f>
        <v>5</v>
      </c>
      <c r="L2117" s="1">
        <f>DefaultValues!$C$4</f>
        <v>0.5</v>
      </c>
      <c r="M2117" s="1" t="str">
        <f>DefaultValues!$D$4</f>
        <v xml:space="preserve">- Within interchange - </v>
      </c>
      <c r="N2117" s="1">
        <v>44.359000999999999</v>
      </c>
      <c r="O2117" s="1">
        <f>ABS(Table4[[#This Row],[EndMP]]-Table4[[#This Row],[StartMP]])</f>
        <v>0.93099999999999739</v>
      </c>
      <c r="P2117" s="1" t="str">
        <f>IF( AND( Table4[[#This Row],[Route]]=ClosureLocation!$B$3, ClosureLocation!$B$6 &gt;= Table4[[#This Row],[StartMP]], ClosureLocation!$B$6 &lt;= Table4[[#This Row],[EndMP]]), "Yes", "")</f>
        <v/>
      </c>
      <c r="Q2117" s="1" t="str">
        <f>IF( AND( Table4[[#This Row],[Route]]=ClosureLocation!$B$3, ClosureLocation!$B$6 &lt;= Table4[[#This Row],[StartMP]], ClosureLocation!$B$6 &gt;= Table4[[#This Row],[EndMP]]), "Yes", "")</f>
        <v/>
      </c>
      <c r="R2117" s="1" t="str">
        <f>IF( OR( Table4[[#This Row],[PrimaryMatch]]="Yes", Table4[[#This Row],[SecondaryMatch]]="Yes"), "Yes", "")</f>
        <v/>
      </c>
    </row>
    <row r="2118" spans="1:18" hidden="1" x14ac:dyDescent="0.25">
      <c r="A2118" t="s">
        <v>1654</v>
      </c>
      <c r="B2118" t="s">
        <v>3205</v>
      </c>
      <c r="C2118" t="s">
        <v>3206</v>
      </c>
      <c r="D2118" t="s">
        <v>4399</v>
      </c>
      <c r="E2118" s="1">
        <v>45.891998000000001</v>
      </c>
      <c r="F2118" s="1">
        <v>46.397998999999999</v>
      </c>
      <c r="K2118" s="39">
        <f>DefaultValues!$B$4</f>
        <v>5</v>
      </c>
      <c r="L2118" s="1">
        <f>DefaultValues!$C$4</f>
        <v>0.5</v>
      </c>
      <c r="M2118" s="1" t="str">
        <f>DefaultValues!$D$4</f>
        <v xml:space="preserve">- Within interchange - </v>
      </c>
      <c r="N2118" s="1">
        <v>45.891998000000001</v>
      </c>
      <c r="O2118" s="1">
        <f>ABS(Table4[[#This Row],[EndMP]]-Table4[[#This Row],[StartMP]])</f>
        <v>0.5060009999999977</v>
      </c>
      <c r="P2118" s="1" t="str">
        <f>IF( AND( Table4[[#This Row],[Route]]=ClosureLocation!$B$3, ClosureLocation!$B$6 &gt;= Table4[[#This Row],[StartMP]], ClosureLocation!$B$6 &lt;= Table4[[#This Row],[EndMP]]), "Yes", "")</f>
        <v/>
      </c>
      <c r="Q2118" s="1" t="str">
        <f>IF( AND( Table4[[#This Row],[Route]]=ClosureLocation!$B$3, ClosureLocation!$B$6 &lt;= Table4[[#This Row],[StartMP]], ClosureLocation!$B$6 &gt;= Table4[[#This Row],[EndMP]]), "Yes", "")</f>
        <v/>
      </c>
      <c r="R2118" s="1" t="str">
        <f>IF( OR( Table4[[#This Row],[PrimaryMatch]]="Yes", Table4[[#This Row],[SecondaryMatch]]="Yes"), "Yes", "")</f>
        <v/>
      </c>
    </row>
    <row r="2119" spans="1:18" hidden="1" x14ac:dyDescent="0.25">
      <c r="A2119" t="s">
        <v>1654</v>
      </c>
      <c r="B2119" t="s">
        <v>3209</v>
      </c>
      <c r="C2119" t="s">
        <v>3210</v>
      </c>
      <c r="D2119" t="s">
        <v>4401</v>
      </c>
      <c r="E2119" s="1">
        <v>46.397998999999999</v>
      </c>
      <c r="F2119" s="1">
        <v>45.874001</v>
      </c>
      <c r="K2119" s="39">
        <f>DefaultValues!$B$4</f>
        <v>5</v>
      </c>
      <c r="L2119" s="1">
        <f>DefaultValues!$C$4</f>
        <v>0.5</v>
      </c>
      <c r="M2119" s="1" t="str">
        <f>DefaultValues!$D$4</f>
        <v xml:space="preserve">- Within interchange - </v>
      </c>
      <c r="N2119" s="1">
        <v>953.60199</v>
      </c>
      <c r="O2119" s="1">
        <f>ABS(Table4[[#This Row],[EndMP]]-Table4[[#This Row],[StartMP]])</f>
        <v>0.52399799999999885</v>
      </c>
      <c r="P2119" s="1" t="str">
        <f>IF( AND( Table4[[#This Row],[Route]]=ClosureLocation!$B$3, ClosureLocation!$B$6 &gt;= Table4[[#This Row],[StartMP]], ClosureLocation!$B$6 &lt;= Table4[[#This Row],[EndMP]]), "Yes", "")</f>
        <v/>
      </c>
      <c r="Q2119" s="1" t="str">
        <f>IF( AND( Table4[[#This Row],[Route]]=ClosureLocation!$B$3, ClosureLocation!$B$6 &lt;= Table4[[#This Row],[StartMP]], ClosureLocation!$B$6 &gt;= Table4[[#This Row],[EndMP]]), "Yes", "")</f>
        <v/>
      </c>
      <c r="R2119" s="1" t="str">
        <f>IF( OR( Table4[[#This Row],[PrimaryMatch]]="Yes", Table4[[#This Row],[SecondaryMatch]]="Yes"), "Yes", "")</f>
        <v/>
      </c>
    </row>
    <row r="2120" spans="1:18" hidden="1" x14ac:dyDescent="0.25">
      <c r="A2120" t="s">
        <v>1654</v>
      </c>
      <c r="B2120" t="s">
        <v>3209</v>
      </c>
      <c r="C2120" t="s">
        <v>3210</v>
      </c>
      <c r="D2120" t="s">
        <v>4401</v>
      </c>
      <c r="E2120" s="1">
        <v>45.397998999999999</v>
      </c>
      <c r="F2120" s="1">
        <v>44.462001999999998</v>
      </c>
      <c r="K2120" s="39">
        <f>DefaultValues!$B$4</f>
        <v>5</v>
      </c>
      <c r="L2120" s="1">
        <f>DefaultValues!$C$4</f>
        <v>0.5</v>
      </c>
      <c r="M2120" s="1" t="str">
        <f>DefaultValues!$D$4</f>
        <v xml:space="preserve">- Within interchange - </v>
      </c>
      <c r="N2120" s="1">
        <v>954.60199</v>
      </c>
      <c r="O2120" s="1">
        <f>ABS(Table4[[#This Row],[EndMP]]-Table4[[#This Row],[StartMP]])</f>
        <v>0.93599700000000041</v>
      </c>
      <c r="P2120" s="1" t="str">
        <f>IF( AND( Table4[[#This Row],[Route]]=ClosureLocation!$B$3, ClosureLocation!$B$6 &gt;= Table4[[#This Row],[StartMP]], ClosureLocation!$B$6 &lt;= Table4[[#This Row],[EndMP]]), "Yes", "")</f>
        <v/>
      </c>
      <c r="Q2120" s="1" t="str">
        <f>IF( AND( Table4[[#This Row],[Route]]=ClosureLocation!$B$3, ClosureLocation!$B$6 &lt;= Table4[[#This Row],[StartMP]], ClosureLocation!$B$6 &gt;= Table4[[#This Row],[EndMP]]), "Yes", "")</f>
        <v/>
      </c>
      <c r="R2120" s="1" t="str">
        <f>IF( OR( Table4[[#This Row],[PrimaryMatch]]="Yes", Table4[[#This Row],[SecondaryMatch]]="Yes"), "Yes", "")</f>
        <v/>
      </c>
    </row>
    <row r="2121" spans="1:18" hidden="1" x14ac:dyDescent="0.25">
      <c r="A2121" t="s">
        <v>1654</v>
      </c>
      <c r="B2121" t="s">
        <v>3209</v>
      </c>
      <c r="C2121" t="s">
        <v>3210</v>
      </c>
      <c r="D2121" t="s">
        <v>4401</v>
      </c>
      <c r="E2121" s="1">
        <v>44.146000000000001</v>
      </c>
      <c r="F2121" s="1">
        <v>43.200001</v>
      </c>
      <c r="K2121" s="39">
        <f>DefaultValues!$B$4</f>
        <v>5</v>
      </c>
      <c r="L2121" s="1">
        <f>DefaultValues!$C$4</f>
        <v>0.5</v>
      </c>
      <c r="M2121" s="1" t="str">
        <f>DefaultValues!$D$4</f>
        <v xml:space="preserve">- Within interchange - </v>
      </c>
      <c r="N2121" s="1">
        <v>955.85400400000003</v>
      </c>
      <c r="O2121" s="1">
        <f>ABS(Table4[[#This Row],[EndMP]]-Table4[[#This Row],[StartMP]])</f>
        <v>0.94599900000000048</v>
      </c>
      <c r="P2121" s="1" t="str">
        <f>IF( AND( Table4[[#This Row],[Route]]=ClosureLocation!$B$3, ClosureLocation!$B$6 &gt;= Table4[[#This Row],[StartMP]], ClosureLocation!$B$6 &lt;= Table4[[#This Row],[EndMP]]), "Yes", "")</f>
        <v/>
      </c>
      <c r="Q2121" s="1" t="str">
        <f>IF( AND( Table4[[#This Row],[Route]]=ClosureLocation!$B$3, ClosureLocation!$B$6 &lt;= Table4[[#This Row],[StartMP]], ClosureLocation!$B$6 &gt;= Table4[[#This Row],[EndMP]]), "Yes", "")</f>
        <v/>
      </c>
      <c r="R2121" s="1" t="str">
        <f>IF( OR( Table4[[#This Row],[PrimaryMatch]]="Yes", Table4[[#This Row],[SecondaryMatch]]="Yes"), "Yes", "")</f>
        <v/>
      </c>
    </row>
    <row r="2122" spans="1:18" hidden="1" x14ac:dyDescent="0.25">
      <c r="A2122" t="s">
        <v>1654</v>
      </c>
      <c r="B2122" t="s">
        <v>3209</v>
      </c>
      <c r="C2122" t="s">
        <v>3210</v>
      </c>
      <c r="D2122" t="s">
        <v>4401</v>
      </c>
      <c r="E2122" s="1">
        <v>41.587001999999998</v>
      </c>
      <c r="F2122" s="1">
        <v>41.587001999999998</v>
      </c>
      <c r="K2122" s="39">
        <f>DefaultValues!$B$4</f>
        <v>5</v>
      </c>
      <c r="L2122" s="1">
        <f>DefaultValues!$C$4</f>
        <v>0.5</v>
      </c>
      <c r="M2122" s="1" t="str">
        <f>DefaultValues!$D$4</f>
        <v xml:space="preserve">- Within interchange - </v>
      </c>
      <c r="N2122" s="1">
        <v>958.41302499999995</v>
      </c>
      <c r="O2122" s="1">
        <f>ABS(Table4[[#This Row],[EndMP]]-Table4[[#This Row],[StartMP]])</f>
        <v>0</v>
      </c>
      <c r="P2122" s="1" t="str">
        <f>IF( AND( Table4[[#This Row],[Route]]=ClosureLocation!$B$3, ClosureLocation!$B$6 &gt;= Table4[[#This Row],[StartMP]], ClosureLocation!$B$6 &lt;= Table4[[#This Row],[EndMP]]), "Yes", "")</f>
        <v/>
      </c>
      <c r="Q2122" s="1" t="str">
        <f>IF( AND( Table4[[#This Row],[Route]]=ClosureLocation!$B$3, ClosureLocation!$B$6 &lt;= Table4[[#This Row],[StartMP]], ClosureLocation!$B$6 &gt;= Table4[[#This Row],[EndMP]]), "Yes", "")</f>
        <v/>
      </c>
      <c r="R2122" s="1" t="str">
        <f>IF( OR( Table4[[#This Row],[PrimaryMatch]]="Yes", Table4[[#This Row],[SecondaryMatch]]="Yes"), "Yes", "")</f>
        <v/>
      </c>
    </row>
    <row r="2123" spans="1:18" hidden="1" x14ac:dyDescent="0.25">
      <c r="A2123" t="s">
        <v>1654</v>
      </c>
      <c r="B2123" t="s">
        <v>3209</v>
      </c>
      <c r="C2123" t="s">
        <v>3210</v>
      </c>
      <c r="D2123" t="s">
        <v>4401</v>
      </c>
      <c r="E2123" s="1">
        <v>38.465000000000003</v>
      </c>
      <c r="F2123" s="1">
        <v>37.862000000000002</v>
      </c>
      <c r="K2123" s="39">
        <f>DefaultValues!$B$4</f>
        <v>5</v>
      </c>
      <c r="L2123" s="1">
        <f>DefaultValues!$C$4</f>
        <v>0.5</v>
      </c>
      <c r="M2123" s="1" t="str">
        <f>DefaultValues!$D$4</f>
        <v xml:space="preserve">- Within interchange - </v>
      </c>
      <c r="N2123" s="1">
        <v>961.53497300000004</v>
      </c>
      <c r="O2123" s="1">
        <f>ABS(Table4[[#This Row],[EndMP]]-Table4[[#This Row],[StartMP]])</f>
        <v>0.60300000000000153</v>
      </c>
      <c r="P2123" s="1" t="str">
        <f>IF( AND( Table4[[#This Row],[Route]]=ClosureLocation!$B$3, ClosureLocation!$B$6 &gt;= Table4[[#This Row],[StartMP]], ClosureLocation!$B$6 &lt;= Table4[[#This Row],[EndMP]]), "Yes", "")</f>
        <v/>
      </c>
      <c r="Q2123" s="1" t="str">
        <f>IF( AND( Table4[[#This Row],[Route]]=ClosureLocation!$B$3, ClosureLocation!$B$6 &lt;= Table4[[#This Row],[StartMP]], ClosureLocation!$B$6 &gt;= Table4[[#This Row],[EndMP]]), "Yes", "")</f>
        <v/>
      </c>
      <c r="R2123" s="1" t="str">
        <f>IF( OR( Table4[[#This Row],[PrimaryMatch]]="Yes", Table4[[#This Row],[SecondaryMatch]]="Yes"), "Yes", "")</f>
        <v/>
      </c>
    </row>
    <row r="2124" spans="1:18" hidden="1" x14ac:dyDescent="0.25">
      <c r="A2124" t="s">
        <v>1654</v>
      </c>
      <c r="B2124" t="s">
        <v>3209</v>
      </c>
      <c r="C2124" t="s">
        <v>3210</v>
      </c>
      <c r="D2124" t="s">
        <v>4401</v>
      </c>
      <c r="E2124" s="1">
        <v>34.629002</v>
      </c>
      <c r="F2124" s="1">
        <v>33.832000999999998</v>
      </c>
      <c r="K2124" s="39">
        <f>DefaultValues!$B$4</f>
        <v>5</v>
      </c>
      <c r="L2124" s="1">
        <f>DefaultValues!$C$4</f>
        <v>0.5</v>
      </c>
      <c r="M2124" s="1" t="str">
        <f>DefaultValues!$D$4</f>
        <v xml:space="preserve">- Within interchange - </v>
      </c>
      <c r="N2124" s="1">
        <v>965.37097200000005</v>
      </c>
      <c r="O2124" s="1">
        <f>ABS(Table4[[#This Row],[EndMP]]-Table4[[#This Row],[StartMP]])</f>
        <v>0.79700100000000162</v>
      </c>
      <c r="P2124" s="1" t="str">
        <f>IF( AND( Table4[[#This Row],[Route]]=ClosureLocation!$B$3, ClosureLocation!$B$6 &gt;= Table4[[#This Row],[StartMP]], ClosureLocation!$B$6 &lt;= Table4[[#This Row],[EndMP]]), "Yes", "")</f>
        <v/>
      </c>
      <c r="Q2124" s="1" t="str">
        <f>IF( AND( Table4[[#This Row],[Route]]=ClosureLocation!$B$3, ClosureLocation!$B$6 &lt;= Table4[[#This Row],[StartMP]], ClosureLocation!$B$6 &gt;= Table4[[#This Row],[EndMP]]), "Yes", "")</f>
        <v/>
      </c>
      <c r="R2124" s="1" t="str">
        <f>IF( OR( Table4[[#This Row],[PrimaryMatch]]="Yes", Table4[[#This Row],[SecondaryMatch]]="Yes"), "Yes", "")</f>
        <v/>
      </c>
    </row>
    <row r="2125" spans="1:18" hidden="1" x14ac:dyDescent="0.25">
      <c r="A2125" t="s">
        <v>1654</v>
      </c>
      <c r="B2125" t="s">
        <v>3209</v>
      </c>
      <c r="C2125" t="s">
        <v>3210</v>
      </c>
      <c r="D2125" t="s">
        <v>4401</v>
      </c>
      <c r="E2125" s="1">
        <v>32</v>
      </c>
      <c r="F2125" s="1">
        <v>31.254999000000002</v>
      </c>
      <c r="K2125" s="39">
        <f>DefaultValues!$B$4</f>
        <v>5</v>
      </c>
      <c r="L2125" s="1">
        <f>DefaultValues!$C$4</f>
        <v>0.5</v>
      </c>
      <c r="M2125" s="1" t="str">
        <f>DefaultValues!$D$4</f>
        <v xml:space="preserve">- Within interchange - </v>
      </c>
      <c r="N2125" s="1">
        <v>968</v>
      </c>
      <c r="O2125" s="1">
        <f>ABS(Table4[[#This Row],[EndMP]]-Table4[[#This Row],[StartMP]])</f>
        <v>0.74500099999999847</v>
      </c>
      <c r="P2125" s="1" t="str">
        <f>IF( AND( Table4[[#This Row],[Route]]=ClosureLocation!$B$3, ClosureLocation!$B$6 &gt;= Table4[[#This Row],[StartMP]], ClosureLocation!$B$6 &lt;= Table4[[#This Row],[EndMP]]), "Yes", "")</f>
        <v/>
      </c>
      <c r="Q2125" s="1" t="str">
        <f>IF( AND( Table4[[#This Row],[Route]]=ClosureLocation!$B$3, ClosureLocation!$B$6 &lt;= Table4[[#This Row],[StartMP]], ClosureLocation!$B$6 &gt;= Table4[[#This Row],[EndMP]]), "Yes", "")</f>
        <v/>
      </c>
      <c r="R2125" s="1" t="str">
        <f>IF( OR( Table4[[#This Row],[PrimaryMatch]]="Yes", Table4[[#This Row],[SecondaryMatch]]="Yes"), "Yes", "")</f>
        <v/>
      </c>
    </row>
    <row r="2126" spans="1:18" hidden="1" x14ac:dyDescent="0.25">
      <c r="A2126" t="s">
        <v>1654</v>
      </c>
      <c r="B2126" t="s">
        <v>3209</v>
      </c>
      <c r="C2126" t="s">
        <v>3210</v>
      </c>
      <c r="D2126" t="s">
        <v>4401</v>
      </c>
      <c r="E2126" s="1">
        <v>30.952000000000002</v>
      </c>
      <c r="F2126" s="1">
        <v>30.291</v>
      </c>
      <c r="K2126" s="39">
        <f>DefaultValues!$B$4</f>
        <v>5</v>
      </c>
      <c r="L2126" s="1">
        <f>DefaultValues!$C$4</f>
        <v>0.5</v>
      </c>
      <c r="M2126" s="1" t="str">
        <f>DefaultValues!$D$4</f>
        <v xml:space="preserve">- Within interchange - </v>
      </c>
      <c r="N2126" s="1">
        <v>969.04797399999995</v>
      </c>
      <c r="O2126" s="1">
        <f>ABS(Table4[[#This Row],[EndMP]]-Table4[[#This Row],[StartMP]])</f>
        <v>0.66100000000000136</v>
      </c>
      <c r="P2126" s="1" t="str">
        <f>IF( AND( Table4[[#This Row],[Route]]=ClosureLocation!$B$3, ClosureLocation!$B$6 &gt;= Table4[[#This Row],[StartMP]], ClosureLocation!$B$6 &lt;= Table4[[#This Row],[EndMP]]), "Yes", "")</f>
        <v/>
      </c>
      <c r="Q2126" s="1" t="str">
        <f>IF( AND( Table4[[#This Row],[Route]]=ClosureLocation!$B$3, ClosureLocation!$B$6 &lt;= Table4[[#This Row],[StartMP]], ClosureLocation!$B$6 &gt;= Table4[[#This Row],[EndMP]]), "Yes", "")</f>
        <v/>
      </c>
      <c r="R2126" s="1" t="str">
        <f>IF( OR( Table4[[#This Row],[PrimaryMatch]]="Yes", Table4[[#This Row],[SecondaryMatch]]="Yes"), "Yes", "")</f>
        <v/>
      </c>
    </row>
    <row r="2127" spans="1:18" hidden="1" x14ac:dyDescent="0.25">
      <c r="A2127" t="s">
        <v>1654</v>
      </c>
      <c r="B2127" t="s">
        <v>3209</v>
      </c>
      <c r="C2127" t="s">
        <v>3210</v>
      </c>
      <c r="D2127" t="s">
        <v>4401</v>
      </c>
      <c r="E2127" s="1">
        <v>28.521999000000001</v>
      </c>
      <c r="F2127" s="1">
        <v>27.218</v>
      </c>
      <c r="K2127" s="39">
        <f>DefaultValues!$B$4</f>
        <v>5</v>
      </c>
      <c r="L2127" s="1">
        <f>DefaultValues!$C$4</f>
        <v>0.5</v>
      </c>
      <c r="M2127" s="1" t="str">
        <f>DefaultValues!$D$4</f>
        <v xml:space="preserve">- Within interchange - </v>
      </c>
      <c r="N2127" s="1">
        <v>971.478027</v>
      </c>
      <c r="O2127" s="1">
        <f>ABS(Table4[[#This Row],[EndMP]]-Table4[[#This Row],[StartMP]])</f>
        <v>1.303999000000001</v>
      </c>
      <c r="P2127" s="1" t="str">
        <f>IF( AND( Table4[[#This Row],[Route]]=ClosureLocation!$B$3, ClosureLocation!$B$6 &gt;= Table4[[#This Row],[StartMP]], ClosureLocation!$B$6 &lt;= Table4[[#This Row],[EndMP]]), "Yes", "")</f>
        <v/>
      </c>
      <c r="Q2127" s="1" t="str">
        <f>IF( AND( Table4[[#This Row],[Route]]=ClosureLocation!$B$3, ClosureLocation!$B$6 &lt;= Table4[[#This Row],[StartMP]], ClosureLocation!$B$6 &gt;= Table4[[#This Row],[EndMP]]), "Yes", "")</f>
        <v/>
      </c>
      <c r="R2127" s="1" t="str">
        <f>IF( OR( Table4[[#This Row],[PrimaryMatch]]="Yes", Table4[[#This Row],[SecondaryMatch]]="Yes"), "Yes", "")</f>
        <v/>
      </c>
    </row>
    <row r="2128" spans="1:18" hidden="1" x14ac:dyDescent="0.25">
      <c r="A2128" t="s">
        <v>1654</v>
      </c>
      <c r="B2128" t="s">
        <v>3209</v>
      </c>
      <c r="C2128" t="s">
        <v>3210</v>
      </c>
      <c r="D2128" t="s">
        <v>4401</v>
      </c>
      <c r="E2128" s="1">
        <v>26.056000000000001</v>
      </c>
      <c r="F2128" s="1">
        <v>25.27</v>
      </c>
      <c r="K2128" s="39">
        <f>DefaultValues!$B$4</f>
        <v>5</v>
      </c>
      <c r="L2128" s="1">
        <f>DefaultValues!$C$4</f>
        <v>0.5</v>
      </c>
      <c r="M2128" s="1" t="str">
        <f>DefaultValues!$D$4</f>
        <v xml:space="preserve">- Within interchange - </v>
      </c>
      <c r="N2128" s="1">
        <v>973.94397000000004</v>
      </c>
      <c r="O2128" s="1">
        <f>ABS(Table4[[#This Row],[EndMP]]-Table4[[#This Row],[StartMP]])</f>
        <v>0.78600000000000136</v>
      </c>
      <c r="P2128" s="1" t="str">
        <f>IF( AND( Table4[[#This Row],[Route]]=ClosureLocation!$B$3, ClosureLocation!$B$6 &gt;= Table4[[#This Row],[StartMP]], ClosureLocation!$B$6 &lt;= Table4[[#This Row],[EndMP]]), "Yes", "")</f>
        <v/>
      </c>
      <c r="Q2128" s="1" t="str">
        <f>IF( AND( Table4[[#This Row],[Route]]=ClosureLocation!$B$3, ClosureLocation!$B$6 &lt;= Table4[[#This Row],[StartMP]], ClosureLocation!$B$6 &gt;= Table4[[#This Row],[EndMP]]), "Yes", "")</f>
        <v/>
      </c>
      <c r="R2128" s="1" t="str">
        <f>IF( OR( Table4[[#This Row],[PrimaryMatch]]="Yes", Table4[[#This Row],[SecondaryMatch]]="Yes"), "Yes", "")</f>
        <v/>
      </c>
    </row>
    <row r="2129" spans="1:18" hidden="1" x14ac:dyDescent="0.25">
      <c r="A2129" t="s">
        <v>1654</v>
      </c>
      <c r="B2129" t="s">
        <v>3209</v>
      </c>
      <c r="C2129" t="s">
        <v>3210</v>
      </c>
      <c r="D2129" t="s">
        <v>4401</v>
      </c>
      <c r="E2129" s="1">
        <v>25</v>
      </c>
      <c r="F2129" s="1">
        <v>24.280000999999999</v>
      </c>
      <c r="K2129" s="39">
        <f>DefaultValues!$B$4</f>
        <v>5</v>
      </c>
      <c r="L2129" s="1">
        <f>DefaultValues!$C$4</f>
        <v>0.5</v>
      </c>
      <c r="M2129" s="1" t="str">
        <f>DefaultValues!$D$4</f>
        <v xml:space="preserve">- Within interchange - </v>
      </c>
      <c r="N2129" s="1">
        <v>975</v>
      </c>
      <c r="O2129" s="1">
        <f>ABS(Table4[[#This Row],[EndMP]]-Table4[[#This Row],[StartMP]])</f>
        <v>0.71999900000000139</v>
      </c>
      <c r="P2129" s="1" t="str">
        <f>IF( AND( Table4[[#This Row],[Route]]=ClosureLocation!$B$3, ClosureLocation!$B$6 &gt;= Table4[[#This Row],[StartMP]], ClosureLocation!$B$6 &lt;= Table4[[#This Row],[EndMP]]), "Yes", "")</f>
        <v/>
      </c>
      <c r="Q2129" s="1" t="str">
        <f>IF( AND( Table4[[#This Row],[Route]]=ClosureLocation!$B$3, ClosureLocation!$B$6 &lt;= Table4[[#This Row],[StartMP]], ClosureLocation!$B$6 &gt;= Table4[[#This Row],[EndMP]]), "Yes", "")</f>
        <v/>
      </c>
      <c r="R2129" s="1" t="str">
        <f>IF( OR( Table4[[#This Row],[PrimaryMatch]]="Yes", Table4[[#This Row],[SecondaryMatch]]="Yes"), "Yes", "")</f>
        <v/>
      </c>
    </row>
    <row r="2130" spans="1:18" hidden="1" x14ac:dyDescent="0.25">
      <c r="A2130" t="s">
        <v>1654</v>
      </c>
      <c r="B2130" t="s">
        <v>3209</v>
      </c>
      <c r="C2130" t="s">
        <v>3210</v>
      </c>
      <c r="D2130" t="s">
        <v>4401</v>
      </c>
      <c r="E2130" s="1">
        <v>21.434999000000001</v>
      </c>
      <c r="F2130" s="1">
        <v>19.509001000000001</v>
      </c>
      <c r="K2130" s="39">
        <f>DefaultValues!$B$4</f>
        <v>5</v>
      </c>
      <c r="L2130" s="1">
        <f>DefaultValues!$C$4</f>
        <v>0.5</v>
      </c>
      <c r="M2130" s="1" t="str">
        <f>DefaultValues!$D$4</f>
        <v xml:space="preserve">- Within interchange - </v>
      </c>
      <c r="N2130" s="1">
        <v>978.56500200000005</v>
      </c>
      <c r="O2130" s="1">
        <f>ABS(Table4[[#This Row],[EndMP]]-Table4[[#This Row],[StartMP]])</f>
        <v>1.9259979999999999</v>
      </c>
      <c r="P2130" s="1" t="str">
        <f>IF( AND( Table4[[#This Row],[Route]]=ClosureLocation!$B$3, ClosureLocation!$B$6 &gt;= Table4[[#This Row],[StartMP]], ClosureLocation!$B$6 &lt;= Table4[[#This Row],[EndMP]]), "Yes", "")</f>
        <v/>
      </c>
      <c r="Q2130" s="1" t="str">
        <f>IF( AND( Table4[[#This Row],[Route]]=ClosureLocation!$B$3, ClosureLocation!$B$6 &lt;= Table4[[#This Row],[StartMP]], ClosureLocation!$B$6 &gt;= Table4[[#This Row],[EndMP]]), "Yes", "")</f>
        <v/>
      </c>
      <c r="R2130" s="1" t="str">
        <f>IF( OR( Table4[[#This Row],[PrimaryMatch]]="Yes", Table4[[#This Row],[SecondaryMatch]]="Yes"), "Yes", "")</f>
        <v/>
      </c>
    </row>
    <row r="2131" spans="1:18" hidden="1" x14ac:dyDescent="0.25">
      <c r="A2131" t="s">
        <v>1654</v>
      </c>
      <c r="B2131" t="s">
        <v>3209</v>
      </c>
      <c r="C2131" t="s">
        <v>3210</v>
      </c>
      <c r="D2131" t="s">
        <v>4401</v>
      </c>
      <c r="E2131" s="1">
        <v>19.462999</v>
      </c>
      <c r="F2131" s="1">
        <v>18.774999999999999</v>
      </c>
      <c r="K2131" s="39">
        <f>DefaultValues!$B$4</f>
        <v>5</v>
      </c>
      <c r="L2131" s="1">
        <f>DefaultValues!$C$4</f>
        <v>0.5</v>
      </c>
      <c r="M2131" s="1" t="str">
        <f>DefaultValues!$D$4</f>
        <v xml:space="preserve">- Within interchange - </v>
      </c>
      <c r="N2131" s="1">
        <v>980.53698699999995</v>
      </c>
      <c r="O2131" s="1">
        <f>ABS(Table4[[#This Row],[EndMP]]-Table4[[#This Row],[StartMP]])</f>
        <v>0.68799900000000136</v>
      </c>
      <c r="P2131" s="1" t="str">
        <f>IF( AND( Table4[[#This Row],[Route]]=ClosureLocation!$B$3, ClosureLocation!$B$6 &gt;= Table4[[#This Row],[StartMP]], ClosureLocation!$B$6 &lt;= Table4[[#This Row],[EndMP]]), "Yes", "")</f>
        <v/>
      </c>
      <c r="Q2131" s="1" t="str">
        <f>IF( AND( Table4[[#This Row],[Route]]=ClosureLocation!$B$3, ClosureLocation!$B$6 &lt;= Table4[[#This Row],[StartMP]], ClosureLocation!$B$6 &gt;= Table4[[#This Row],[EndMP]]), "Yes", "")</f>
        <v/>
      </c>
      <c r="R2131" s="1" t="str">
        <f>IF( OR( Table4[[#This Row],[PrimaryMatch]]="Yes", Table4[[#This Row],[SecondaryMatch]]="Yes"), "Yes", "")</f>
        <v/>
      </c>
    </row>
    <row r="2132" spans="1:18" hidden="1" x14ac:dyDescent="0.25">
      <c r="A2132" t="s">
        <v>1654</v>
      </c>
      <c r="B2132" t="s">
        <v>3209</v>
      </c>
      <c r="C2132" t="s">
        <v>3210</v>
      </c>
      <c r="D2132" t="s">
        <v>4401</v>
      </c>
      <c r="E2132" s="1">
        <v>17</v>
      </c>
      <c r="F2132" s="1">
        <v>16.061001000000001</v>
      </c>
      <c r="K2132" s="39">
        <f>DefaultValues!$B$4</f>
        <v>5</v>
      </c>
      <c r="L2132" s="1">
        <f>DefaultValues!$C$4</f>
        <v>0.5</v>
      </c>
      <c r="M2132" s="1" t="str">
        <f>DefaultValues!$D$4</f>
        <v xml:space="preserve">- Within interchange - </v>
      </c>
      <c r="N2132" s="1">
        <v>983</v>
      </c>
      <c r="O2132" s="1">
        <f>ABS(Table4[[#This Row],[EndMP]]-Table4[[#This Row],[StartMP]])</f>
        <v>0.93899899999999903</v>
      </c>
      <c r="P2132" s="1" t="str">
        <f>IF( AND( Table4[[#This Row],[Route]]=ClosureLocation!$B$3, ClosureLocation!$B$6 &gt;= Table4[[#This Row],[StartMP]], ClosureLocation!$B$6 &lt;= Table4[[#This Row],[EndMP]]), "Yes", "")</f>
        <v/>
      </c>
      <c r="Q2132" s="1" t="str">
        <f>IF( AND( Table4[[#This Row],[Route]]=ClosureLocation!$B$3, ClosureLocation!$B$6 &lt;= Table4[[#This Row],[StartMP]], ClosureLocation!$B$6 &gt;= Table4[[#This Row],[EndMP]]), "Yes", "")</f>
        <v/>
      </c>
      <c r="R2132" s="1" t="str">
        <f>IF( OR( Table4[[#This Row],[PrimaryMatch]]="Yes", Table4[[#This Row],[SecondaryMatch]]="Yes"), "Yes", "")</f>
        <v/>
      </c>
    </row>
    <row r="2133" spans="1:18" hidden="1" x14ac:dyDescent="0.25">
      <c r="A2133" t="s">
        <v>1654</v>
      </c>
      <c r="B2133" t="s">
        <v>3209</v>
      </c>
      <c r="C2133" t="s">
        <v>3210</v>
      </c>
      <c r="D2133" t="s">
        <v>4401</v>
      </c>
      <c r="E2133" s="1">
        <v>13.757</v>
      </c>
      <c r="F2133" s="1">
        <v>12.919</v>
      </c>
      <c r="K2133" s="39">
        <f>DefaultValues!$B$4</f>
        <v>5</v>
      </c>
      <c r="L2133" s="1">
        <f>DefaultValues!$C$4</f>
        <v>0.5</v>
      </c>
      <c r="M2133" s="1" t="str">
        <f>DefaultValues!$D$4</f>
        <v xml:space="preserve">- Within interchange - </v>
      </c>
      <c r="N2133" s="1">
        <v>986.24298099999999</v>
      </c>
      <c r="O2133" s="1">
        <f>ABS(Table4[[#This Row],[EndMP]]-Table4[[#This Row],[StartMP]])</f>
        <v>0.83799999999999919</v>
      </c>
      <c r="P2133" s="1" t="str">
        <f>IF( AND( Table4[[#This Row],[Route]]=ClosureLocation!$B$3, ClosureLocation!$B$6 &gt;= Table4[[#This Row],[StartMP]], ClosureLocation!$B$6 &lt;= Table4[[#This Row],[EndMP]]), "Yes", "")</f>
        <v/>
      </c>
      <c r="Q2133" s="1" t="str">
        <f>IF( AND( Table4[[#This Row],[Route]]=ClosureLocation!$B$3, ClosureLocation!$B$6 &lt;= Table4[[#This Row],[StartMP]], ClosureLocation!$B$6 &gt;= Table4[[#This Row],[EndMP]]), "Yes", "")</f>
        <v/>
      </c>
      <c r="R2133" s="1" t="str">
        <f>IF( OR( Table4[[#This Row],[PrimaryMatch]]="Yes", Table4[[#This Row],[SecondaryMatch]]="Yes"), "Yes", "")</f>
        <v/>
      </c>
    </row>
    <row r="2134" spans="1:18" hidden="1" x14ac:dyDescent="0.25">
      <c r="A2134" t="s">
        <v>1654</v>
      </c>
      <c r="B2134" t="s">
        <v>3209</v>
      </c>
      <c r="C2134" t="s">
        <v>3210</v>
      </c>
      <c r="D2134" t="s">
        <v>4401</v>
      </c>
      <c r="E2134" s="1">
        <v>11.234</v>
      </c>
      <c r="F2134" s="1">
        <v>10.121</v>
      </c>
      <c r="K2134" s="39">
        <f>DefaultValues!$B$4</f>
        <v>5</v>
      </c>
      <c r="L2134" s="1">
        <f>DefaultValues!$C$4</f>
        <v>0.5</v>
      </c>
      <c r="M2134" s="1" t="str">
        <f>DefaultValues!$D$4</f>
        <v xml:space="preserve">- Within interchange - </v>
      </c>
      <c r="N2134" s="1">
        <v>988.76599099999999</v>
      </c>
      <c r="O2134" s="1">
        <f>ABS(Table4[[#This Row],[EndMP]]-Table4[[#This Row],[StartMP]])</f>
        <v>1.1129999999999995</v>
      </c>
      <c r="P2134" s="1" t="str">
        <f>IF( AND( Table4[[#This Row],[Route]]=ClosureLocation!$B$3, ClosureLocation!$B$6 &gt;= Table4[[#This Row],[StartMP]], ClosureLocation!$B$6 &lt;= Table4[[#This Row],[EndMP]]), "Yes", "")</f>
        <v/>
      </c>
      <c r="Q2134" s="1" t="str">
        <f>IF( AND( Table4[[#This Row],[Route]]=ClosureLocation!$B$3, ClosureLocation!$B$6 &lt;= Table4[[#This Row],[StartMP]], ClosureLocation!$B$6 &gt;= Table4[[#This Row],[EndMP]]), "Yes", "")</f>
        <v/>
      </c>
      <c r="R2134" s="1" t="str">
        <f>IF( OR( Table4[[#This Row],[PrimaryMatch]]="Yes", Table4[[#This Row],[SecondaryMatch]]="Yes"), "Yes", "")</f>
        <v/>
      </c>
    </row>
    <row r="2135" spans="1:18" hidden="1" x14ac:dyDescent="0.25">
      <c r="A2135" t="s">
        <v>1654</v>
      </c>
      <c r="B2135" t="s">
        <v>3209</v>
      </c>
      <c r="C2135" t="s">
        <v>3210</v>
      </c>
      <c r="D2135" t="s">
        <v>4401</v>
      </c>
      <c r="E2135" s="1">
        <v>9.2590000000000003</v>
      </c>
      <c r="F2135" s="1">
        <v>8.4960000000000004</v>
      </c>
      <c r="K2135" s="39">
        <f>DefaultValues!$B$4</f>
        <v>5</v>
      </c>
      <c r="L2135" s="1">
        <f>DefaultValues!$C$4</f>
        <v>0.5</v>
      </c>
      <c r="M2135" s="1" t="str">
        <f>DefaultValues!$D$4</f>
        <v xml:space="preserve">- Within interchange - </v>
      </c>
      <c r="N2135" s="1">
        <v>990.74102800000003</v>
      </c>
      <c r="O2135" s="1">
        <f>ABS(Table4[[#This Row],[EndMP]]-Table4[[#This Row],[StartMP]])</f>
        <v>0.7629999999999999</v>
      </c>
      <c r="P2135" s="1" t="str">
        <f>IF( AND( Table4[[#This Row],[Route]]=ClosureLocation!$B$3, ClosureLocation!$B$6 &gt;= Table4[[#This Row],[StartMP]], ClosureLocation!$B$6 &lt;= Table4[[#This Row],[EndMP]]), "Yes", "")</f>
        <v/>
      </c>
      <c r="Q2135" s="1" t="str">
        <f>IF( AND( Table4[[#This Row],[Route]]=ClosureLocation!$B$3, ClosureLocation!$B$6 &lt;= Table4[[#This Row],[StartMP]], ClosureLocation!$B$6 &gt;= Table4[[#This Row],[EndMP]]), "Yes", "")</f>
        <v/>
      </c>
      <c r="R2135" s="1" t="str">
        <f>IF( OR( Table4[[#This Row],[PrimaryMatch]]="Yes", Table4[[#This Row],[SecondaryMatch]]="Yes"), "Yes", "")</f>
        <v/>
      </c>
    </row>
    <row r="2136" spans="1:18" hidden="1" x14ac:dyDescent="0.25">
      <c r="A2136" t="s">
        <v>1654</v>
      </c>
      <c r="B2136" t="s">
        <v>3209</v>
      </c>
      <c r="C2136" t="s">
        <v>3210</v>
      </c>
      <c r="D2136" t="s">
        <v>4401</v>
      </c>
      <c r="E2136" s="1">
        <v>5.609</v>
      </c>
      <c r="F2136" s="1">
        <v>5.0910000000000002</v>
      </c>
      <c r="K2136" s="39">
        <f>DefaultValues!$B$4</f>
        <v>5</v>
      </c>
      <c r="L2136" s="1">
        <f>DefaultValues!$C$4</f>
        <v>0.5</v>
      </c>
      <c r="M2136" s="1" t="str">
        <f>DefaultValues!$D$4</f>
        <v xml:space="preserve">- Within interchange - </v>
      </c>
      <c r="N2136" s="1">
        <v>994.39099099999999</v>
      </c>
      <c r="O2136" s="1">
        <f>ABS(Table4[[#This Row],[EndMP]]-Table4[[#This Row],[StartMP]])</f>
        <v>0.51799999999999979</v>
      </c>
      <c r="P2136" s="1" t="str">
        <f>IF( AND( Table4[[#This Row],[Route]]=ClosureLocation!$B$3, ClosureLocation!$B$6 &gt;= Table4[[#This Row],[StartMP]], ClosureLocation!$B$6 &lt;= Table4[[#This Row],[EndMP]]), "Yes", "")</f>
        <v/>
      </c>
      <c r="Q2136" s="1" t="str">
        <f>IF( AND( Table4[[#This Row],[Route]]=ClosureLocation!$B$3, ClosureLocation!$B$6 &lt;= Table4[[#This Row],[StartMP]], ClosureLocation!$B$6 &gt;= Table4[[#This Row],[EndMP]]), "Yes", "")</f>
        <v/>
      </c>
      <c r="R2136" s="1" t="str">
        <f>IF( OR( Table4[[#This Row],[PrimaryMatch]]="Yes", Table4[[#This Row],[SecondaryMatch]]="Yes"), "Yes", "")</f>
        <v/>
      </c>
    </row>
    <row r="2137" spans="1:18" hidden="1" x14ac:dyDescent="0.25">
      <c r="A2137" t="s">
        <v>1654</v>
      </c>
      <c r="B2137" t="s">
        <v>3209</v>
      </c>
      <c r="C2137" t="s">
        <v>3210</v>
      </c>
      <c r="D2137" t="s">
        <v>4401</v>
      </c>
      <c r="E2137" s="1">
        <v>4.6390000000000002</v>
      </c>
      <c r="F2137" s="1">
        <v>4.0540000000000003</v>
      </c>
      <c r="K2137" s="39">
        <f>DefaultValues!$B$4</f>
        <v>5</v>
      </c>
      <c r="L2137" s="1">
        <f>DefaultValues!$C$4</f>
        <v>0.5</v>
      </c>
      <c r="M2137" s="1" t="str">
        <f>DefaultValues!$D$4</f>
        <v xml:space="preserve">- Within interchange - </v>
      </c>
      <c r="N2137" s="1">
        <v>995.36102300000005</v>
      </c>
      <c r="O2137" s="1">
        <f>ABS(Table4[[#This Row],[EndMP]]-Table4[[#This Row],[StartMP]])</f>
        <v>0.58499999999999996</v>
      </c>
      <c r="P2137" s="1" t="str">
        <f>IF( AND( Table4[[#This Row],[Route]]=ClosureLocation!$B$3, ClosureLocation!$B$6 &gt;= Table4[[#This Row],[StartMP]], ClosureLocation!$B$6 &lt;= Table4[[#This Row],[EndMP]]), "Yes", "")</f>
        <v/>
      </c>
      <c r="Q2137" s="1" t="str">
        <f>IF( AND( Table4[[#This Row],[Route]]=ClosureLocation!$B$3, ClosureLocation!$B$6 &lt;= Table4[[#This Row],[StartMP]], ClosureLocation!$B$6 &gt;= Table4[[#This Row],[EndMP]]), "Yes", "")</f>
        <v/>
      </c>
      <c r="R2137" s="1" t="str">
        <f>IF( OR( Table4[[#This Row],[PrimaryMatch]]="Yes", Table4[[#This Row],[SecondaryMatch]]="Yes"), "Yes", "")</f>
        <v/>
      </c>
    </row>
    <row r="2138" spans="1:18" hidden="1" x14ac:dyDescent="0.25">
      <c r="A2138" t="s">
        <v>1654</v>
      </c>
      <c r="B2138" t="s">
        <v>3209</v>
      </c>
      <c r="C2138" t="s">
        <v>3210</v>
      </c>
      <c r="D2138" t="s">
        <v>4401</v>
      </c>
      <c r="E2138" s="1">
        <v>3.8340000000000001</v>
      </c>
      <c r="F2138" s="1">
        <v>3.2890000000000001</v>
      </c>
      <c r="K2138" s="39">
        <f>DefaultValues!$B$4</f>
        <v>5</v>
      </c>
      <c r="L2138" s="1">
        <f>DefaultValues!$C$4</f>
        <v>0.5</v>
      </c>
      <c r="M2138" s="1" t="str">
        <f>DefaultValues!$D$4</f>
        <v xml:space="preserve">- Within interchange - </v>
      </c>
      <c r="N2138" s="1">
        <v>996.16601600000001</v>
      </c>
      <c r="O2138" s="1">
        <f>ABS(Table4[[#This Row],[EndMP]]-Table4[[#This Row],[StartMP]])</f>
        <v>0.54499999999999993</v>
      </c>
      <c r="P2138" s="1" t="str">
        <f>IF( AND( Table4[[#This Row],[Route]]=ClosureLocation!$B$3, ClosureLocation!$B$6 &gt;= Table4[[#This Row],[StartMP]], ClosureLocation!$B$6 &lt;= Table4[[#This Row],[EndMP]]), "Yes", "")</f>
        <v/>
      </c>
      <c r="Q2138" s="1" t="str">
        <f>IF( AND( Table4[[#This Row],[Route]]=ClosureLocation!$B$3, ClosureLocation!$B$6 &lt;= Table4[[#This Row],[StartMP]], ClosureLocation!$B$6 &gt;= Table4[[#This Row],[EndMP]]), "Yes", "")</f>
        <v/>
      </c>
      <c r="R2138" s="1" t="str">
        <f>IF( OR( Table4[[#This Row],[PrimaryMatch]]="Yes", Table4[[#This Row],[SecondaryMatch]]="Yes"), "Yes", "")</f>
        <v/>
      </c>
    </row>
    <row r="2139" spans="1:18" hidden="1" x14ac:dyDescent="0.25">
      <c r="A2139" t="s">
        <v>1654</v>
      </c>
      <c r="B2139" t="s">
        <v>3209</v>
      </c>
      <c r="C2139" t="s">
        <v>3210</v>
      </c>
      <c r="D2139" t="s">
        <v>4401</v>
      </c>
      <c r="E2139" s="1">
        <v>2.073</v>
      </c>
      <c r="F2139" s="1">
        <v>1.333</v>
      </c>
      <c r="K2139" s="39">
        <f>DefaultValues!$B$4</f>
        <v>5</v>
      </c>
      <c r="L2139" s="1">
        <f>DefaultValues!$C$4</f>
        <v>0.5</v>
      </c>
      <c r="M2139" s="1" t="str">
        <f>DefaultValues!$D$4</f>
        <v xml:space="preserve">- Within interchange - </v>
      </c>
      <c r="N2139" s="1">
        <v>997.92700200000002</v>
      </c>
      <c r="O2139" s="1">
        <f>ABS(Table4[[#This Row],[EndMP]]-Table4[[#This Row],[StartMP]])</f>
        <v>0.74</v>
      </c>
      <c r="P2139" s="1" t="str">
        <f>IF( AND( Table4[[#This Row],[Route]]=ClosureLocation!$B$3, ClosureLocation!$B$6 &gt;= Table4[[#This Row],[StartMP]], ClosureLocation!$B$6 &lt;= Table4[[#This Row],[EndMP]]), "Yes", "")</f>
        <v/>
      </c>
      <c r="Q2139" s="1" t="str">
        <f>IF( AND( Table4[[#This Row],[Route]]=ClosureLocation!$B$3, ClosureLocation!$B$6 &lt;= Table4[[#This Row],[StartMP]], ClosureLocation!$B$6 &gt;= Table4[[#This Row],[EndMP]]), "Yes", "")</f>
        <v/>
      </c>
      <c r="R2139" s="1" t="str">
        <f>IF( OR( Table4[[#This Row],[PrimaryMatch]]="Yes", Table4[[#This Row],[SecondaryMatch]]="Yes"), "Yes", "")</f>
        <v/>
      </c>
    </row>
    <row r="2140" spans="1:18" hidden="1" x14ac:dyDescent="0.25">
      <c r="A2140" t="s">
        <v>1661</v>
      </c>
      <c r="B2140" t="s">
        <v>3205</v>
      </c>
      <c r="C2140" t="s">
        <v>3226</v>
      </c>
      <c r="D2140" t="s">
        <v>4406</v>
      </c>
      <c r="E2140" s="1">
        <v>47.636001999999998</v>
      </c>
      <c r="F2140" s="1">
        <v>48.495998</v>
      </c>
      <c r="K2140" s="39">
        <f>DefaultValues!$B$4</f>
        <v>5</v>
      </c>
      <c r="L2140" s="1">
        <f>DefaultValues!$C$4</f>
        <v>0.5</v>
      </c>
      <c r="M2140" s="1" t="str">
        <f>DefaultValues!$D$4</f>
        <v xml:space="preserve">- Within interchange - </v>
      </c>
      <c r="N2140" s="1">
        <v>47.636001999999998</v>
      </c>
      <c r="O2140" s="1">
        <f>ABS(Table4[[#This Row],[EndMP]]-Table4[[#This Row],[StartMP]])</f>
        <v>0.85999600000000243</v>
      </c>
      <c r="P2140" s="1" t="str">
        <f>IF( AND( Table4[[#This Row],[Route]]=ClosureLocation!$B$3, ClosureLocation!$B$6 &gt;= Table4[[#This Row],[StartMP]], ClosureLocation!$B$6 &lt;= Table4[[#This Row],[EndMP]]), "Yes", "")</f>
        <v/>
      </c>
      <c r="Q2140" s="1" t="str">
        <f>IF( AND( Table4[[#This Row],[Route]]=ClosureLocation!$B$3, ClosureLocation!$B$6 &lt;= Table4[[#This Row],[StartMP]], ClosureLocation!$B$6 &gt;= Table4[[#This Row],[EndMP]]), "Yes", "")</f>
        <v/>
      </c>
      <c r="R2140" s="1" t="str">
        <f>IF( OR( Table4[[#This Row],[PrimaryMatch]]="Yes", Table4[[#This Row],[SecondaryMatch]]="Yes"), "Yes", "")</f>
        <v/>
      </c>
    </row>
    <row r="2141" spans="1:18" hidden="1" x14ac:dyDescent="0.25">
      <c r="A2141" t="s">
        <v>1661</v>
      </c>
      <c r="B2141" t="s">
        <v>3205</v>
      </c>
      <c r="C2141" t="s">
        <v>3226</v>
      </c>
      <c r="D2141" t="s">
        <v>4406</v>
      </c>
      <c r="E2141" s="1">
        <v>51.806998999999998</v>
      </c>
      <c r="F2141" s="1">
        <v>53.43</v>
      </c>
      <c r="K2141" s="39">
        <f>DefaultValues!$B$4</f>
        <v>5</v>
      </c>
      <c r="L2141" s="1">
        <f>DefaultValues!$C$4</f>
        <v>0.5</v>
      </c>
      <c r="M2141" s="1" t="str">
        <f>DefaultValues!$D$4</f>
        <v xml:space="preserve">- Within interchange - </v>
      </c>
      <c r="N2141" s="1">
        <v>51.806998999999998</v>
      </c>
      <c r="O2141" s="1">
        <f>ABS(Table4[[#This Row],[EndMP]]-Table4[[#This Row],[StartMP]])</f>
        <v>1.6230010000000021</v>
      </c>
      <c r="P2141" s="1" t="str">
        <f>IF( AND( Table4[[#This Row],[Route]]=ClosureLocation!$B$3, ClosureLocation!$B$6 &gt;= Table4[[#This Row],[StartMP]], ClosureLocation!$B$6 &lt;= Table4[[#This Row],[EndMP]]), "Yes", "")</f>
        <v/>
      </c>
      <c r="Q2141" s="1" t="str">
        <f>IF( AND( Table4[[#This Row],[Route]]=ClosureLocation!$B$3, ClosureLocation!$B$6 &lt;= Table4[[#This Row],[StartMP]], ClosureLocation!$B$6 &gt;= Table4[[#This Row],[EndMP]]), "Yes", "")</f>
        <v/>
      </c>
      <c r="R2141" s="1" t="str">
        <f>IF( OR( Table4[[#This Row],[PrimaryMatch]]="Yes", Table4[[#This Row],[SecondaryMatch]]="Yes"), "Yes", "")</f>
        <v/>
      </c>
    </row>
    <row r="2142" spans="1:18" hidden="1" x14ac:dyDescent="0.25">
      <c r="A2142" t="s">
        <v>1661</v>
      </c>
      <c r="B2142" t="s">
        <v>3209</v>
      </c>
      <c r="C2142" t="s">
        <v>3222</v>
      </c>
      <c r="D2142" t="s">
        <v>4403</v>
      </c>
      <c r="E2142" s="1">
        <v>53.027000000000001</v>
      </c>
      <c r="F2142" s="1">
        <v>51.790999999999997</v>
      </c>
      <c r="K2142" s="39">
        <f>DefaultValues!$B$4</f>
        <v>5</v>
      </c>
      <c r="L2142" s="1">
        <f>DefaultValues!$C$4</f>
        <v>0.5</v>
      </c>
      <c r="M2142" s="1" t="str">
        <f>DefaultValues!$D$4</f>
        <v xml:space="preserve">- Within interchange - </v>
      </c>
      <c r="N2142" s="1">
        <v>946.97302200000001</v>
      </c>
      <c r="O2142" s="1">
        <f>ABS(Table4[[#This Row],[EndMP]]-Table4[[#This Row],[StartMP]])</f>
        <v>1.2360000000000042</v>
      </c>
      <c r="P2142" s="1" t="str">
        <f>IF( AND( Table4[[#This Row],[Route]]=ClosureLocation!$B$3, ClosureLocation!$B$6 &gt;= Table4[[#This Row],[StartMP]], ClosureLocation!$B$6 &lt;= Table4[[#This Row],[EndMP]]), "Yes", "")</f>
        <v/>
      </c>
      <c r="Q2142" s="1" t="str">
        <f>IF( AND( Table4[[#This Row],[Route]]=ClosureLocation!$B$3, ClosureLocation!$B$6 &lt;= Table4[[#This Row],[StartMP]], ClosureLocation!$B$6 &gt;= Table4[[#This Row],[EndMP]]), "Yes", "")</f>
        <v/>
      </c>
      <c r="R2142" s="1" t="str">
        <f>IF( OR( Table4[[#This Row],[PrimaryMatch]]="Yes", Table4[[#This Row],[SecondaryMatch]]="Yes"), "Yes", "")</f>
        <v/>
      </c>
    </row>
    <row r="2143" spans="1:18" hidden="1" x14ac:dyDescent="0.25">
      <c r="A2143" t="s">
        <v>1661</v>
      </c>
      <c r="B2143" t="s">
        <v>3209</v>
      </c>
      <c r="C2143" t="s">
        <v>3222</v>
      </c>
      <c r="D2143" t="s">
        <v>4403</v>
      </c>
      <c r="E2143" s="1">
        <v>48.495998</v>
      </c>
      <c r="F2143" s="1">
        <v>47.636001999999998</v>
      </c>
      <c r="K2143" s="39">
        <f>DefaultValues!$B$4</f>
        <v>5</v>
      </c>
      <c r="L2143" s="1">
        <f>DefaultValues!$C$4</f>
        <v>0.5</v>
      </c>
      <c r="M2143" s="1" t="str">
        <f>DefaultValues!$D$4</f>
        <v xml:space="preserve">- Within interchange - </v>
      </c>
      <c r="N2143" s="1">
        <v>951.50402799999995</v>
      </c>
      <c r="O2143" s="1">
        <f>ABS(Table4[[#This Row],[EndMP]]-Table4[[#This Row],[StartMP]])</f>
        <v>0.85999600000000243</v>
      </c>
      <c r="P2143" s="1" t="str">
        <f>IF( AND( Table4[[#This Row],[Route]]=ClosureLocation!$B$3, ClosureLocation!$B$6 &gt;= Table4[[#This Row],[StartMP]], ClosureLocation!$B$6 &lt;= Table4[[#This Row],[EndMP]]), "Yes", "")</f>
        <v/>
      </c>
      <c r="Q2143" s="1" t="str">
        <f>IF( AND( Table4[[#This Row],[Route]]=ClosureLocation!$B$3, ClosureLocation!$B$6 &lt;= Table4[[#This Row],[StartMP]], ClosureLocation!$B$6 &gt;= Table4[[#This Row],[EndMP]]), "Yes", "")</f>
        <v/>
      </c>
      <c r="R2143" s="1" t="str">
        <f>IF( OR( Table4[[#This Row],[PrimaryMatch]]="Yes", Table4[[#This Row],[SecondaryMatch]]="Yes"), "Yes", "")</f>
        <v/>
      </c>
    </row>
    <row r="2144" spans="1:18" hidden="1" x14ac:dyDescent="0.25">
      <c r="A2144" t="s">
        <v>1665</v>
      </c>
      <c r="B2144" t="s">
        <v>3205</v>
      </c>
      <c r="C2144" t="s">
        <v>3226</v>
      </c>
      <c r="D2144" t="s">
        <v>4695</v>
      </c>
      <c r="E2144" s="1">
        <v>0</v>
      </c>
      <c r="F2144" s="1">
        <v>0.14099999999999999</v>
      </c>
      <c r="K2144" s="39">
        <f>DefaultValues!$B$4</f>
        <v>5</v>
      </c>
      <c r="L2144" s="1">
        <f>DefaultValues!$C$4</f>
        <v>0.5</v>
      </c>
      <c r="M2144" s="1" t="str">
        <f>DefaultValues!$D$4</f>
        <v xml:space="preserve">- Within interchange - </v>
      </c>
      <c r="N2144" s="1">
        <v>0</v>
      </c>
      <c r="O2144" s="1">
        <f>ABS(Table4[[#This Row],[EndMP]]-Table4[[#This Row],[StartMP]])</f>
        <v>0.14099999999999999</v>
      </c>
      <c r="P2144" s="1" t="str">
        <f>IF( AND( Table4[[#This Row],[Route]]=ClosureLocation!$B$3, ClosureLocation!$B$6 &gt;= Table4[[#This Row],[StartMP]], ClosureLocation!$B$6 &lt;= Table4[[#This Row],[EndMP]]), "Yes", "")</f>
        <v/>
      </c>
      <c r="Q2144" s="1" t="str">
        <f>IF( AND( Table4[[#This Row],[Route]]=ClosureLocation!$B$3, ClosureLocation!$B$6 &lt;= Table4[[#This Row],[StartMP]], ClosureLocation!$B$6 &gt;= Table4[[#This Row],[EndMP]]), "Yes", "")</f>
        <v/>
      </c>
      <c r="R2144" s="1" t="str">
        <f>IF( OR( Table4[[#This Row],[PrimaryMatch]]="Yes", Table4[[#This Row],[SecondaryMatch]]="Yes"), "Yes", "")</f>
        <v/>
      </c>
    </row>
    <row r="2145" spans="1:18" hidden="1" x14ac:dyDescent="0.25">
      <c r="A2145" t="s">
        <v>1665</v>
      </c>
      <c r="B2145" t="s">
        <v>3205</v>
      </c>
      <c r="C2145" t="s">
        <v>3226</v>
      </c>
      <c r="D2145" t="s">
        <v>4695</v>
      </c>
      <c r="E2145" s="1">
        <v>0.60899999999999999</v>
      </c>
      <c r="F2145" s="1">
        <v>1.212</v>
      </c>
      <c r="K2145" s="39">
        <f>DefaultValues!$B$4</f>
        <v>5</v>
      </c>
      <c r="L2145" s="1">
        <f>DefaultValues!$C$4</f>
        <v>0.5</v>
      </c>
      <c r="M2145" s="1" t="str">
        <f>DefaultValues!$D$4</f>
        <v xml:space="preserve">- Within interchange - </v>
      </c>
      <c r="N2145" s="1">
        <v>0.60899999999999999</v>
      </c>
      <c r="O2145" s="1">
        <f>ABS(Table4[[#This Row],[EndMP]]-Table4[[#This Row],[StartMP]])</f>
        <v>0.60299999999999998</v>
      </c>
      <c r="P2145" s="1" t="str">
        <f>IF( AND( Table4[[#This Row],[Route]]=ClosureLocation!$B$3, ClosureLocation!$B$6 &gt;= Table4[[#This Row],[StartMP]], ClosureLocation!$B$6 &lt;= Table4[[#This Row],[EndMP]]), "Yes", "")</f>
        <v/>
      </c>
      <c r="Q2145" s="1" t="str">
        <f>IF( AND( Table4[[#This Row],[Route]]=ClosureLocation!$B$3, ClosureLocation!$B$6 &lt;= Table4[[#This Row],[StartMP]], ClosureLocation!$B$6 &gt;= Table4[[#This Row],[EndMP]]), "Yes", "")</f>
        <v/>
      </c>
      <c r="R2145" s="1" t="str">
        <f>IF( OR( Table4[[#This Row],[PrimaryMatch]]="Yes", Table4[[#This Row],[SecondaryMatch]]="Yes"), "Yes", "")</f>
        <v/>
      </c>
    </row>
    <row r="2146" spans="1:18" hidden="1" x14ac:dyDescent="0.25">
      <c r="A2146" t="s">
        <v>1665</v>
      </c>
      <c r="B2146" t="s">
        <v>3209</v>
      </c>
      <c r="C2146" t="s">
        <v>3222</v>
      </c>
      <c r="D2146" t="s">
        <v>4696</v>
      </c>
      <c r="E2146" s="1">
        <v>0.33300000000000002</v>
      </c>
      <c r="F2146" s="1">
        <v>5.8999999999999997E-2</v>
      </c>
      <c r="K2146" s="39">
        <f>DefaultValues!$B$4</f>
        <v>5</v>
      </c>
      <c r="L2146" s="1">
        <f>DefaultValues!$C$4</f>
        <v>0.5</v>
      </c>
      <c r="M2146" s="1" t="str">
        <f>DefaultValues!$D$4</f>
        <v xml:space="preserve">- Within interchange - </v>
      </c>
      <c r="N2146" s="1">
        <v>999.66699200000005</v>
      </c>
      <c r="O2146" s="1">
        <f>ABS(Table4[[#This Row],[EndMP]]-Table4[[#This Row],[StartMP]])</f>
        <v>0.27400000000000002</v>
      </c>
      <c r="P2146" s="1" t="str">
        <f>IF( AND( Table4[[#This Row],[Route]]=ClosureLocation!$B$3, ClosureLocation!$B$6 &gt;= Table4[[#This Row],[StartMP]], ClosureLocation!$B$6 &lt;= Table4[[#This Row],[EndMP]]), "Yes", "")</f>
        <v/>
      </c>
      <c r="Q2146" s="1" t="str">
        <f>IF( AND( Table4[[#This Row],[Route]]=ClosureLocation!$B$3, ClosureLocation!$B$6 &lt;= Table4[[#This Row],[StartMP]], ClosureLocation!$B$6 &gt;= Table4[[#This Row],[EndMP]]), "Yes", "")</f>
        <v/>
      </c>
      <c r="R2146" s="1" t="str">
        <f>IF( OR( Table4[[#This Row],[PrimaryMatch]]="Yes", Table4[[#This Row],[SecondaryMatch]]="Yes"), "Yes", "")</f>
        <v/>
      </c>
    </row>
    <row r="2147" spans="1:18" hidden="1" x14ac:dyDescent="0.25">
      <c r="A2147" t="s">
        <v>1680</v>
      </c>
      <c r="B2147" t="s">
        <v>3205</v>
      </c>
      <c r="C2147" t="s">
        <v>3206</v>
      </c>
      <c r="D2147" t="s">
        <v>4423</v>
      </c>
      <c r="E2147" s="1">
        <v>20.916</v>
      </c>
      <c r="F2147" s="1">
        <v>21</v>
      </c>
      <c r="K2147" s="39">
        <f>DefaultValues!$B$4</f>
        <v>5</v>
      </c>
      <c r="L2147" s="1">
        <f>DefaultValues!$C$4</f>
        <v>0.5</v>
      </c>
      <c r="M2147" s="1" t="str">
        <f>DefaultValues!$D$4</f>
        <v xml:space="preserve">- Within interchange - </v>
      </c>
      <c r="N2147" s="1">
        <v>20.916</v>
      </c>
      <c r="O2147" s="1">
        <f>ABS(Table4[[#This Row],[EndMP]]-Table4[[#This Row],[StartMP]])</f>
        <v>8.3999999999999631E-2</v>
      </c>
      <c r="P2147" s="1" t="str">
        <f>IF( AND( Table4[[#This Row],[Route]]=ClosureLocation!$B$3, ClosureLocation!$B$6 &gt;= Table4[[#This Row],[StartMP]], ClosureLocation!$B$6 &lt;= Table4[[#This Row],[EndMP]]), "Yes", "")</f>
        <v/>
      </c>
      <c r="Q2147" s="1" t="str">
        <f>IF( AND( Table4[[#This Row],[Route]]=ClosureLocation!$B$3, ClosureLocation!$B$6 &lt;= Table4[[#This Row],[StartMP]], ClosureLocation!$B$6 &gt;= Table4[[#This Row],[EndMP]]), "Yes", "")</f>
        <v/>
      </c>
      <c r="R2147" s="1" t="str">
        <f>IF( OR( Table4[[#This Row],[PrimaryMatch]]="Yes", Table4[[#This Row],[SecondaryMatch]]="Yes"), "Yes", "")</f>
        <v/>
      </c>
    </row>
    <row r="2148" spans="1:18" hidden="1" x14ac:dyDescent="0.25">
      <c r="A2148" t="s">
        <v>1680</v>
      </c>
      <c r="B2148" t="s">
        <v>3209</v>
      </c>
      <c r="C2148" t="s">
        <v>3210</v>
      </c>
      <c r="D2148" t="s">
        <v>4426</v>
      </c>
      <c r="E2148" s="1">
        <v>21</v>
      </c>
      <c r="F2148" s="1">
        <v>20.916</v>
      </c>
      <c r="K2148" s="39">
        <f>DefaultValues!$B$4</f>
        <v>5</v>
      </c>
      <c r="L2148" s="1">
        <f>DefaultValues!$C$4</f>
        <v>0.5</v>
      </c>
      <c r="M2148" s="1" t="str">
        <f>DefaultValues!$D$4</f>
        <v xml:space="preserve">- Within interchange - </v>
      </c>
      <c r="N2148" s="1">
        <v>979</v>
      </c>
      <c r="O2148" s="1">
        <f>ABS(Table4[[#This Row],[EndMP]]-Table4[[#This Row],[StartMP]])</f>
        <v>8.3999999999999631E-2</v>
      </c>
      <c r="P2148" s="1" t="str">
        <f>IF( AND( Table4[[#This Row],[Route]]=ClosureLocation!$B$3, ClosureLocation!$B$6 &gt;= Table4[[#This Row],[StartMP]], ClosureLocation!$B$6 &lt;= Table4[[#This Row],[EndMP]]), "Yes", "")</f>
        <v/>
      </c>
      <c r="Q2148" s="1" t="str">
        <f>IF( AND( Table4[[#This Row],[Route]]=ClosureLocation!$B$3, ClosureLocation!$B$6 &lt;= Table4[[#This Row],[StartMP]], ClosureLocation!$B$6 &gt;= Table4[[#This Row],[EndMP]]), "Yes", "")</f>
        <v/>
      </c>
      <c r="R2148" s="1" t="str">
        <f>IF( OR( Table4[[#This Row],[PrimaryMatch]]="Yes", Table4[[#This Row],[SecondaryMatch]]="Yes"), "Yes", "")</f>
        <v/>
      </c>
    </row>
    <row r="2149" spans="1:18" hidden="1" x14ac:dyDescent="0.25">
      <c r="A2149" t="s">
        <v>394</v>
      </c>
      <c r="B2149" t="s">
        <v>3205</v>
      </c>
      <c r="C2149" t="s">
        <v>3222</v>
      </c>
      <c r="D2149" t="s">
        <v>3477</v>
      </c>
      <c r="E2149" s="1">
        <v>91.924000000000007</v>
      </c>
      <c r="F2149" s="1">
        <v>92.009</v>
      </c>
      <c r="G2149">
        <v>5</v>
      </c>
      <c r="H2149">
        <v>3</v>
      </c>
      <c r="I2149" t="s">
        <v>2291</v>
      </c>
      <c r="J2149" t="s">
        <v>1702</v>
      </c>
      <c r="K2149" s="39">
        <v>4.9725250000000001</v>
      </c>
      <c r="L2149" s="1">
        <v>2.7298740000000001</v>
      </c>
      <c r="M2149" s="1" t="s">
        <v>3481</v>
      </c>
      <c r="N2149" s="1">
        <v>91.924000000000007</v>
      </c>
      <c r="O2149" s="1">
        <f>ABS(Table4[[#This Row],[EndMP]]-Table4[[#This Row],[StartMP]])</f>
        <v>8.4999999999993747E-2</v>
      </c>
      <c r="P2149" s="1" t="str">
        <f>IF( AND( Table4[[#This Row],[Route]]=ClosureLocation!$B$3, ClosureLocation!$B$6 &gt;= Table4[[#This Row],[StartMP]], ClosureLocation!$B$6 &lt;= Table4[[#This Row],[EndMP]]), "Yes", "")</f>
        <v/>
      </c>
      <c r="Q2149" s="1" t="str">
        <f>IF( AND( Table4[[#This Row],[Route]]=ClosureLocation!$B$3, ClosureLocation!$B$6 &lt;= Table4[[#This Row],[StartMP]], ClosureLocation!$B$6 &gt;= Table4[[#This Row],[EndMP]]), "Yes", "")</f>
        <v/>
      </c>
      <c r="R2149" s="1" t="str">
        <f>IF( OR( Table4[[#This Row],[PrimaryMatch]]="Yes", Table4[[#This Row],[SecondaryMatch]]="Yes"), "Yes", "")</f>
        <v/>
      </c>
    </row>
    <row r="2150" spans="1:18" hidden="1" x14ac:dyDescent="0.25">
      <c r="A2150" t="s">
        <v>454</v>
      </c>
      <c r="B2150" t="s">
        <v>3209</v>
      </c>
      <c r="C2150" t="s">
        <v>3226</v>
      </c>
      <c r="D2150" t="s">
        <v>3532</v>
      </c>
      <c r="E2150" s="1">
        <v>56.814</v>
      </c>
      <c r="F2150" s="1">
        <v>55.268000000000001</v>
      </c>
      <c r="G2150">
        <v>4</v>
      </c>
      <c r="H2150">
        <v>8</v>
      </c>
      <c r="I2150" t="s">
        <v>3047</v>
      </c>
      <c r="J2150" t="s">
        <v>1704</v>
      </c>
      <c r="K2150" s="39">
        <v>4.9602019999999998</v>
      </c>
      <c r="L2150" s="1">
        <v>2.9981599999999999</v>
      </c>
      <c r="M2150" s="1" t="s">
        <v>3533</v>
      </c>
      <c r="N2150" s="1">
        <v>943.18600000000004</v>
      </c>
      <c r="O2150" s="1">
        <f>ABS(Table4[[#This Row],[EndMP]]-Table4[[#This Row],[StartMP]])</f>
        <v>1.5459999999999994</v>
      </c>
      <c r="P2150" s="1" t="str">
        <f>IF( AND( Table4[[#This Row],[Route]]=ClosureLocation!$B$3, ClosureLocation!$B$6 &gt;= Table4[[#This Row],[StartMP]], ClosureLocation!$B$6 &lt;= Table4[[#This Row],[EndMP]]), "Yes", "")</f>
        <v/>
      </c>
      <c r="Q2150" s="1" t="str">
        <f>IF( AND( Table4[[#This Row],[Route]]=ClosureLocation!$B$3, ClosureLocation!$B$6 &lt;= Table4[[#This Row],[StartMP]], ClosureLocation!$B$6 &gt;= Table4[[#This Row],[EndMP]]), "Yes", "")</f>
        <v/>
      </c>
      <c r="R2150" s="1" t="str">
        <f>IF( OR( Table4[[#This Row],[PrimaryMatch]]="Yes", Table4[[#This Row],[SecondaryMatch]]="Yes"), "Yes", "")</f>
        <v/>
      </c>
    </row>
    <row r="2151" spans="1:18" hidden="1" x14ac:dyDescent="0.25">
      <c r="A2151" t="s">
        <v>65</v>
      </c>
      <c r="B2151" t="s">
        <v>3209</v>
      </c>
      <c r="C2151" t="s">
        <v>3226</v>
      </c>
      <c r="D2151" t="s">
        <v>3247</v>
      </c>
      <c r="E2151" s="1">
        <v>280.72800000000001</v>
      </c>
      <c r="F2151" s="1">
        <v>279.32499999999999</v>
      </c>
      <c r="G2151">
        <v>3</v>
      </c>
      <c r="H2151">
        <v>9</v>
      </c>
      <c r="I2151" t="s">
        <v>2075</v>
      </c>
      <c r="J2151" t="s">
        <v>1705</v>
      </c>
      <c r="K2151" s="39">
        <v>4.9212179999999996</v>
      </c>
      <c r="L2151" s="1">
        <v>1.921511</v>
      </c>
      <c r="M2151" s="1" t="s">
        <v>3250</v>
      </c>
      <c r="N2151" s="1">
        <v>719.27200000000005</v>
      </c>
      <c r="O2151" s="1">
        <f>ABS(Table4[[#This Row],[EndMP]]-Table4[[#This Row],[StartMP]])</f>
        <v>1.40300000000002</v>
      </c>
      <c r="P2151" s="1" t="str">
        <f>IF( AND( Table4[[#This Row],[Route]]=ClosureLocation!$B$3, ClosureLocation!$B$6 &gt;= Table4[[#This Row],[StartMP]], ClosureLocation!$B$6 &lt;= Table4[[#This Row],[EndMP]]), "Yes", "")</f>
        <v/>
      </c>
      <c r="Q2151" s="1" t="str">
        <f>IF( AND( Table4[[#This Row],[Route]]=ClosureLocation!$B$3, ClosureLocation!$B$6 &lt;= Table4[[#This Row],[StartMP]], ClosureLocation!$B$6 &gt;= Table4[[#This Row],[EndMP]]), "Yes", "")</f>
        <v/>
      </c>
      <c r="R2151" s="1" t="str">
        <f>IF( OR( Table4[[#This Row],[PrimaryMatch]]="Yes", Table4[[#This Row],[SecondaryMatch]]="Yes"), "Yes", "")</f>
        <v/>
      </c>
    </row>
    <row r="2152" spans="1:18" hidden="1" x14ac:dyDescent="0.25">
      <c r="A2152" t="s">
        <v>65</v>
      </c>
      <c r="B2152" t="s">
        <v>3209</v>
      </c>
      <c r="C2152" t="s">
        <v>3226</v>
      </c>
      <c r="D2152" t="s">
        <v>3247</v>
      </c>
      <c r="E2152" s="1">
        <v>257.75099999999998</v>
      </c>
      <c r="F2152" s="1">
        <v>257.28300000000002</v>
      </c>
      <c r="G2152">
        <v>9</v>
      </c>
      <c r="H2152">
        <v>4</v>
      </c>
      <c r="I2152" t="s">
        <v>2081</v>
      </c>
      <c r="J2152" t="s">
        <v>1705</v>
      </c>
      <c r="K2152" s="39">
        <v>4.9028119999999999</v>
      </c>
      <c r="L2152" s="1">
        <v>3.9488729999999999</v>
      </c>
      <c r="M2152" s="1" t="s">
        <v>3255</v>
      </c>
      <c r="N2152" s="1">
        <v>742.24900000000002</v>
      </c>
      <c r="O2152" s="1">
        <f>ABS(Table4[[#This Row],[EndMP]]-Table4[[#This Row],[StartMP]])</f>
        <v>0.46799999999996089</v>
      </c>
      <c r="P2152" s="1" t="str">
        <f>IF( AND( Table4[[#This Row],[Route]]=ClosureLocation!$B$3, ClosureLocation!$B$6 &gt;= Table4[[#This Row],[StartMP]], ClosureLocation!$B$6 &lt;= Table4[[#This Row],[EndMP]]), "Yes", "")</f>
        <v/>
      </c>
      <c r="Q2152" s="1" t="str">
        <f>IF( AND( Table4[[#This Row],[Route]]=ClosureLocation!$B$3, ClosureLocation!$B$6 &lt;= Table4[[#This Row],[StartMP]], ClosureLocation!$B$6 &gt;= Table4[[#This Row],[EndMP]]), "Yes", "")</f>
        <v/>
      </c>
      <c r="R2152" s="1" t="str">
        <f>IF( OR( Table4[[#This Row],[PrimaryMatch]]="Yes", Table4[[#This Row],[SecondaryMatch]]="Yes"), "Yes", "")</f>
        <v/>
      </c>
    </row>
    <row r="2153" spans="1:18" hidden="1" x14ac:dyDescent="0.25">
      <c r="A2153" t="s">
        <v>1034</v>
      </c>
      <c r="B2153" t="s">
        <v>3209</v>
      </c>
      <c r="C2153" t="s">
        <v>3226</v>
      </c>
      <c r="D2153" t="s">
        <v>3930</v>
      </c>
      <c r="E2153" s="1">
        <v>21.564</v>
      </c>
      <c r="F2153" s="1">
        <v>17.013999999999999</v>
      </c>
      <c r="G2153">
        <v>1</v>
      </c>
      <c r="H2153">
        <v>2</v>
      </c>
      <c r="I2153" t="s">
        <v>2816</v>
      </c>
      <c r="J2153" t="s">
        <v>1689</v>
      </c>
      <c r="K2153" s="39">
        <v>4.8504079999999998</v>
      </c>
      <c r="L2153" s="1">
        <v>7.0586549999999999</v>
      </c>
      <c r="M2153" s="1" t="s">
        <v>3931</v>
      </c>
      <c r="N2153" s="1">
        <v>978.43600000000004</v>
      </c>
      <c r="O2153" s="1">
        <f>ABS(Table4[[#This Row],[EndMP]]-Table4[[#This Row],[StartMP]])</f>
        <v>4.5500000000000007</v>
      </c>
      <c r="P2153" s="1" t="str">
        <f>IF( AND( Table4[[#This Row],[Route]]=ClosureLocation!$B$3, ClosureLocation!$B$6 &gt;= Table4[[#This Row],[StartMP]], ClosureLocation!$B$6 &lt;= Table4[[#This Row],[EndMP]]), "Yes", "")</f>
        <v/>
      </c>
      <c r="Q2153" s="1" t="str">
        <f>IF( AND( Table4[[#This Row],[Route]]=ClosureLocation!$B$3, ClosureLocation!$B$6 &lt;= Table4[[#This Row],[StartMP]], ClosureLocation!$B$6 &gt;= Table4[[#This Row],[EndMP]]), "Yes", "")</f>
        <v/>
      </c>
      <c r="R2153" s="1" t="str">
        <f>IF( OR( Table4[[#This Row],[PrimaryMatch]]="Yes", Table4[[#This Row],[SecondaryMatch]]="Yes"), "Yes", "")</f>
        <v/>
      </c>
    </row>
    <row r="2154" spans="1:18" hidden="1" x14ac:dyDescent="0.25">
      <c r="A2154" t="s">
        <v>1204</v>
      </c>
      <c r="B2154" t="s">
        <v>3205</v>
      </c>
      <c r="C2154" t="s">
        <v>3222</v>
      </c>
      <c r="D2154" t="s">
        <v>4060</v>
      </c>
      <c r="E2154" s="1">
        <v>0</v>
      </c>
      <c r="F2154" s="1">
        <v>7.9729999999999999</v>
      </c>
      <c r="H2154">
        <v>1</v>
      </c>
      <c r="I2154" t="s">
        <v>2914</v>
      </c>
      <c r="J2154" t="s">
        <v>1692</v>
      </c>
      <c r="K2154" s="39">
        <v>4.8496100000000002</v>
      </c>
      <c r="L2154" s="1">
        <v>2.8691450000000001</v>
      </c>
      <c r="M2154" s="1" t="s">
        <v>4061</v>
      </c>
      <c r="N2154" s="1">
        <v>0</v>
      </c>
      <c r="O2154" s="1">
        <f>ABS(Table4[[#This Row],[EndMP]]-Table4[[#This Row],[StartMP]])</f>
        <v>7.9729999999999999</v>
      </c>
      <c r="P2154" s="1" t="str">
        <f>IF( AND( Table4[[#This Row],[Route]]=ClosureLocation!$B$3, ClosureLocation!$B$6 &gt;= Table4[[#This Row],[StartMP]], ClosureLocation!$B$6 &lt;= Table4[[#This Row],[EndMP]]), "Yes", "")</f>
        <v/>
      </c>
      <c r="Q2154" s="1" t="str">
        <f>IF( AND( Table4[[#This Row],[Route]]=ClosureLocation!$B$3, ClosureLocation!$B$6 &lt;= Table4[[#This Row],[StartMP]], ClosureLocation!$B$6 &gt;= Table4[[#This Row],[EndMP]]), "Yes", "")</f>
        <v/>
      </c>
      <c r="R2154" s="1" t="str">
        <f>IF( OR( Table4[[#This Row],[PrimaryMatch]]="Yes", Table4[[#This Row],[SecondaryMatch]]="Yes"), "Yes", "")</f>
        <v/>
      </c>
    </row>
    <row r="2155" spans="1:18" hidden="1" x14ac:dyDescent="0.25">
      <c r="A2155" t="s">
        <v>776</v>
      </c>
      <c r="B2155" t="s">
        <v>3209</v>
      </c>
      <c r="C2155" t="s">
        <v>3226</v>
      </c>
      <c r="D2155" t="s">
        <v>3749</v>
      </c>
      <c r="E2155" s="1">
        <v>250.63399999999999</v>
      </c>
      <c r="F2155" s="1">
        <v>247.76400000000001</v>
      </c>
      <c r="G2155">
        <v>29</v>
      </c>
      <c r="H2155">
        <v>82</v>
      </c>
      <c r="I2155" t="s">
        <v>2628</v>
      </c>
      <c r="J2155" t="s">
        <v>1694</v>
      </c>
      <c r="K2155" s="39">
        <v>4.8404610000000003</v>
      </c>
      <c r="L2155" s="1">
        <v>0.86058900000000005</v>
      </c>
      <c r="M2155" s="1" t="s">
        <v>4521</v>
      </c>
      <c r="N2155" s="1">
        <v>749.36599999999999</v>
      </c>
      <c r="O2155" s="1">
        <f>ABS(Table4[[#This Row],[EndMP]]-Table4[[#This Row],[StartMP]])</f>
        <v>2.8699999999999761</v>
      </c>
      <c r="P2155" s="1" t="str">
        <f>IF( AND( Table4[[#This Row],[Route]]=ClosureLocation!$B$3, ClosureLocation!$B$6 &gt;= Table4[[#This Row],[StartMP]], ClosureLocation!$B$6 &lt;= Table4[[#This Row],[EndMP]]), "Yes", "")</f>
        <v/>
      </c>
      <c r="Q2155" s="1" t="str">
        <f>IF( AND( Table4[[#This Row],[Route]]=ClosureLocation!$B$3, ClosureLocation!$B$6 &lt;= Table4[[#This Row],[StartMP]], ClosureLocation!$B$6 &gt;= Table4[[#This Row],[EndMP]]), "Yes", "")</f>
        <v/>
      </c>
      <c r="R2155" s="1" t="str">
        <f>IF( OR( Table4[[#This Row],[PrimaryMatch]]="Yes", Table4[[#This Row],[SecondaryMatch]]="Yes"), "Yes", "")</f>
        <v/>
      </c>
    </row>
    <row r="2156" spans="1:18" hidden="1" x14ac:dyDescent="0.25">
      <c r="A2156" t="s">
        <v>640</v>
      </c>
      <c r="B2156" t="s">
        <v>3205</v>
      </c>
      <c r="C2156" t="s">
        <v>3222</v>
      </c>
      <c r="D2156" t="s">
        <v>3638</v>
      </c>
      <c r="E2156" s="1">
        <v>316.01799999999997</v>
      </c>
      <c r="F2156" s="1">
        <v>318.52499999999998</v>
      </c>
      <c r="G2156">
        <v>1</v>
      </c>
      <c r="H2156">
        <v>15</v>
      </c>
      <c r="I2156" t="s">
        <v>2445</v>
      </c>
      <c r="J2156" t="s">
        <v>1694</v>
      </c>
      <c r="K2156" s="39">
        <v>4.8278119999999998</v>
      </c>
      <c r="L2156" s="1">
        <v>4.434088</v>
      </c>
      <c r="M2156" s="1" t="s">
        <v>4924</v>
      </c>
      <c r="N2156" s="1">
        <v>316.01799999999997</v>
      </c>
      <c r="O2156" s="1">
        <f>ABS(Table4[[#This Row],[EndMP]]-Table4[[#This Row],[StartMP]])</f>
        <v>2.507000000000005</v>
      </c>
      <c r="P2156" s="1" t="str">
        <f>IF( AND( Table4[[#This Row],[Route]]=ClosureLocation!$B$3, ClosureLocation!$B$6 &gt;= Table4[[#This Row],[StartMP]], ClosureLocation!$B$6 &lt;= Table4[[#This Row],[EndMP]]), "Yes", "")</f>
        <v/>
      </c>
      <c r="Q2156" s="1" t="str">
        <f>IF( AND( Table4[[#This Row],[Route]]=ClosureLocation!$B$3, ClosureLocation!$B$6 &lt;= Table4[[#This Row],[StartMP]], ClosureLocation!$B$6 &gt;= Table4[[#This Row],[EndMP]]), "Yes", "")</f>
        <v/>
      </c>
      <c r="R2156" s="1" t="str">
        <f>IF( OR( Table4[[#This Row],[PrimaryMatch]]="Yes", Table4[[#This Row],[SecondaryMatch]]="Yes"), "Yes", "")</f>
        <v/>
      </c>
    </row>
    <row r="2157" spans="1:18" hidden="1" x14ac:dyDescent="0.25">
      <c r="A2157" t="s">
        <v>1025</v>
      </c>
      <c r="B2157" t="s">
        <v>3205</v>
      </c>
      <c r="C2157" t="s">
        <v>3222</v>
      </c>
      <c r="D2157" t="s">
        <v>3918</v>
      </c>
      <c r="E2157" s="1">
        <v>8.8089999999999993</v>
      </c>
      <c r="F2157" s="1">
        <v>14.709</v>
      </c>
      <c r="G2157">
        <v>5</v>
      </c>
      <c r="H2157">
        <v>1</v>
      </c>
      <c r="I2157" t="s">
        <v>2810</v>
      </c>
      <c r="J2157" t="s">
        <v>1706</v>
      </c>
      <c r="K2157" s="39">
        <v>4.8176930000000002</v>
      </c>
      <c r="L2157" s="1">
        <v>2.9139550000000001</v>
      </c>
      <c r="M2157" s="1" t="s">
        <v>3922</v>
      </c>
      <c r="N2157" s="1">
        <v>8.8089999999999993</v>
      </c>
      <c r="O2157" s="1">
        <f>ABS(Table4[[#This Row],[EndMP]]-Table4[[#This Row],[StartMP]])</f>
        <v>5.9</v>
      </c>
      <c r="P2157" s="1" t="str">
        <f>IF( AND( Table4[[#This Row],[Route]]=ClosureLocation!$B$3, ClosureLocation!$B$6 &gt;= Table4[[#This Row],[StartMP]], ClosureLocation!$B$6 &lt;= Table4[[#This Row],[EndMP]]), "Yes", "")</f>
        <v/>
      </c>
      <c r="Q2157" s="1" t="str">
        <f>IF( AND( Table4[[#This Row],[Route]]=ClosureLocation!$B$3, ClosureLocation!$B$6 &lt;= Table4[[#This Row],[StartMP]], ClosureLocation!$B$6 &gt;= Table4[[#This Row],[EndMP]]), "Yes", "")</f>
        <v/>
      </c>
      <c r="R2157" s="1" t="str">
        <f>IF( OR( Table4[[#This Row],[PrimaryMatch]]="Yes", Table4[[#This Row],[SecondaryMatch]]="Yes"), "Yes", "")</f>
        <v/>
      </c>
    </row>
    <row r="2158" spans="1:18" hidden="1" x14ac:dyDescent="0.25">
      <c r="A2158" t="s">
        <v>65</v>
      </c>
      <c r="B2158" t="s">
        <v>3205</v>
      </c>
      <c r="C2158" t="s">
        <v>3222</v>
      </c>
      <c r="D2158" t="s">
        <v>3238</v>
      </c>
      <c r="E2158" s="1">
        <v>257.28300000000002</v>
      </c>
      <c r="F2158" s="1">
        <v>257.75099999999998</v>
      </c>
      <c r="G2158">
        <v>1</v>
      </c>
      <c r="H2158">
        <v>1</v>
      </c>
      <c r="I2158" t="s">
        <v>2064</v>
      </c>
      <c r="J2158" t="s">
        <v>1705</v>
      </c>
      <c r="K2158" s="39">
        <v>4.7857750000000001</v>
      </c>
      <c r="L2158" s="1">
        <v>4.0050829999999999</v>
      </c>
      <c r="M2158" s="1" t="s">
        <v>3239</v>
      </c>
      <c r="N2158" s="1">
        <v>257.28300000000002</v>
      </c>
      <c r="O2158" s="1">
        <f>ABS(Table4[[#This Row],[EndMP]]-Table4[[#This Row],[StartMP]])</f>
        <v>0.46799999999996089</v>
      </c>
      <c r="P2158" s="1" t="str">
        <f>IF( AND( Table4[[#This Row],[Route]]=ClosureLocation!$B$3, ClosureLocation!$B$6 &gt;= Table4[[#This Row],[StartMP]], ClosureLocation!$B$6 &lt;= Table4[[#This Row],[EndMP]]), "Yes", "")</f>
        <v/>
      </c>
      <c r="Q2158" s="1" t="str">
        <f>IF( AND( Table4[[#This Row],[Route]]=ClosureLocation!$B$3, ClosureLocation!$B$6 &lt;= Table4[[#This Row],[StartMP]], ClosureLocation!$B$6 &gt;= Table4[[#This Row],[EndMP]]), "Yes", "")</f>
        <v/>
      </c>
      <c r="R2158" s="1" t="str">
        <f>IF( OR( Table4[[#This Row],[PrimaryMatch]]="Yes", Table4[[#This Row],[SecondaryMatch]]="Yes"), "Yes", "")</f>
        <v/>
      </c>
    </row>
    <row r="2159" spans="1:18" hidden="1" x14ac:dyDescent="0.25">
      <c r="A2159" t="s">
        <v>50</v>
      </c>
      <c r="B2159" t="s">
        <v>3209</v>
      </c>
      <c r="C2159" t="s">
        <v>3226</v>
      </c>
      <c r="D2159" t="s">
        <v>3233</v>
      </c>
      <c r="E2159" s="1">
        <v>172.27099999999999</v>
      </c>
      <c r="F2159" s="1">
        <v>172.136</v>
      </c>
      <c r="H2159">
        <v>2</v>
      </c>
      <c r="I2159" t="s">
        <v>3234</v>
      </c>
      <c r="J2159" t="s">
        <v>1724</v>
      </c>
      <c r="K2159" s="39">
        <v>4.781256</v>
      </c>
      <c r="L2159" s="1">
        <v>4.5889049999999996</v>
      </c>
      <c r="M2159" s="1" t="s">
        <v>3235</v>
      </c>
      <c r="N2159" s="1">
        <v>827.72900000000004</v>
      </c>
      <c r="O2159" s="1">
        <f>ABS(Table4[[#This Row],[EndMP]]-Table4[[#This Row],[StartMP]])</f>
        <v>0.13499999999999091</v>
      </c>
      <c r="P2159" s="1" t="str">
        <f>IF( AND( Table4[[#This Row],[Route]]=ClosureLocation!$B$3, ClosureLocation!$B$6 &gt;= Table4[[#This Row],[StartMP]], ClosureLocation!$B$6 &lt;= Table4[[#This Row],[EndMP]]), "Yes", "")</f>
        <v/>
      </c>
      <c r="Q2159" s="1" t="str">
        <f>IF( AND( Table4[[#This Row],[Route]]=ClosureLocation!$B$3, ClosureLocation!$B$6 &lt;= Table4[[#This Row],[StartMP]], ClosureLocation!$B$6 &gt;= Table4[[#This Row],[EndMP]]), "Yes", "")</f>
        <v/>
      </c>
      <c r="R2159" s="1" t="str">
        <f>IF( OR( Table4[[#This Row],[PrimaryMatch]]="Yes", Table4[[#This Row],[SecondaryMatch]]="Yes"), "Yes", "")</f>
        <v/>
      </c>
    </row>
    <row r="2160" spans="1:18" hidden="1" x14ac:dyDescent="0.25">
      <c r="A2160" t="s">
        <v>546</v>
      </c>
      <c r="B2160" t="s">
        <v>3209</v>
      </c>
      <c r="C2160" t="s">
        <v>3226</v>
      </c>
      <c r="D2160" t="s">
        <v>3585</v>
      </c>
      <c r="E2160" s="1">
        <v>287.75900000000001</v>
      </c>
      <c r="F2160" s="1">
        <v>287.03800000000001</v>
      </c>
      <c r="H2160">
        <v>2</v>
      </c>
      <c r="I2160" t="s">
        <v>2393</v>
      </c>
      <c r="J2160" t="s">
        <v>1702</v>
      </c>
      <c r="K2160" s="39">
        <v>4.7499260000000003</v>
      </c>
      <c r="L2160" s="1">
        <v>4.7946030000000004</v>
      </c>
      <c r="M2160" s="1" t="s">
        <v>3592</v>
      </c>
      <c r="N2160" s="1">
        <v>712.24099999999999</v>
      </c>
      <c r="O2160" s="1">
        <f>ABS(Table4[[#This Row],[EndMP]]-Table4[[#This Row],[StartMP]])</f>
        <v>0.72100000000000364</v>
      </c>
      <c r="P2160" s="1" t="str">
        <f>IF( AND( Table4[[#This Row],[Route]]=ClosureLocation!$B$3, ClosureLocation!$B$6 &gt;= Table4[[#This Row],[StartMP]], ClosureLocation!$B$6 &lt;= Table4[[#This Row],[EndMP]]), "Yes", "")</f>
        <v/>
      </c>
      <c r="Q2160" s="1" t="str">
        <f>IF( AND( Table4[[#This Row],[Route]]=ClosureLocation!$B$3, ClosureLocation!$B$6 &lt;= Table4[[#This Row],[StartMP]], ClosureLocation!$B$6 &gt;= Table4[[#This Row],[EndMP]]), "Yes", "")</f>
        <v/>
      </c>
      <c r="R2160" s="1" t="str">
        <f>IF( OR( Table4[[#This Row],[PrimaryMatch]]="Yes", Table4[[#This Row],[SecondaryMatch]]="Yes"), "Yes", "")</f>
        <v/>
      </c>
    </row>
    <row r="2161" spans="1:18" hidden="1" x14ac:dyDescent="0.25">
      <c r="A2161" t="s">
        <v>50</v>
      </c>
      <c r="B2161" t="s">
        <v>3209</v>
      </c>
      <c r="C2161" t="s">
        <v>3226</v>
      </c>
      <c r="D2161" t="s">
        <v>3233</v>
      </c>
      <c r="E2161" s="1">
        <v>172.136</v>
      </c>
      <c r="F2161" s="1">
        <v>170.041</v>
      </c>
      <c r="H2161">
        <v>3</v>
      </c>
      <c r="I2161" t="s">
        <v>2062</v>
      </c>
      <c r="J2161" t="s">
        <v>1724</v>
      </c>
      <c r="K2161" s="39">
        <v>4.7483209999999998</v>
      </c>
      <c r="L2161" s="1">
        <v>5.5645100000000003</v>
      </c>
      <c r="M2161" s="1" t="s">
        <v>3236</v>
      </c>
      <c r="N2161" s="1">
        <v>827.86400000000003</v>
      </c>
      <c r="O2161" s="1">
        <f>ABS(Table4[[#This Row],[EndMP]]-Table4[[#This Row],[StartMP]])</f>
        <v>2.0949999999999989</v>
      </c>
      <c r="P2161" s="1" t="str">
        <f>IF( AND( Table4[[#This Row],[Route]]=ClosureLocation!$B$3, ClosureLocation!$B$6 &gt;= Table4[[#This Row],[StartMP]], ClosureLocation!$B$6 &lt;= Table4[[#This Row],[EndMP]]), "Yes", "")</f>
        <v/>
      </c>
      <c r="Q2161" s="1" t="str">
        <f>IF( AND( Table4[[#This Row],[Route]]=ClosureLocation!$B$3, ClosureLocation!$B$6 &lt;= Table4[[#This Row],[StartMP]], ClosureLocation!$B$6 &gt;= Table4[[#This Row],[EndMP]]), "Yes", "")</f>
        <v/>
      </c>
      <c r="R2161" s="1" t="str">
        <f>IF( OR( Table4[[#This Row],[PrimaryMatch]]="Yes", Table4[[#This Row],[SecondaryMatch]]="Yes"), "Yes", "")</f>
        <v/>
      </c>
    </row>
    <row r="2162" spans="1:18" hidden="1" x14ac:dyDescent="0.25">
      <c r="A2162" t="s">
        <v>1493</v>
      </c>
      <c r="B2162" t="s">
        <v>3209</v>
      </c>
      <c r="C2162" t="s">
        <v>3210</v>
      </c>
      <c r="D2162" t="s">
        <v>4262</v>
      </c>
      <c r="E2162" s="1">
        <v>263.81700000000001</v>
      </c>
      <c r="F2162" s="1">
        <v>262.68799999999999</v>
      </c>
      <c r="G2162">
        <v>1</v>
      </c>
      <c r="H2162">
        <v>11</v>
      </c>
      <c r="I2162" t="s">
        <v>3079</v>
      </c>
      <c r="J2162" t="s">
        <v>1693</v>
      </c>
      <c r="K2162" s="39">
        <v>4.7268249999999998</v>
      </c>
      <c r="L2162" s="1">
        <v>3.3409059999999999</v>
      </c>
      <c r="M2162" s="1" t="s">
        <v>4263</v>
      </c>
      <c r="N2162" s="1">
        <v>736.18299999999999</v>
      </c>
      <c r="O2162" s="1">
        <f>ABS(Table4[[#This Row],[EndMP]]-Table4[[#This Row],[StartMP]])</f>
        <v>1.1290000000000191</v>
      </c>
      <c r="P2162" s="1" t="str">
        <f>IF( AND( Table4[[#This Row],[Route]]=ClosureLocation!$B$3, ClosureLocation!$B$6 &gt;= Table4[[#This Row],[StartMP]], ClosureLocation!$B$6 &lt;= Table4[[#This Row],[EndMP]]), "Yes", "")</f>
        <v/>
      </c>
      <c r="Q2162" s="1" t="str">
        <f>IF( AND( Table4[[#This Row],[Route]]=ClosureLocation!$B$3, ClosureLocation!$B$6 &lt;= Table4[[#This Row],[StartMP]], ClosureLocation!$B$6 &gt;= Table4[[#This Row],[EndMP]]), "Yes", "")</f>
        <v/>
      </c>
      <c r="R2162" s="1" t="str">
        <f>IF( OR( Table4[[#This Row],[PrimaryMatch]]="Yes", Table4[[#This Row],[SecondaryMatch]]="Yes"), "Yes", "")</f>
        <v/>
      </c>
    </row>
    <row r="2163" spans="1:18" hidden="1" x14ac:dyDescent="0.25">
      <c r="A2163" t="s">
        <v>776</v>
      </c>
      <c r="B2163" t="s">
        <v>3205</v>
      </c>
      <c r="C2163" t="s">
        <v>3222</v>
      </c>
      <c r="D2163" t="s">
        <v>3748</v>
      </c>
      <c r="E2163" s="1">
        <v>310.27699999999999</v>
      </c>
      <c r="F2163" s="1">
        <v>315.61099999999999</v>
      </c>
      <c r="G2163">
        <v>42</v>
      </c>
      <c r="H2163">
        <v>42</v>
      </c>
      <c r="I2163" t="s">
        <v>2587</v>
      </c>
      <c r="J2163" t="s">
        <v>1694</v>
      </c>
      <c r="K2163" s="39">
        <v>4.6837350000000004</v>
      </c>
      <c r="L2163" s="1">
        <v>0.92294500000000002</v>
      </c>
      <c r="M2163" s="1" t="s">
        <v>4486</v>
      </c>
      <c r="N2163" s="1">
        <v>310.27699999999999</v>
      </c>
      <c r="O2163" s="1">
        <f>ABS(Table4[[#This Row],[EndMP]]-Table4[[#This Row],[StartMP]])</f>
        <v>5.3340000000000032</v>
      </c>
      <c r="P2163" s="1" t="str">
        <f>IF( AND( Table4[[#This Row],[Route]]=ClosureLocation!$B$3, ClosureLocation!$B$6 &gt;= Table4[[#This Row],[StartMP]], ClosureLocation!$B$6 &lt;= Table4[[#This Row],[EndMP]]), "Yes", "")</f>
        <v/>
      </c>
      <c r="Q2163" s="1" t="str">
        <f>IF( AND( Table4[[#This Row],[Route]]=ClosureLocation!$B$3, ClosureLocation!$B$6 &lt;= Table4[[#This Row],[StartMP]], ClosureLocation!$B$6 &gt;= Table4[[#This Row],[EndMP]]), "Yes", "")</f>
        <v/>
      </c>
      <c r="R2163" s="1" t="str">
        <f>IF( OR( Table4[[#This Row],[PrimaryMatch]]="Yes", Table4[[#This Row],[SecondaryMatch]]="Yes"), "Yes", "")</f>
        <v/>
      </c>
    </row>
    <row r="2164" spans="1:18" hidden="1" x14ac:dyDescent="0.25">
      <c r="A2164" t="s">
        <v>430</v>
      </c>
      <c r="B2164" t="s">
        <v>3209</v>
      </c>
      <c r="C2164" t="s">
        <v>3226</v>
      </c>
      <c r="D2164" t="s">
        <v>3508</v>
      </c>
      <c r="E2164" s="1">
        <v>11.057</v>
      </c>
      <c r="F2164" s="1">
        <v>10.194000000000001</v>
      </c>
      <c r="H2164">
        <v>4</v>
      </c>
      <c r="I2164" t="s">
        <v>2319</v>
      </c>
      <c r="J2164" t="s">
        <v>1702</v>
      </c>
      <c r="K2164" s="39">
        <v>4.6685400000000001</v>
      </c>
      <c r="L2164" s="1">
        <v>3.7786059999999999</v>
      </c>
      <c r="M2164" s="1" t="s">
        <v>3510</v>
      </c>
      <c r="N2164" s="1">
        <v>988.94299999999998</v>
      </c>
      <c r="O2164" s="1">
        <f>ABS(Table4[[#This Row],[EndMP]]-Table4[[#This Row],[StartMP]])</f>
        <v>0.86299999999999955</v>
      </c>
      <c r="P2164" s="1" t="str">
        <f>IF( AND( Table4[[#This Row],[Route]]=ClosureLocation!$B$3, ClosureLocation!$B$6 &gt;= Table4[[#This Row],[StartMP]], ClosureLocation!$B$6 &lt;= Table4[[#This Row],[EndMP]]), "Yes", "")</f>
        <v/>
      </c>
      <c r="Q2164" s="1" t="str">
        <f>IF( AND( Table4[[#This Row],[Route]]=ClosureLocation!$B$3, ClosureLocation!$B$6 &lt;= Table4[[#This Row],[StartMP]], ClosureLocation!$B$6 &gt;= Table4[[#This Row],[EndMP]]), "Yes", "")</f>
        <v/>
      </c>
      <c r="R2164" s="1" t="str">
        <f>IF( OR( Table4[[#This Row],[PrimaryMatch]]="Yes", Table4[[#This Row],[SecondaryMatch]]="Yes"), "Yes", "")</f>
        <v/>
      </c>
    </row>
    <row r="2165" spans="1:18" hidden="1" x14ac:dyDescent="0.25">
      <c r="A2165" t="s">
        <v>1627</v>
      </c>
      <c r="B2165" t="s">
        <v>3205</v>
      </c>
      <c r="C2165" t="s">
        <v>3206</v>
      </c>
      <c r="D2165" t="s">
        <v>4370</v>
      </c>
      <c r="E2165" s="1">
        <v>5.3490000000000002</v>
      </c>
      <c r="F2165" s="1">
        <v>6.2679999999999998</v>
      </c>
      <c r="G2165">
        <v>2</v>
      </c>
      <c r="H2165">
        <v>2</v>
      </c>
      <c r="I2165" t="s">
        <v>3162</v>
      </c>
      <c r="J2165" t="s">
        <v>1708</v>
      </c>
      <c r="K2165" s="39">
        <v>4.6552889999999998</v>
      </c>
      <c r="L2165" s="1">
        <v>3.0980349999999999</v>
      </c>
      <c r="M2165" s="1" t="s">
        <v>4372</v>
      </c>
      <c r="N2165" s="1">
        <v>5.3490000000000002</v>
      </c>
      <c r="O2165" s="1">
        <f>ABS(Table4[[#This Row],[EndMP]]-Table4[[#This Row],[StartMP]])</f>
        <v>0.91899999999999959</v>
      </c>
      <c r="P2165" s="1" t="str">
        <f>IF( AND( Table4[[#This Row],[Route]]=ClosureLocation!$B$3, ClosureLocation!$B$6 &gt;= Table4[[#This Row],[StartMP]], ClosureLocation!$B$6 &lt;= Table4[[#This Row],[EndMP]]), "Yes", "")</f>
        <v/>
      </c>
      <c r="Q2165" s="1" t="str">
        <f>IF( AND( Table4[[#This Row],[Route]]=ClosureLocation!$B$3, ClosureLocation!$B$6 &lt;= Table4[[#This Row],[StartMP]], ClosureLocation!$B$6 &gt;= Table4[[#This Row],[EndMP]]), "Yes", "")</f>
        <v/>
      </c>
      <c r="R2165" s="1" t="str">
        <f>IF( OR( Table4[[#This Row],[PrimaryMatch]]="Yes", Table4[[#This Row],[SecondaryMatch]]="Yes"), "Yes", "")</f>
        <v/>
      </c>
    </row>
    <row r="2166" spans="1:18" hidden="1" x14ac:dyDescent="0.25">
      <c r="A2166" t="s">
        <v>1587</v>
      </c>
      <c r="B2166" t="s">
        <v>3209</v>
      </c>
      <c r="C2166" t="s">
        <v>3226</v>
      </c>
      <c r="D2166" t="s">
        <v>4326</v>
      </c>
      <c r="E2166" s="1">
        <v>12.329000000000001</v>
      </c>
      <c r="F2166" s="1">
        <v>0</v>
      </c>
      <c r="G2166">
        <v>1</v>
      </c>
      <c r="H2166">
        <v>2</v>
      </c>
      <c r="I2166" t="s">
        <v>3130</v>
      </c>
      <c r="J2166" t="s">
        <v>1691</v>
      </c>
      <c r="K2166" s="39">
        <v>4.629105</v>
      </c>
      <c r="L2166" s="1">
        <v>2.2995839999999999</v>
      </c>
      <c r="M2166" s="1" t="s">
        <v>4327</v>
      </c>
      <c r="N2166" s="1">
        <v>987.67100000000005</v>
      </c>
      <c r="O2166" s="1">
        <f>ABS(Table4[[#This Row],[EndMP]]-Table4[[#This Row],[StartMP]])</f>
        <v>12.329000000000001</v>
      </c>
      <c r="P2166" s="1" t="str">
        <f>IF( AND( Table4[[#This Row],[Route]]=ClosureLocation!$B$3, ClosureLocation!$B$6 &gt;= Table4[[#This Row],[StartMP]], ClosureLocation!$B$6 &lt;= Table4[[#This Row],[EndMP]]), "Yes", "")</f>
        <v/>
      </c>
      <c r="Q2166" s="1" t="str">
        <f>IF( AND( Table4[[#This Row],[Route]]=ClosureLocation!$B$3, ClosureLocation!$B$6 &lt;= Table4[[#This Row],[StartMP]], ClosureLocation!$B$6 &gt;= Table4[[#This Row],[EndMP]]), "Yes", "")</f>
        <v/>
      </c>
      <c r="R2166" s="1" t="str">
        <f>IF( OR( Table4[[#This Row],[PrimaryMatch]]="Yes", Table4[[#This Row],[SecondaryMatch]]="Yes"), "Yes", "")</f>
        <v/>
      </c>
    </row>
    <row r="2167" spans="1:18" hidden="1" x14ac:dyDescent="0.25">
      <c r="A2167" t="s">
        <v>1587</v>
      </c>
      <c r="B2167" t="s">
        <v>3205</v>
      </c>
      <c r="C2167" t="s">
        <v>3222</v>
      </c>
      <c r="D2167" t="s">
        <v>4324</v>
      </c>
      <c r="E2167" s="1">
        <v>0</v>
      </c>
      <c r="F2167" s="1">
        <v>12.329000000000001</v>
      </c>
      <c r="G2167">
        <v>1</v>
      </c>
      <c r="H2167">
        <v>1</v>
      </c>
      <c r="I2167" t="s">
        <v>3129</v>
      </c>
      <c r="J2167" t="s">
        <v>1691</v>
      </c>
      <c r="K2167" s="39">
        <v>4.6281350000000003</v>
      </c>
      <c r="L2167" s="1">
        <v>2.2995839999999999</v>
      </c>
      <c r="M2167" s="1" t="s">
        <v>4325</v>
      </c>
      <c r="N2167" s="1">
        <v>0</v>
      </c>
      <c r="O2167" s="1">
        <f>ABS(Table4[[#This Row],[EndMP]]-Table4[[#This Row],[StartMP]])</f>
        <v>12.329000000000001</v>
      </c>
      <c r="P2167" s="1" t="str">
        <f>IF( AND( Table4[[#This Row],[Route]]=ClosureLocation!$B$3, ClosureLocation!$B$6 &gt;= Table4[[#This Row],[StartMP]], ClosureLocation!$B$6 &lt;= Table4[[#This Row],[EndMP]]), "Yes", "")</f>
        <v/>
      </c>
      <c r="Q2167" s="1" t="str">
        <f>IF( AND( Table4[[#This Row],[Route]]=ClosureLocation!$B$3, ClosureLocation!$B$6 &lt;= Table4[[#This Row],[StartMP]], ClosureLocation!$B$6 &gt;= Table4[[#This Row],[EndMP]]), "Yes", "")</f>
        <v/>
      </c>
      <c r="R2167" s="1" t="str">
        <f>IF( OR( Table4[[#This Row],[PrimaryMatch]]="Yes", Table4[[#This Row],[SecondaryMatch]]="Yes"), "Yes", "")</f>
        <v/>
      </c>
    </row>
    <row r="2168" spans="1:18" hidden="1" x14ac:dyDescent="0.25">
      <c r="A2168" t="s">
        <v>776</v>
      </c>
      <c r="B2168" t="s">
        <v>3209</v>
      </c>
      <c r="C2168" t="s">
        <v>3226</v>
      </c>
      <c r="D2168" t="s">
        <v>3749</v>
      </c>
      <c r="E2168" s="1">
        <v>315.61099999999999</v>
      </c>
      <c r="F2168" s="1">
        <v>310.327</v>
      </c>
      <c r="G2168">
        <v>13</v>
      </c>
      <c r="H2168">
        <v>66</v>
      </c>
      <c r="I2168" t="s">
        <v>2612</v>
      </c>
      <c r="J2168" t="s">
        <v>1694</v>
      </c>
      <c r="K2168" s="39">
        <v>4.6228069999999999</v>
      </c>
      <c r="L2168" s="1">
        <v>0.88684499999999999</v>
      </c>
      <c r="M2168" s="1" t="s">
        <v>4507</v>
      </c>
      <c r="N2168" s="1">
        <v>684.38900000000001</v>
      </c>
      <c r="O2168" s="1">
        <f>ABS(Table4[[#This Row],[EndMP]]-Table4[[#This Row],[StartMP]])</f>
        <v>5.2839999999999918</v>
      </c>
      <c r="P2168" s="1" t="str">
        <f>IF( AND( Table4[[#This Row],[Route]]=ClosureLocation!$B$3, ClosureLocation!$B$6 &gt;= Table4[[#This Row],[StartMP]], ClosureLocation!$B$6 &lt;= Table4[[#This Row],[EndMP]]), "Yes", "")</f>
        <v/>
      </c>
      <c r="Q2168" s="1" t="str">
        <f>IF( AND( Table4[[#This Row],[Route]]=ClosureLocation!$B$3, ClosureLocation!$B$6 &lt;= Table4[[#This Row],[StartMP]], ClosureLocation!$B$6 &gt;= Table4[[#This Row],[EndMP]]), "Yes", "")</f>
        <v/>
      </c>
      <c r="R2168" s="1" t="str">
        <f>IF( OR( Table4[[#This Row],[PrimaryMatch]]="Yes", Table4[[#This Row],[SecondaryMatch]]="Yes"), "Yes", "")</f>
        <v/>
      </c>
    </row>
    <row r="2169" spans="1:18" hidden="1" x14ac:dyDescent="0.25">
      <c r="A2169" t="s">
        <v>1627</v>
      </c>
      <c r="B2169" t="s">
        <v>3209</v>
      </c>
      <c r="C2169" t="s">
        <v>3210</v>
      </c>
      <c r="D2169" t="s">
        <v>4374</v>
      </c>
      <c r="E2169" s="1">
        <v>6.2679999999999998</v>
      </c>
      <c r="F2169" s="1">
        <v>5.3490000000000002</v>
      </c>
      <c r="G2169">
        <v>2</v>
      </c>
      <c r="H2169">
        <v>3</v>
      </c>
      <c r="I2169" t="s">
        <v>3165</v>
      </c>
      <c r="J2169" t="s">
        <v>1708</v>
      </c>
      <c r="K2169" s="39">
        <v>4.6196970000000004</v>
      </c>
      <c r="L2169" s="1">
        <v>2.7817970000000001</v>
      </c>
      <c r="M2169" s="1" t="s">
        <v>4376</v>
      </c>
      <c r="N2169" s="1">
        <v>993.73199999999997</v>
      </c>
      <c r="O2169" s="1">
        <f>ABS(Table4[[#This Row],[EndMP]]-Table4[[#This Row],[StartMP]])</f>
        <v>0.91899999999999959</v>
      </c>
      <c r="P2169" s="1" t="str">
        <f>IF( AND( Table4[[#This Row],[Route]]=ClosureLocation!$B$3, ClosureLocation!$B$6 &gt;= Table4[[#This Row],[StartMP]], ClosureLocation!$B$6 &lt;= Table4[[#This Row],[EndMP]]), "Yes", "")</f>
        <v/>
      </c>
      <c r="Q2169" s="1" t="str">
        <f>IF( AND( Table4[[#This Row],[Route]]=ClosureLocation!$B$3, ClosureLocation!$B$6 &lt;= Table4[[#This Row],[StartMP]], ClosureLocation!$B$6 &gt;= Table4[[#This Row],[EndMP]]), "Yes", "")</f>
        <v/>
      </c>
      <c r="R2169" s="1" t="str">
        <f>IF( OR( Table4[[#This Row],[PrimaryMatch]]="Yes", Table4[[#This Row],[SecondaryMatch]]="Yes"), "Yes", "")</f>
        <v/>
      </c>
    </row>
    <row r="2170" spans="1:18" hidden="1" x14ac:dyDescent="0.25">
      <c r="A2170" t="s">
        <v>776</v>
      </c>
      <c r="B2170" t="s">
        <v>3209</v>
      </c>
      <c r="C2170" t="s">
        <v>3226</v>
      </c>
      <c r="D2170" t="s">
        <v>3749</v>
      </c>
      <c r="E2170" s="1">
        <v>19.149000000000001</v>
      </c>
      <c r="F2170" s="1">
        <v>15.180999999999999</v>
      </c>
      <c r="G2170">
        <v>52</v>
      </c>
      <c r="H2170">
        <v>105</v>
      </c>
      <c r="I2170" t="s">
        <v>2651</v>
      </c>
      <c r="J2170" t="s">
        <v>1694</v>
      </c>
      <c r="K2170" s="39">
        <v>4.6108510000000003</v>
      </c>
      <c r="L2170" s="1">
        <v>0.63424599999999998</v>
      </c>
      <c r="M2170" s="1" t="s">
        <v>4455</v>
      </c>
      <c r="N2170" s="1">
        <v>980.851</v>
      </c>
      <c r="O2170" s="1">
        <f>ABS(Table4[[#This Row],[EndMP]]-Table4[[#This Row],[StartMP]])</f>
        <v>3.9680000000000017</v>
      </c>
      <c r="P2170" s="1" t="str">
        <f>IF( AND( Table4[[#This Row],[Route]]=ClosureLocation!$B$3, ClosureLocation!$B$6 &gt;= Table4[[#This Row],[StartMP]], ClosureLocation!$B$6 &lt;= Table4[[#This Row],[EndMP]]), "Yes", "")</f>
        <v/>
      </c>
      <c r="Q2170" s="1" t="str">
        <f>IF( AND( Table4[[#This Row],[Route]]=ClosureLocation!$B$3, ClosureLocation!$B$6 &lt;= Table4[[#This Row],[StartMP]], ClosureLocation!$B$6 &gt;= Table4[[#This Row],[EndMP]]), "Yes", "")</f>
        <v/>
      </c>
      <c r="R2170" s="1" t="str">
        <f>IF( OR( Table4[[#This Row],[PrimaryMatch]]="Yes", Table4[[#This Row],[SecondaryMatch]]="Yes"), "Yes", "")</f>
        <v/>
      </c>
    </row>
    <row r="2171" spans="1:18" hidden="1" x14ac:dyDescent="0.25">
      <c r="A2171" t="s">
        <v>836</v>
      </c>
      <c r="B2171" t="s">
        <v>3209</v>
      </c>
      <c r="C2171" t="s">
        <v>3226</v>
      </c>
      <c r="D2171" t="s">
        <v>3756</v>
      </c>
      <c r="E2171" s="1">
        <v>12.175000000000001</v>
      </c>
      <c r="F2171" s="1">
        <v>11.715999999999999</v>
      </c>
      <c r="G2171">
        <v>1</v>
      </c>
      <c r="H2171">
        <v>1</v>
      </c>
      <c r="I2171" t="s">
        <v>2660</v>
      </c>
      <c r="J2171" t="s">
        <v>1707</v>
      </c>
      <c r="K2171" s="39">
        <v>4.6063159999999996</v>
      </c>
      <c r="L2171" s="1">
        <v>11.836365000000001</v>
      </c>
      <c r="M2171" s="1" t="s">
        <v>3757</v>
      </c>
      <c r="N2171" s="1">
        <v>987.82500000000005</v>
      </c>
      <c r="O2171" s="1">
        <f>ABS(Table4[[#This Row],[EndMP]]-Table4[[#This Row],[StartMP]])</f>
        <v>0.45900000000000141</v>
      </c>
      <c r="P2171" s="1" t="str">
        <f>IF( AND( Table4[[#This Row],[Route]]=ClosureLocation!$B$3, ClosureLocation!$B$6 &gt;= Table4[[#This Row],[StartMP]], ClosureLocation!$B$6 &lt;= Table4[[#This Row],[EndMP]]), "Yes", "")</f>
        <v/>
      </c>
      <c r="Q2171" s="1" t="str">
        <f>IF( AND( Table4[[#This Row],[Route]]=ClosureLocation!$B$3, ClosureLocation!$B$6 &lt;= Table4[[#This Row],[StartMP]], ClosureLocation!$B$6 &gt;= Table4[[#This Row],[EndMP]]), "Yes", "")</f>
        <v/>
      </c>
      <c r="R2171" s="1" t="str">
        <f>IF( OR( Table4[[#This Row],[PrimaryMatch]]="Yes", Table4[[#This Row],[SecondaryMatch]]="Yes"), "Yes", "")</f>
        <v/>
      </c>
    </row>
    <row r="2172" spans="1:18" hidden="1" x14ac:dyDescent="0.25">
      <c r="A2172" t="s">
        <v>957</v>
      </c>
      <c r="B2172" t="s">
        <v>3205</v>
      </c>
      <c r="C2172" t="s">
        <v>3222</v>
      </c>
      <c r="D2172" t="s">
        <v>3855</v>
      </c>
      <c r="E2172" s="1">
        <v>11.699</v>
      </c>
      <c r="F2172" s="1">
        <v>85.293000000000006</v>
      </c>
      <c r="G2172">
        <v>2</v>
      </c>
      <c r="H2172">
        <v>1</v>
      </c>
      <c r="I2172" t="s">
        <v>2756</v>
      </c>
      <c r="J2172" t="s">
        <v>1702</v>
      </c>
      <c r="K2172" s="39">
        <v>4.564381</v>
      </c>
      <c r="L2172" s="1">
        <v>41.994700999999999</v>
      </c>
      <c r="M2172" s="1" t="s">
        <v>3857</v>
      </c>
      <c r="N2172" s="1">
        <v>11.699</v>
      </c>
      <c r="O2172" s="1">
        <f>ABS(Table4[[#This Row],[EndMP]]-Table4[[#This Row],[StartMP]])</f>
        <v>73.594000000000008</v>
      </c>
      <c r="P2172" s="1" t="str">
        <f>IF( AND( Table4[[#This Row],[Route]]=ClosureLocation!$B$3, ClosureLocation!$B$6 &gt;= Table4[[#This Row],[StartMP]], ClosureLocation!$B$6 &lt;= Table4[[#This Row],[EndMP]]), "Yes", "")</f>
        <v/>
      </c>
      <c r="Q2172" s="1" t="str">
        <f>IF( AND( Table4[[#This Row],[Route]]=ClosureLocation!$B$3, ClosureLocation!$B$6 &lt;= Table4[[#This Row],[StartMP]], ClosureLocation!$B$6 &gt;= Table4[[#This Row],[EndMP]]), "Yes", "")</f>
        <v/>
      </c>
      <c r="R2172" s="1" t="str">
        <f>IF( OR( Table4[[#This Row],[PrimaryMatch]]="Yes", Table4[[#This Row],[SecondaryMatch]]="Yes"), "Yes", "")</f>
        <v/>
      </c>
    </row>
    <row r="2173" spans="1:18" hidden="1" x14ac:dyDescent="0.25">
      <c r="A2173" t="s">
        <v>136</v>
      </c>
      <c r="B2173" t="s">
        <v>3205</v>
      </c>
      <c r="C2173" t="s">
        <v>3222</v>
      </c>
      <c r="D2173" t="s">
        <v>3277</v>
      </c>
      <c r="E2173" s="1">
        <v>49.506</v>
      </c>
      <c r="F2173" s="1">
        <v>50.639000000000003</v>
      </c>
      <c r="G2173">
        <v>1</v>
      </c>
      <c r="H2173">
        <v>1</v>
      </c>
      <c r="I2173" t="s">
        <v>2105</v>
      </c>
      <c r="J2173" t="s">
        <v>1696</v>
      </c>
      <c r="K2173" s="39">
        <v>4.5299079999999998</v>
      </c>
      <c r="L2173" s="1">
        <v>1.8708469999999999</v>
      </c>
      <c r="M2173" s="1" t="s">
        <v>3278</v>
      </c>
      <c r="N2173" s="1">
        <v>49.506</v>
      </c>
      <c r="O2173" s="1">
        <f>ABS(Table4[[#This Row],[EndMP]]-Table4[[#This Row],[StartMP]])</f>
        <v>1.1330000000000027</v>
      </c>
      <c r="P2173" s="1" t="str">
        <f>IF( AND( Table4[[#This Row],[Route]]=ClosureLocation!$B$3, ClosureLocation!$B$6 &gt;= Table4[[#This Row],[StartMP]], ClosureLocation!$B$6 &lt;= Table4[[#This Row],[EndMP]]), "Yes", "")</f>
        <v/>
      </c>
      <c r="Q2173" s="1" t="str">
        <f>IF( AND( Table4[[#This Row],[Route]]=ClosureLocation!$B$3, ClosureLocation!$B$6 &lt;= Table4[[#This Row],[StartMP]], ClosureLocation!$B$6 &gt;= Table4[[#This Row],[EndMP]]), "Yes", "")</f>
        <v/>
      </c>
      <c r="R2173" s="1" t="str">
        <f>IF( OR( Table4[[#This Row],[PrimaryMatch]]="Yes", Table4[[#This Row],[SecondaryMatch]]="Yes"), "Yes", "")</f>
        <v/>
      </c>
    </row>
    <row r="2174" spans="1:18" hidden="1" x14ac:dyDescent="0.25">
      <c r="A2174" t="s">
        <v>1025</v>
      </c>
      <c r="B2174" t="s">
        <v>3205</v>
      </c>
      <c r="C2174" t="s">
        <v>3222</v>
      </c>
      <c r="D2174" t="s">
        <v>3918</v>
      </c>
      <c r="E2174" s="1">
        <v>1.978</v>
      </c>
      <c r="F2174" s="1">
        <v>5.9569999999999999</v>
      </c>
      <c r="G2174">
        <v>3</v>
      </c>
      <c r="H2174">
        <v>1</v>
      </c>
      <c r="I2174" t="s">
        <v>2809</v>
      </c>
      <c r="J2174" t="s">
        <v>2040</v>
      </c>
      <c r="K2174" s="39">
        <v>4.5269640000000004</v>
      </c>
      <c r="L2174" s="1">
        <v>2.8725420000000002</v>
      </c>
      <c r="M2174" s="1" t="s">
        <v>3921</v>
      </c>
      <c r="N2174" s="1">
        <v>1.978</v>
      </c>
      <c r="O2174" s="1">
        <f>ABS(Table4[[#This Row],[EndMP]]-Table4[[#This Row],[StartMP]])</f>
        <v>3.9790000000000001</v>
      </c>
      <c r="P2174" s="1" t="str">
        <f>IF( AND( Table4[[#This Row],[Route]]=ClosureLocation!$B$3, ClosureLocation!$B$6 &gt;= Table4[[#This Row],[StartMP]], ClosureLocation!$B$6 &lt;= Table4[[#This Row],[EndMP]]), "Yes", "")</f>
        <v/>
      </c>
      <c r="Q2174" s="1" t="str">
        <f>IF( AND( Table4[[#This Row],[Route]]=ClosureLocation!$B$3, ClosureLocation!$B$6 &lt;= Table4[[#This Row],[StartMP]], ClosureLocation!$B$6 &gt;= Table4[[#This Row],[EndMP]]), "Yes", "")</f>
        <v/>
      </c>
      <c r="R2174" s="1" t="str">
        <f>IF( OR( Table4[[#This Row],[PrimaryMatch]]="Yes", Table4[[#This Row],[SecondaryMatch]]="Yes"), "Yes", "")</f>
        <v/>
      </c>
    </row>
    <row r="2175" spans="1:18" hidden="1" x14ac:dyDescent="0.25">
      <c r="A2175" t="s">
        <v>310</v>
      </c>
      <c r="B2175" t="s">
        <v>3209</v>
      </c>
      <c r="C2175" t="s">
        <v>3210</v>
      </c>
      <c r="D2175" t="s">
        <v>3444</v>
      </c>
      <c r="E2175" s="1">
        <v>131.36699999999999</v>
      </c>
      <c r="F2175" s="1">
        <v>127.997</v>
      </c>
      <c r="G2175">
        <v>26</v>
      </c>
      <c r="H2175">
        <v>39</v>
      </c>
      <c r="I2175" t="s">
        <v>2265</v>
      </c>
      <c r="J2175" t="s">
        <v>1694</v>
      </c>
      <c r="K2175" s="39">
        <v>4.509976</v>
      </c>
      <c r="L2175" s="1">
        <v>1.185832</v>
      </c>
      <c r="M2175" s="1" t="s">
        <v>4903</v>
      </c>
      <c r="N2175" s="1">
        <v>868.63300000000004</v>
      </c>
      <c r="O2175" s="1">
        <f>ABS(Table4[[#This Row],[EndMP]]-Table4[[#This Row],[StartMP]])</f>
        <v>3.3699999999999903</v>
      </c>
      <c r="P2175" s="1" t="str">
        <f>IF( AND( Table4[[#This Row],[Route]]=ClosureLocation!$B$3, ClosureLocation!$B$6 &gt;= Table4[[#This Row],[StartMP]], ClosureLocation!$B$6 &lt;= Table4[[#This Row],[EndMP]]), "Yes", "")</f>
        <v/>
      </c>
      <c r="Q2175" s="1" t="str">
        <f>IF( AND( Table4[[#This Row],[Route]]=ClosureLocation!$B$3, ClosureLocation!$B$6 &lt;= Table4[[#This Row],[StartMP]], ClosureLocation!$B$6 &gt;= Table4[[#This Row],[EndMP]]), "Yes", "")</f>
        <v/>
      </c>
      <c r="R2175" s="1" t="str">
        <f>IF( OR( Table4[[#This Row],[PrimaryMatch]]="Yes", Table4[[#This Row],[SecondaryMatch]]="Yes"), "Yes", "")</f>
        <v/>
      </c>
    </row>
    <row r="2176" spans="1:18" hidden="1" x14ac:dyDescent="0.25">
      <c r="A2176" t="s">
        <v>776</v>
      </c>
      <c r="B2176" t="s">
        <v>3205</v>
      </c>
      <c r="C2176" t="s">
        <v>3222</v>
      </c>
      <c r="D2176" t="s">
        <v>3748</v>
      </c>
      <c r="E2176" s="1">
        <v>105.492</v>
      </c>
      <c r="F2176" s="1">
        <v>108.883</v>
      </c>
      <c r="G2176">
        <v>14</v>
      </c>
      <c r="H2176">
        <v>14</v>
      </c>
      <c r="I2176" t="s">
        <v>2559</v>
      </c>
      <c r="J2176" t="s">
        <v>1694</v>
      </c>
      <c r="K2176" s="39">
        <v>4.4718549999999997</v>
      </c>
      <c r="L2176" s="1">
        <v>0.19339400000000001</v>
      </c>
      <c r="M2176" s="1" t="s">
        <v>4464</v>
      </c>
      <c r="N2176" s="1">
        <v>105.492</v>
      </c>
      <c r="O2176" s="1">
        <f>ABS(Table4[[#This Row],[EndMP]]-Table4[[#This Row],[StartMP]])</f>
        <v>3.3909999999999911</v>
      </c>
      <c r="P2176" s="1" t="str">
        <f>IF( AND( Table4[[#This Row],[Route]]=ClosureLocation!$B$3, ClosureLocation!$B$6 &gt;= Table4[[#This Row],[StartMP]], ClosureLocation!$B$6 &lt;= Table4[[#This Row],[EndMP]]), "Yes", "")</f>
        <v/>
      </c>
      <c r="Q2176" s="1" t="str">
        <f>IF( AND( Table4[[#This Row],[Route]]=ClosureLocation!$B$3, ClosureLocation!$B$6 &lt;= Table4[[#This Row],[StartMP]], ClosureLocation!$B$6 &gt;= Table4[[#This Row],[EndMP]]), "Yes", "")</f>
        <v/>
      </c>
      <c r="R2176" s="1" t="str">
        <f>IF( OR( Table4[[#This Row],[PrimaryMatch]]="Yes", Table4[[#This Row],[SecondaryMatch]]="Yes"), "Yes", "")</f>
        <v/>
      </c>
    </row>
    <row r="2177" spans="1:18" hidden="1" x14ac:dyDescent="0.25">
      <c r="A2177" t="s">
        <v>776</v>
      </c>
      <c r="B2177" t="s">
        <v>3205</v>
      </c>
      <c r="C2177" t="s">
        <v>3222</v>
      </c>
      <c r="D2177" t="s">
        <v>3748</v>
      </c>
      <c r="E2177" s="1">
        <v>305.55099999999999</v>
      </c>
      <c r="F2177" s="1">
        <v>309.91199999999998</v>
      </c>
      <c r="G2177">
        <v>41</v>
      </c>
      <c r="H2177">
        <v>41</v>
      </c>
      <c r="I2177" t="s">
        <v>2586</v>
      </c>
      <c r="J2177" t="s">
        <v>1694</v>
      </c>
      <c r="K2177" s="39">
        <v>4.4374089999999997</v>
      </c>
      <c r="L2177" s="1">
        <v>0.88937200000000005</v>
      </c>
      <c r="M2177" s="1" t="s">
        <v>4485</v>
      </c>
      <c r="N2177" s="1">
        <v>305.55099999999999</v>
      </c>
      <c r="O2177" s="1">
        <f>ABS(Table4[[#This Row],[EndMP]]-Table4[[#This Row],[StartMP]])</f>
        <v>4.36099999999999</v>
      </c>
      <c r="P2177" s="1" t="str">
        <f>IF( AND( Table4[[#This Row],[Route]]=ClosureLocation!$B$3, ClosureLocation!$B$6 &gt;= Table4[[#This Row],[StartMP]], ClosureLocation!$B$6 &lt;= Table4[[#This Row],[EndMP]]), "Yes", "")</f>
        <v/>
      </c>
      <c r="Q2177" s="1" t="str">
        <f>IF( AND( Table4[[#This Row],[Route]]=ClosureLocation!$B$3, ClosureLocation!$B$6 &lt;= Table4[[#This Row],[StartMP]], ClosureLocation!$B$6 &gt;= Table4[[#This Row],[EndMP]]), "Yes", "")</f>
        <v/>
      </c>
      <c r="R2177" s="1" t="str">
        <f>IF( OR( Table4[[#This Row],[PrimaryMatch]]="Yes", Table4[[#This Row],[SecondaryMatch]]="Yes"), "Yes", "")</f>
        <v/>
      </c>
    </row>
    <row r="2178" spans="1:18" hidden="1" x14ac:dyDescent="0.25">
      <c r="A2178" t="s">
        <v>776</v>
      </c>
      <c r="B2178" t="s">
        <v>3209</v>
      </c>
      <c r="C2178" t="s">
        <v>3226</v>
      </c>
      <c r="D2178" t="s">
        <v>3749</v>
      </c>
      <c r="E2178" s="1">
        <v>288.18200000000002</v>
      </c>
      <c r="F2178" s="1">
        <v>284.13299999999998</v>
      </c>
      <c r="G2178">
        <v>18</v>
      </c>
      <c r="H2178">
        <v>71</v>
      </c>
      <c r="I2178" t="s">
        <v>2617</v>
      </c>
      <c r="J2178" t="s">
        <v>1694</v>
      </c>
      <c r="K2178" s="39">
        <v>4.4278950000000004</v>
      </c>
      <c r="L2178" s="1">
        <v>1.508532</v>
      </c>
      <c r="M2178" s="1" t="s">
        <v>4512</v>
      </c>
      <c r="N2178" s="1">
        <v>711.81799999999998</v>
      </c>
      <c r="O2178" s="1">
        <f>ABS(Table4[[#This Row],[EndMP]]-Table4[[#This Row],[StartMP]])</f>
        <v>4.049000000000035</v>
      </c>
      <c r="P2178" s="1" t="str">
        <f>IF( AND( Table4[[#This Row],[Route]]=ClosureLocation!$B$3, ClosureLocation!$B$6 &gt;= Table4[[#This Row],[StartMP]], ClosureLocation!$B$6 &lt;= Table4[[#This Row],[EndMP]]), "Yes", "")</f>
        <v/>
      </c>
      <c r="Q2178" s="1" t="str">
        <f>IF( AND( Table4[[#This Row],[Route]]=ClosureLocation!$B$3, ClosureLocation!$B$6 &lt;= Table4[[#This Row],[StartMP]], ClosureLocation!$B$6 &gt;= Table4[[#This Row],[EndMP]]), "Yes", "")</f>
        <v/>
      </c>
      <c r="R2178" s="1" t="str">
        <f>IF( OR( Table4[[#This Row],[PrimaryMatch]]="Yes", Table4[[#This Row],[SecondaryMatch]]="Yes"), "Yes", "")</f>
        <v/>
      </c>
    </row>
    <row r="2179" spans="1:18" hidden="1" x14ac:dyDescent="0.25">
      <c r="A2179" t="s">
        <v>1516</v>
      </c>
      <c r="B2179" t="s">
        <v>3205</v>
      </c>
      <c r="C2179" t="s">
        <v>3206</v>
      </c>
      <c r="D2179" t="s">
        <v>4285</v>
      </c>
      <c r="E2179" s="1">
        <v>300.95</v>
      </c>
      <c r="F2179" s="1">
        <v>304.27300000000002</v>
      </c>
      <c r="G2179">
        <v>5</v>
      </c>
      <c r="H2179">
        <v>3</v>
      </c>
      <c r="I2179" t="s">
        <v>3101</v>
      </c>
      <c r="J2179" t="s">
        <v>1700</v>
      </c>
      <c r="K2179" s="39">
        <v>4.4207700000000001</v>
      </c>
      <c r="L2179" s="1">
        <v>5.0790230000000003</v>
      </c>
      <c r="M2179" s="1" t="s">
        <v>4290</v>
      </c>
      <c r="N2179" s="1">
        <v>300.95</v>
      </c>
      <c r="O2179" s="1">
        <f>ABS(Table4[[#This Row],[EndMP]]-Table4[[#This Row],[StartMP]])</f>
        <v>3.3230000000000359</v>
      </c>
      <c r="P2179" s="1" t="str">
        <f>IF( AND( Table4[[#This Row],[Route]]=ClosureLocation!$B$3, ClosureLocation!$B$6 &gt;= Table4[[#This Row],[StartMP]], ClosureLocation!$B$6 &lt;= Table4[[#This Row],[EndMP]]), "Yes", "")</f>
        <v/>
      </c>
      <c r="Q2179" s="1" t="str">
        <f>IF( AND( Table4[[#This Row],[Route]]=ClosureLocation!$B$3, ClosureLocation!$B$6 &lt;= Table4[[#This Row],[StartMP]], ClosureLocation!$B$6 &gt;= Table4[[#This Row],[EndMP]]), "Yes", "")</f>
        <v/>
      </c>
      <c r="R2179" s="1" t="str">
        <f>IF( OR( Table4[[#This Row],[PrimaryMatch]]="Yes", Table4[[#This Row],[SecondaryMatch]]="Yes"), "Yes", "")</f>
        <v/>
      </c>
    </row>
    <row r="2180" spans="1:18" hidden="1" x14ac:dyDescent="0.25">
      <c r="A2180" t="s">
        <v>454</v>
      </c>
      <c r="B2180" t="s">
        <v>3205</v>
      </c>
      <c r="C2180" t="s">
        <v>3222</v>
      </c>
      <c r="D2180" t="s">
        <v>3525</v>
      </c>
      <c r="E2180" s="1">
        <v>55.07</v>
      </c>
      <c r="F2180" s="1">
        <v>56.814</v>
      </c>
      <c r="G2180">
        <v>5</v>
      </c>
      <c r="H2180">
        <v>1</v>
      </c>
      <c r="I2180" t="s">
        <v>3530</v>
      </c>
      <c r="J2180" t="s">
        <v>1704</v>
      </c>
      <c r="K2180" s="39">
        <v>4.4156979999999999</v>
      </c>
      <c r="L2180" s="1">
        <v>2.7099489999999999</v>
      </c>
      <c r="M2180" s="1" t="s">
        <v>3531</v>
      </c>
      <c r="N2180" s="1">
        <v>55.07</v>
      </c>
      <c r="O2180" s="1">
        <f>ABS(Table4[[#This Row],[EndMP]]-Table4[[#This Row],[StartMP]])</f>
        <v>1.7439999999999998</v>
      </c>
      <c r="P2180" s="1" t="str">
        <f>IF( AND( Table4[[#This Row],[Route]]=ClosureLocation!$B$3, ClosureLocation!$B$6 &gt;= Table4[[#This Row],[StartMP]], ClosureLocation!$B$6 &lt;= Table4[[#This Row],[EndMP]]), "Yes", "")</f>
        <v/>
      </c>
      <c r="Q2180" s="1" t="str">
        <f>IF( AND( Table4[[#This Row],[Route]]=ClosureLocation!$B$3, ClosureLocation!$B$6 &lt;= Table4[[#This Row],[StartMP]], ClosureLocation!$B$6 &gt;= Table4[[#This Row],[EndMP]]), "Yes", "")</f>
        <v/>
      </c>
      <c r="R2180" s="1" t="str">
        <f>IF( OR( Table4[[#This Row],[PrimaryMatch]]="Yes", Table4[[#This Row],[SecondaryMatch]]="Yes"), "Yes", "")</f>
        <v/>
      </c>
    </row>
    <row r="2181" spans="1:18" hidden="1" x14ac:dyDescent="0.25">
      <c r="A2181" t="s">
        <v>836</v>
      </c>
      <c r="B2181" t="s">
        <v>3205</v>
      </c>
      <c r="C2181" t="s">
        <v>3222</v>
      </c>
      <c r="D2181" t="s">
        <v>3750</v>
      </c>
      <c r="E2181" s="1">
        <v>5.6609999999999996</v>
      </c>
      <c r="F2181" s="1">
        <v>9.3079999999999998</v>
      </c>
      <c r="G2181">
        <v>3</v>
      </c>
      <c r="H2181">
        <v>3</v>
      </c>
      <c r="I2181" t="s">
        <v>2657</v>
      </c>
      <c r="J2181" t="s">
        <v>1707</v>
      </c>
      <c r="K2181" s="39">
        <v>4.3855950000000004</v>
      </c>
      <c r="L2181" s="1">
        <v>1.7513799999999999</v>
      </c>
      <c r="M2181" s="1" t="s">
        <v>3753</v>
      </c>
      <c r="N2181" s="1">
        <v>5.6609999999999996</v>
      </c>
      <c r="O2181" s="1">
        <f>ABS(Table4[[#This Row],[EndMP]]-Table4[[#This Row],[StartMP]])</f>
        <v>3.6470000000000002</v>
      </c>
      <c r="P2181" s="1" t="str">
        <f>IF( AND( Table4[[#This Row],[Route]]=ClosureLocation!$B$3, ClosureLocation!$B$6 &gt;= Table4[[#This Row],[StartMP]], ClosureLocation!$B$6 &lt;= Table4[[#This Row],[EndMP]]), "Yes", "")</f>
        <v/>
      </c>
      <c r="Q2181" s="1" t="str">
        <f>IF( AND( Table4[[#This Row],[Route]]=ClosureLocation!$B$3, ClosureLocation!$B$6 &lt;= Table4[[#This Row],[StartMP]], ClosureLocation!$B$6 &gt;= Table4[[#This Row],[EndMP]]), "Yes", "")</f>
        <v/>
      </c>
      <c r="R2181" s="1" t="str">
        <f>IF( OR( Table4[[#This Row],[PrimaryMatch]]="Yes", Table4[[#This Row],[SecondaryMatch]]="Yes"), "Yes", "")</f>
        <v/>
      </c>
    </row>
    <row r="2182" spans="1:18" hidden="1" x14ac:dyDescent="0.25">
      <c r="A2182" t="s">
        <v>1687</v>
      </c>
      <c r="B2182" t="s">
        <v>3205</v>
      </c>
      <c r="C2182" t="s">
        <v>3222</v>
      </c>
      <c r="D2182" t="s">
        <v>3513</v>
      </c>
      <c r="E2182" s="1">
        <v>0</v>
      </c>
      <c r="F2182" s="1">
        <v>0.74299999999999999</v>
      </c>
      <c r="G2182">
        <v>1</v>
      </c>
      <c r="H2182">
        <v>1</v>
      </c>
      <c r="I2182" t="s">
        <v>2323</v>
      </c>
      <c r="J2182" t="s">
        <v>1690</v>
      </c>
      <c r="K2182" s="39">
        <v>4.3685200000000002</v>
      </c>
      <c r="L2182" s="1">
        <v>3.3687909999999999</v>
      </c>
      <c r="M2182" s="1" t="s">
        <v>3514</v>
      </c>
      <c r="N2182" s="1">
        <v>0</v>
      </c>
      <c r="O2182" s="1">
        <f>ABS(Table4[[#This Row],[EndMP]]-Table4[[#This Row],[StartMP]])</f>
        <v>0.74299999999999999</v>
      </c>
      <c r="P2182" s="1" t="str">
        <f>IF( AND( Table4[[#This Row],[Route]]=ClosureLocation!$B$3, ClosureLocation!$B$6 &gt;= Table4[[#This Row],[StartMP]], ClosureLocation!$B$6 &lt;= Table4[[#This Row],[EndMP]]), "Yes", "")</f>
        <v/>
      </c>
      <c r="Q2182" s="1" t="str">
        <f>IF( AND( Table4[[#This Row],[Route]]=ClosureLocation!$B$3, ClosureLocation!$B$6 &lt;= Table4[[#This Row],[StartMP]], ClosureLocation!$B$6 &gt;= Table4[[#This Row],[EndMP]]), "Yes", "")</f>
        <v/>
      </c>
      <c r="R2182" s="1" t="str">
        <f>IF( OR( Table4[[#This Row],[PrimaryMatch]]="Yes", Table4[[#This Row],[SecondaryMatch]]="Yes"), "Yes", "")</f>
        <v/>
      </c>
    </row>
    <row r="2183" spans="1:18" hidden="1" x14ac:dyDescent="0.25">
      <c r="A2183" t="s">
        <v>776</v>
      </c>
      <c r="B2183" t="s">
        <v>3205</v>
      </c>
      <c r="C2183" t="s">
        <v>3222</v>
      </c>
      <c r="D2183" t="s">
        <v>3748</v>
      </c>
      <c r="E2183" s="1">
        <v>87.013000000000005</v>
      </c>
      <c r="F2183" s="1">
        <v>90.262</v>
      </c>
      <c r="G2183">
        <v>11</v>
      </c>
      <c r="H2183">
        <v>11</v>
      </c>
      <c r="I2183" t="s">
        <v>2556</v>
      </c>
      <c r="J2183" t="s">
        <v>1694</v>
      </c>
      <c r="K2183" s="39">
        <v>4.3638349999999999</v>
      </c>
      <c r="L2183" s="1">
        <v>0.47231000000000001</v>
      </c>
      <c r="M2183" s="1" t="s">
        <v>4461</v>
      </c>
      <c r="N2183" s="1">
        <v>87.013000000000005</v>
      </c>
      <c r="O2183" s="1">
        <f>ABS(Table4[[#This Row],[EndMP]]-Table4[[#This Row],[StartMP]])</f>
        <v>3.2489999999999952</v>
      </c>
      <c r="P2183" s="1" t="str">
        <f>IF( AND( Table4[[#This Row],[Route]]=ClosureLocation!$B$3, ClosureLocation!$B$6 &gt;= Table4[[#This Row],[StartMP]], ClosureLocation!$B$6 &lt;= Table4[[#This Row],[EndMP]]), "Yes", "")</f>
        <v/>
      </c>
      <c r="Q2183" s="1" t="str">
        <f>IF( AND( Table4[[#This Row],[Route]]=ClosureLocation!$B$3, ClosureLocation!$B$6 &lt;= Table4[[#This Row],[StartMP]], ClosureLocation!$B$6 &gt;= Table4[[#This Row],[EndMP]]), "Yes", "")</f>
        <v/>
      </c>
      <c r="R2183" s="1" t="str">
        <f>IF( OR( Table4[[#This Row],[PrimaryMatch]]="Yes", Table4[[#This Row],[SecondaryMatch]]="Yes"), "Yes", "")</f>
        <v/>
      </c>
    </row>
    <row r="2184" spans="1:18" hidden="1" x14ac:dyDescent="0.25">
      <c r="A2184" t="s">
        <v>897</v>
      </c>
      <c r="B2184" t="s">
        <v>3205</v>
      </c>
      <c r="C2184" t="s">
        <v>3206</v>
      </c>
      <c r="D2184" t="s">
        <v>3817</v>
      </c>
      <c r="E2184" s="1">
        <v>175.48599999999999</v>
      </c>
      <c r="F2184" s="1">
        <v>176.37200000000001</v>
      </c>
      <c r="G2184">
        <v>1</v>
      </c>
      <c r="H2184">
        <v>1</v>
      </c>
      <c r="I2184" t="s">
        <v>2692</v>
      </c>
      <c r="J2184" t="s">
        <v>1699</v>
      </c>
      <c r="K2184" s="39">
        <v>4.3628099999999996</v>
      </c>
      <c r="L2184" s="1">
        <v>3.7357339999999999</v>
      </c>
      <c r="M2184" s="1" t="s">
        <v>3818</v>
      </c>
      <c r="N2184" s="1">
        <v>175.48599999999999</v>
      </c>
      <c r="O2184" s="1">
        <f>ABS(Table4[[#This Row],[EndMP]]-Table4[[#This Row],[StartMP]])</f>
        <v>0.8860000000000241</v>
      </c>
      <c r="P2184" s="1" t="str">
        <f>IF( AND( Table4[[#This Row],[Route]]=ClosureLocation!$B$3, ClosureLocation!$B$6 &gt;= Table4[[#This Row],[StartMP]], ClosureLocation!$B$6 &lt;= Table4[[#This Row],[EndMP]]), "Yes", "")</f>
        <v/>
      </c>
      <c r="Q2184" s="1" t="str">
        <f>IF( AND( Table4[[#This Row],[Route]]=ClosureLocation!$B$3, ClosureLocation!$B$6 &lt;= Table4[[#This Row],[StartMP]], ClosureLocation!$B$6 &gt;= Table4[[#This Row],[EndMP]]), "Yes", "")</f>
        <v/>
      </c>
      <c r="R2184" s="1" t="str">
        <f>IF( OR( Table4[[#This Row],[PrimaryMatch]]="Yes", Table4[[#This Row],[SecondaryMatch]]="Yes"), "Yes", "")</f>
        <v/>
      </c>
    </row>
    <row r="2185" spans="1:18" hidden="1" x14ac:dyDescent="0.25">
      <c r="A2185" t="s">
        <v>1236</v>
      </c>
      <c r="B2185" t="s">
        <v>3205</v>
      </c>
      <c r="C2185" t="s">
        <v>3222</v>
      </c>
      <c r="D2185" t="s">
        <v>4085</v>
      </c>
      <c r="E2185" s="1">
        <v>56.956000000000003</v>
      </c>
      <c r="F2185" s="1">
        <v>58.286999999999999</v>
      </c>
      <c r="H2185">
        <v>2</v>
      </c>
      <c r="I2185" t="s">
        <v>2934</v>
      </c>
      <c r="J2185" t="s">
        <v>1708</v>
      </c>
      <c r="K2185" s="39">
        <v>4.3550649999999997</v>
      </c>
      <c r="L2185" s="1">
        <v>5.138833</v>
      </c>
      <c r="M2185" s="58" t="s">
        <v>5000</v>
      </c>
      <c r="N2185" s="1">
        <v>56.956000000000003</v>
      </c>
      <c r="O2185" s="1">
        <f>ABS(Table4[[#This Row],[EndMP]]-Table4[[#This Row],[StartMP]])</f>
        <v>1.330999999999996</v>
      </c>
      <c r="P2185" s="1" t="str">
        <f>IF( AND( Table4[[#This Row],[Route]]=ClosureLocation!$B$3, ClosureLocation!$B$6 &gt;= Table4[[#This Row],[StartMP]], ClosureLocation!$B$6 &lt;= Table4[[#This Row],[EndMP]]), "Yes", "")</f>
        <v/>
      </c>
      <c r="Q2185" s="1" t="str">
        <f>IF( AND( Table4[[#This Row],[Route]]=ClosureLocation!$B$3, ClosureLocation!$B$6 &lt;= Table4[[#This Row],[StartMP]], ClosureLocation!$B$6 &gt;= Table4[[#This Row],[EndMP]]), "Yes", "")</f>
        <v/>
      </c>
      <c r="R2185" s="1" t="str">
        <f>IF( OR( Table4[[#This Row],[PrimaryMatch]]="Yes", Table4[[#This Row],[SecondaryMatch]]="Yes"), "Yes", "")</f>
        <v/>
      </c>
    </row>
    <row r="2186" spans="1:18" hidden="1" x14ac:dyDescent="0.25">
      <c r="A2186" t="s">
        <v>1236</v>
      </c>
      <c r="B2186" t="s">
        <v>3209</v>
      </c>
      <c r="C2186" t="s">
        <v>3226</v>
      </c>
      <c r="D2186" t="s">
        <v>4089</v>
      </c>
      <c r="E2186" s="1">
        <v>59.823</v>
      </c>
      <c r="F2186" s="1">
        <v>56.956000000000003</v>
      </c>
      <c r="H2186">
        <v>4</v>
      </c>
      <c r="I2186" t="s">
        <v>2936</v>
      </c>
      <c r="J2186" t="s">
        <v>1708</v>
      </c>
      <c r="K2186" s="39">
        <v>4.3550639999999996</v>
      </c>
      <c r="L2186" s="1">
        <v>5.138833</v>
      </c>
      <c r="M2186" s="58" t="s">
        <v>5002</v>
      </c>
      <c r="N2186" s="1">
        <v>940.17700000000002</v>
      </c>
      <c r="O2186" s="1">
        <f>ABS(Table4[[#This Row],[EndMP]]-Table4[[#This Row],[StartMP]])</f>
        <v>2.8669999999999973</v>
      </c>
      <c r="P2186" s="1" t="str">
        <f>IF( AND( Table4[[#This Row],[Route]]=ClosureLocation!$B$3, ClosureLocation!$B$6 &gt;= Table4[[#This Row],[StartMP]], ClosureLocation!$B$6 &lt;= Table4[[#This Row],[EndMP]]), "Yes", "")</f>
        <v/>
      </c>
      <c r="Q2186" s="1" t="str">
        <f>IF( AND( Table4[[#This Row],[Route]]=ClosureLocation!$B$3, ClosureLocation!$B$6 &lt;= Table4[[#This Row],[StartMP]], ClosureLocation!$B$6 &gt;= Table4[[#This Row],[EndMP]]), "Yes", "")</f>
        <v/>
      </c>
      <c r="R2186" s="1" t="str">
        <f>IF( OR( Table4[[#This Row],[PrimaryMatch]]="Yes", Table4[[#This Row],[SecondaryMatch]]="Yes"), "Yes", "")</f>
        <v/>
      </c>
    </row>
    <row r="2187" spans="1:18" hidden="1" x14ac:dyDescent="0.25">
      <c r="A2187" t="s">
        <v>1634</v>
      </c>
      <c r="B2187" t="s">
        <v>3205</v>
      </c>
      <c r="C2187" t="s">
        <v>3222</v>
      </c>
      <c r="D2187" t="s">
        <v>4383</v>
      </c>
      <c r="E2187" s="1">
        <v>105.43899999999999</v>
      </c>
      <c r="F2187" s="1">
        <v>115.4</v>
      </c>
      <c r="G2187">
        <v>1</v>
      </c>
      <c r="H2187">
        <v>1</v>
      </c>
      <c r="I2187" t="s">
        <v>3171</v>
      </c>
      <c r="J2187" t="s">
        <v>1691</v>
      </c>
      <c r="K2187" s="39">
        <v>4.3476889999999999</v>
      </c>
      <c r="L2187" s="1">
        <v>3.8835389999999999</v>
      </c>
      <c r="M2187" s="1" t="s">
        <v>4384</v>
      </c>
      <c r="N2187" s="1">
        <v>105.43899999999999</v>
      </c>
      <c r="O2187" s="1">
        <f>ABS(Table4[[#This Row],[EndMP]]-Table4[[#This Row],[StartMP]])</f>
        <v>9.9610000000000127</v>
      </c>
      <c r="P2187" s="1" t="str">
        <f>IF( AND( Table4[[#This Row],[Route]]=ClosureLocation!$B$3, ClosureLocation!$B$6 &gt;= Table4[[#This Row],[StartMP]], ClosureLocation!$B$6 &lt;= Table4[[#This Row],[EndMP]]), "Yes", "")</f>
        <v/>
      </c>
      <c r="Q2187" s="1" t="str">
        <f>IF( AND( Table4[[#This Row],[Route]]=ClosureLocation!$B$3, ClosureLocation!$B$6 &lt;= Table4[[#This Row],[StartMP]], ClosureLocation!$B$6 &gt;= Table4[[#This Row],[EndMP]]), "Yes", "")</f>
        <v/>
      </c>
      <c r="R2187" s="1" t="str">
        <f>IF( OR( Table4[[#This Row],[PrimaryMatch]]="Yes", Table4[[#This Row],[SecondaryMatch]]="Yes"), "Yes", "")</f>
        <v/>
      </c>
    </row>
    <row r="2188" spans="1:18" hidden="1" x14ac:dyDescent="0.25">
      <c r="A2188" t="s">
        <v>776</v>
      </c>
      <c r="B2188" t="s">
        <v>3205</v>
      </c>
      <c r="C2188" t="s">
        <v>3222</v>
      </c>
      <c r="D2188" t="s">
        <v>3748</v>
      </c>
      <c r="E2188" s="1">
        <v>247.79300000000001</v>
      </c>
      <c r="F2188" s="1">
        <v>250.63399999999999</v>
      </c>
      <c r="G2188">
        <v>26</v>
      </c>
      <c r="H2188">
        <v>26</v>
      </c>
      <c r="I2188" t="s">
        <v>2571</v>
      </c>
      <c r="J2188" t="s">
        <v>1694</v>
      </c>
      <c r="K2188" s="39">
        <v>4.3369200000000001</v>
      </c>
      <c r="L2188" s="1">
        <v>1.2642119999999999</v>
      </c>
      <c r="M2188" s="1" t="s">
        <v>4473</v>
      </c>
      <c r="N2188" s="1">
        <v>247.79300000000001</v>
      </c>
      <c r="O2188" s="1">
        <f>ABS(Table4[[#This Row],[EndMP]]-Table4[[#This Row],[StartMP]])</f>
        <v>2.8409999999999798</v>
      </c>
      <c r="P2188" s="1" t="str">
        <f>IF( AND( Table4[[#This Row],[Route]]=ClosureLocation!$B$3, ClosureLocation!$B$6 &gt;= Table4[[#This Row],[StartMP]], ClosureLocation!$B$6 &lt;= Table4[[#This Row],[EndMP]]), "Yes", "")</f>
        <v/>
      </c>
      <c r="Q2188" s="1" t="str">
        <f>IF( AND( Table4[[#This Row],[Route]]=ClosureLocation!$B$3, ClosureLocation!$B$6 &lt;= Table4[[#This Row],[StartMP]], ClosureLocation!$B$6 &gt;= Table4[[#This Row],[EndMP]]), "Yes", "")</f>
        <v/>
      </c>
      <c r="R2188" s="1" t="str">
        <f>IF( OR( Table4[[#This Row],[PrimaryMatch]]="Yes", Table4[[#This Row],[SecondaryMatch]]="Yes"), "Yes", "")</f>
        <v/>
      </c>
    </row>
    <row r="2189" spans="1:18" hidden="1" x14ac:dyDescent="0.25">
      <c r="A2189" t="s">
        <v>1634</v>
      </c>
      <c r="B2189" t="s">
        <v>3209</v>
      </c>
      <c r="C2189" t="s">
        <v>3226</v>
      </c>
      <c r="D2189" t="s">
        <v>4386</v>
      </c>
      <c r="E2189" s="1">
        <v>115.4</v>
      </c>
      <c r="F2189" s="1">
        <v>105.43899999999999</v>
      </c>
      <c r="G2189">
        <v>2</v>
      </c>
      <c r="H2189">
        <v>4</v>
      </c>
      <c r="I2189" t="s">
        <v>3174</v>
      </c>
      <c r="J2189" t="s">
        <v>1691</v>
      </c>
      <c r="K2189" s="39">
        <v>4.3173750000000002</v>
      </c>
      <c r="L2189" s="1">
        <v>3.8835389999999999</v>
      </c>
      <c r="M2189" s="1" t="s">
        <v>4388</v>
      </c>
      <c r="N2189" s="1">
        <v>884.6</v>
      </c>
      <c r="O2189" s="1">
        <f>ABS(Table4[[#This Row],[EndMP]]-Table4[[#This Row],[StartMP]])</f>
        <v>9.9610000000000127</v>
      </c>
      <c r="P2189" s="1" t="str">
        <f>IF( AND( Table4[[#This Row],[Route]]=ClosureLocation!$B$3, ClosureLocation!$B$6 &gt;= Table4[[#This Row],[StartMP]], ClosureLocation!$B$6 &lt;= Table4[[#This Row],[EndMP]]), "Yes", "")</f>
        <v/>
      </c>
      <c r="Q2189" s="1" t="str">
        <f>IF( AND( Table4[[#This Row],[Route]]=ClosureLocation!$B$3, ClosureLocation!$B$6 &lt;= Table4[[#This Row],[StartMP]], ClosureLocation!$B$6 &gt;= Table4[[#This Row],[EndMP]]), "Yes", "")</f>
        <v/>
      </c>
      <c r="R2189" s="1" t="str">
        <f>IF( OR( Table4[[#This Row],[PrimaryMatch]]="Yes", Table4[[#This Row],[SecondaryMatch]]="Yes"), "Yes", "")</f>
        <v/>
      </c>
    </row>
    <row r="2190" spans="1:18" hidden="1" x14ac:dyDescent="0.25">
      <c r="A2190" t="s">
        <v>776</v>
      </c>
      <c r="B2190" t="s">
        <v>3205</v>
      </c>
      <c r="C2190" t="s">
        <v>3222</v>
      </c>
      <c r="D2190" t="s">
        <v>3748</v>
      </c>
      <c r="E2190" s="1">
        <v>19.776</v>
      </c>
      <c r="F2190" s="1">
        <v>25.358000000000001</v>
      </c>
      <c r="G2190">
        <v>4</v>
      </c>
      <c r="H2190">
        <v>4</v>
      </c>
      <c r="I2190" t="s">
        <v>2549</v>
      </c>
      <c r="J2190" t="s">
        <v>1694</v>
      </c>
      <c r="K2190" s="39">
        <v>4.2957859999999997</v>
      </c>
      <c r="L2190" s="1">
        <v>0.44598399999999999</v>
      </c>
      <c r="M2190" s="1" t="s">
        <v>4455</v>
      </c>
      <c r="N2190" s="1">
        <v>19.776</v>
      </c>
      <c r="O2190" s="1">
        <f>ABS(Table4[[#This Row],[EndMP]]-Table4[[#This Row],[StartMP]])</f>
        <v>5.5820000000000007</v>
      </c>
      <c r="P2190" s="1" t="str">
        <f>IF( AND( Table4[[#This Row],[Route]]=ClosureLocation!$B$3, ClosureLocation!$B$6 &gt;= Table4[[#This Row],[StartMP]], ClosureLocation!$B$6 &lt;= Table4[[#This Row],[EndMP]]), "Yes", "")</f>
        <v/>
      </c>
      <c r="Q2190" s="1" t="str">
        <f>IF( AND( Table4[[#This Row],[Route]]=ClosureLocation!$B$3, ClosureLocation!$B$6 &lt;= Table4[[#This Row],[StartMP]], ClosureLocation!$B$6 &gt;= Table4[[#This Row],[EndMP]]), "Yes", "")</f>
        <v/>
      </c>
      <c r="R2190" s="1" t="str">
        <f>IF( OR( Table4[[#This Row],[PrimaryMatch]]="Yes", Table4[[#This Row],[SecondaryMatch]]="Yes"), "Yes", "")</f>
        <v/>
      </c>
    </row>
    <row r="2191" spans="1:18" hidden="1" x14ac:dyDescent="0.25">
      <c r="A2191" t="s">
        <v>1236</v>
      </c>
      <c r="B2191" t="s">
        <v>3209</v>
      </c>
      <c r="C2191" t="s">
        <v>3226</v>
      </c>
      <c r="D2191" t="s">
        <v>4089</v>
      </c>
      <c r="E2191" s="1">
        <v>54.81</v>
      </c>
      <c r="F2191" s="1">
        <v>43.412999999999997</v>
      </c>
      <c r="H2191">
        <v>2</v>
      </c>
      <c r="I2191" t="s">
        <v>2938</v>
      </c>
      <c r="J2191" t="s">
        <v>1708</v>
      </c>
      <c r="K2191" s="39">
        <v>4.290216</v>
      </c>
      <c r="L2191" s="1">
        <v>11.769443000000001</v>
      </c>
      <c r="M2191" s="1" t="s">
        <v>4090</v>
      </c>
      <c r="N2191" s="1">
        <v>945.19</v>
      </c>
      <c r="O2191" s="1">
        <f>ABS(Table4[[#This Row],[EndMP]]-Table4[[#This Row],[StartMP]])</f>
        <v>11.397000000000006</v>
      </c>
      <c r="P2191" s="1" t="str">
        <f>IF( AND( Table4[[#This Row],[Route]]=ClosureLocation!$B$3, ClosureLocation!$B$6 &gt;= Table4[[#This Row],[StartMP]], ClosureLocation!$B$6 &lt;= Table4[[#This Row],[EndMP]]), "Yes", "")</f>
        <v/>
      </c>
      <c r="Q2191" s="1" t="str">
        <f>IF( AND( Table4[[#This Row],[Route]]=ClosureLocation!$B$3, ClosureLocation!$B$6 &lt;= Table4[[#This Row],[StartMP]], ClosureLocation!$B$6 &gt;= Table4[[#This Row],[EndMP]]), "Yes", "")</f>
        <v/>
      </c>
      <c r="R2191" s="1" t="str">
        <f>IF( OR( Table4[[#This Row],[PrimaryMatch]]="Yes", Table4[[#This Row],[SecondaryMatch]]="Yes"), "Yes", "")</f>
        <v/>
      </c>
    </row>
    <row r="2192" spans="1:18" hidden="1" x14ac:dyDescent="0.25">
      <c r="A2192" t="s">
        <v>546</v>
      </c>
      <c r="B2192" t="s">
        <v>3205</v>
      </c>
      <c r="C2192" t="s">
        <v>3222</v>
      </c>
      <c r="D2192" t="s">
        <v>3577</v>
      </c>
      <c r="E2192" s="1">
        <v>287.03800000000001</v>
      </c>
      <c r="F2192" s="1">
        <v>287.75900000000001</v>
      </c>
      <c r="H2192">
        <v>1</v>
      </c>
      <c r="I2192" t="s">
        <v>2377</v>
      </c>
      <c r="J2192" t="s">
        <v>1702</v>
      </c>
      <c r="K2192" s="39">
        <v>4.2892789999999996</v>
      </c>
      <c r="L2192" s="1">
        <v>4.3341900000000004</v>
      </c>
      <c r="M2192" s="1" t="s">
        <v>3578</v>
      </c>
      <c r="N2192" s="1">
        <v>287.03800000000001</v>
      </c>
      <c r="O2192" s="1">
        <f>ABS(Table4[[#This Row],[EndMP]]-Table4[[#This Row],[StartMP]])</f>
        <v>0.72100000000000364</v>
      </c>
      <c r="P2192" s="1" t="str">
        <f>IF( AND( Table4[[#This Row],[Route]]=ClosureLocation!$B$3, ClosureLocation!$B$6 &gt;= Table4[[#This Row],[StartMP]], ClosureLocation!$B$6 &lt;= Table4[[#This Row],[EndMP]]), "Yes", "")</f>
        <v/>
      </c>
      <c r="Q2192" s="1" t="str">
        <f>IF( AND( Table4[[#This Row],[Route]]=ClosureLocation!$B$3, ClosureLocation!$B$6 &lt;= Table4[[#This Row],[StartMP]], ClosureLocation!$B$6 &gt;= Table4[[#This Row],[EndMP]]), "Yes", "")</f>
        <v/>
      </c>
      <c r="R2192" s="1" t="str">
        <f>IF( OR( Table4[[#This Row],[PrimaryMatch]]="Yes", Table4[[#This Row],[SecondaryMatch]]="Yes"), "Yes", "")</f>
        <v/>
      </c>
    </row>
    <row r="2193" spans="1:18" hidden="1" x14ac:dyDescent="0.25">
      <c r="A2193" t="s">
        <v>776</v>
      </c>
      <c r="B2193" t="s">
        <v>3209</v>
      </c>
      <c r="C2193" t="s">
        <v>3226</v>
      </c>
      <c r="D2193" t="s">
        <v>3749</v>
      </c>
      <c r="E2193" s="1">
        <v>309.91199999999998</v>
      </c>
      <c r="F2193" s="1">
        <v>305.55099999999999</v>
      </c>
      <c r="G2193">
        <v>14</v>
      </c>
      <c r="H2193">
        <v>67</v>
      </c>
      <c r="I2193" t="s">
        <v>2613</v>
      </c>
      <c r="J2193" t="s">
        <v>1694</v>
      </c>
      <c r="K2193" s="39">
        <v>4.2878239999999996</v>
      </c>
      <c r="L2193" s="1">
        <v>0.77233799999999997</v>
      </c>
      <c r="M2193" s="1" t="s">
        <v>4508</v>
      </c>
      <c r="N2193" s="1">
        <v>690.08799999999997</v>
      </c>
      <c r="O2193" s="1">
        <f>ABS(Table4[[#This Row],[EndMP]]-Table4[[#This Row],[StartMP]])</f>
        <v>4.36099999999999</v>
      </c>
      <c r="P2193" s="1" t="str">
        <f>IF( AND( Table4[[#This Row],[Route]]=ClosureLocation!$B$3, ClosureLocation!$B$6 &gt;= Table4[[#This Row],[StartMP]], ClosureLocation!$B$6 &lt;= Table4[[#This Row],[EndMP]]), "Yes", "")</f>
        <v/>
      </c>
      <c r="Q2193" s="1" t="str">
        <f>IF( AND( Table4[[#This Row],[Route]]=ClosureLocation!$B$3, ClosureLocation!$B$6 &lt;= Table4[[#This Row],[StartMP]], ClosureLocation!$B$6 &gt;= Table4[[#This Row],[EndMP]]), "Yes", "")</f>
        <v/>
      </c>
      <c r="R2193" s="1" t="str">
        <f>IF( OR( Table4[[#This Row],[PrimaryMatch]]="Yes", Table4[[#This Row],[SecondaryMatch]]="Yes"), "Yes", "")</f>
        <v/>
      </c>
    </row>
    <row r="2194" spans="1:18" hidden="1" x14ac:dyDescent="0.25">
      <c r="A2194" t="s">
        <v>951</v>
      </c>
      <c r="B2194" t="s">
        <v>3209</v>
      </c>
      <c r="C2194" t="s">
        <v>3210</v>
      </c>
      <c r="D2194" t="s">
        <v>3849</v>
      </c>
      <c r="E2194" s="1">
        <v>1.24</v>
      </c>
      <c r="F2194" s="1">
        <v>0.20300000000000001</v>
      </c>
      <c r="G2194">
        <v>1</v>
      </c>
      <c r="H2194">
        <v>2</v>
      </c>
      <c r="I2194" t="s">
        <v>2752</v>
      </c>
      <c r="J2194" t="s">
        <v>1689</v>
      </c>
      <c r="K2194" s="39">
        <v>4.2532240000000003</v>
      </c>
      <c r="L2194" s="1">
        <v>3.524114</v>
      </c>
      <c r="M2194" s="1" t="s">
        <v>3850</v>
      </c>
      <c r="N2194" s="1">
        <v>998.76</v>
      </c>
      <c r="O2194" s="1">
        <f>ABS(Table4[[#This Row],[EndMP]]-Table4[[#This Row],[StartMP]])</f>
        <v>1.0369999999999999</v>
      </c>
      <c r="P2194" s="1" t="str">
        <f>IF( AND( Table4[[#This Row],[Route]]=ClosureLocation!$B$3, ClosureLocation!$B$6 &gt;= Table4[[#This Row],[StartMP]], ClosureLocation!$B$6 &lt;= Table4[[#This Row],[EndMP]]), "Yes", "")</f>
        <v/>
      </c>
      <c r="Q2194" s="1" t="str">
        <f>IF( AND( Table4[[#This Row],[Route]]=ClosureLocation!$B$3, ClosureLocation!$B$6 &lt;= Table4[[#This Row],[StartMP]], ClosureLocation!$B$6 &gt;= Table4[[#This Row],[EndMP]]), "Yes", "")</f>
        <v/>
      </c>
      <c r="R2194" s="1" t="str">
        <f>IF( OR( Table4[[#This Row],[PrimaryMatch]]="Yes", Table4[[#This Row],[SecondaryMatch]]="Yes"), "Yes", "")</f>
        <v/>
      </c>
    </row>
    <row r="2195" spans="1:18" hidden="1" x14ac:dyDescent="0.25">
      <c r="A2195" t="s">
        <v>310</v>
      </c>
      <c r="B2195" t="s">
        <v>3205</v>
      </c>
      <c r="C2195" t="s">
        <v>3206</v>
      </c>
      <c r="D2195" t="s">
        <v>3427</v>
      </c>
      <c r="E2195" s="1">
        <v>201.93199999999999</v>
      </c>
      <c r="F2195" s="1">
        <v>203.393</v>
      </c>
      <c r="G2195">
        <v>16</v>
      </c>
      <c r="H2195">
        <v>5</v>
      </c>
      <c r="I2195" t="s">
        <v>2222</v>
      </c>
      <c r="J2195" t="s">
        <v>1700</v>
      </c>
      <c r="K2195" s="39">
        <v>4.2431029999999996</v>
      </c>
      <c r="L2195" s="1">
        <v>0.88297599999999998</v>
      </c>
      <c r="M2195" s="1" t="s">
        <v>3433</v>
      </c>
      <c r="N2195" s="1">
        <v>201.93199999999999</v>
      </c>
      <c r="O2195" s="1">
        <f>ABS(Table4[[#This Row],[EndMP]]-Table4[[#This Row],[StartMP]])</f>
        <v>1.4610000000000127</v>
      </c>
      <c r="P2195" s="1" t="str">
        <f>IF( AND( Table4[[#This Row],[Route]]=ClosureLocation!$B$3, ClosureLocation!$B$6 &gt;= Table4[[#This Row],[StartMP]], ClosureLocation!$B$6 &lt;= Table4[[#This Row],[EndMP]]), "Yes", "")</f>
        <v/>
      </c>
      <c r="Q2195" s="1" t="str">
        <f>IF( AND( Table4[[#This Row],[Route]]=ClosureLocation!$B$3, ClosureLocation!$B$6 &lt;= Table4[[#This Row],[StartMP]], ClosureLocation!$B$6 &gt;= Table4[[#This Row],[EndMP]]), "Yes", "")</f>
        <v/>
      </c>
      <c r="R2195" s="1" t="str">
        <f>IF( OR( Table4[[#This Row],[PrimaryMatch]]="Yes", Table4[[#This Row],[SecondaryMatch]]="Yes"), "Yes", "")</f>
        <v/>
      </c>
    </row>
    <row r="2196" spans="1:18" hidden="1" x14ac:dyDescent="0.25">
      <c r="A2196" t="s">
        <v>65</v>
      </c>
      <c r="B2196" t="s">
        <v>3209</v>
      </c>
      <c r="C2196" t="s">
        <v>3226</v>
      </c>
      <c r="D2196" t="s">
        <v>3247</v>
      </c>
      <c r="E2196" s="1">
        <v>275.83</v>
      </c>
      <c r="F2196" s="1">
        <v>274.64800000000002</v>
      </c>
      <c r="G2196">
        <v>5</v>
      </c>
      <c r="H2196">
        <v>11</v>
      </c>
      <c r="I2196" t="s">
        <v>2077</v>
      </c>
      <c r="J2196" t="s">
        <v>1705</v>
      </c>
      <c r="K2196" s="39">
        <v>4.240183</v>
      </c>
      <c r="L2196" s="1">
        <v>3.8276729999999999</v>
      </c>
      <c r="M2196" s="1" t="s">
        <v>3252</v>
      </c>
      <c r="N2196" s="1">
        <v>724.17</v>
      </c>
      <c r="O2196" s="1">
        <f>ABS(Table4[[#This Row],[EndMP]]-Table4[[#This Row],[StartMP]])</f>
        <v>1.1819999999999595</v>
      </c>
      <c r="P2196" s="1" t="str">
        <f>IF( AND( Table4[[#This Row],[Route]]=ClosureLocation!$B$3, ClosureLocation!$B$6 &gt;= Table4[[#This Row],[StartMP]], ClosureLocation!$B$6 &lt;= Table4[[#This Row],[EndMP]]), "Yes", "")</f>
        <v/>
      </c>
      <c r="Q2196" s="1" t="str">
        <f>IF( AND( Table4[[#This Row],[Route]]=ClosureLocation!$B$3, ClosureLocation!$B$6 &lt;= Table4[[#This Row],[StartMP]], ClosureLocation!$B$6 &gt;= Table4[[#This Row],[EndMP]]), "Yes", "")</f>
        <v/>
      </c>
      <c r="R2196" s="1" t="str">
        <f>IF( OR( Table4[[#This Row],[PrimaryMatch]]="Yes", Table4[[#This Row],[SecondaryMatch]]="Yes"), "Yes", "")</f>
        <v/>
      </c>
    </row>
    <row r="2197" spans="1:18" hidden="1" x14ac:dyDescent="0.25">
      <c r="A2197" t="s">
        <v>1236</v>
      </c>
      <c r="B2197" t="s">
        <v>3205</v>
      </c>
      <c r="C2197" t="s">
        <v>3222</v>
      </c>
      <c r="D2197" t="s">
        <v>4085</v>
      </c>
      <c r="E2197" s="1">
        <v>58.75</v>
      </c>
      <c r="F2197" s="1">
        <v>59.823</v>
      </c>
      <c r="H2197">
        <v>3</v>
      </c>
      <c r="I2197" t="s">
        <v>2935</v>
      </c>
      <c r="J2197" t="s">
        <v>1708</v>
      </c>
      <c r="K2197" s="39">
        <v>4.1871770000000001</v>
      </c>
      <c r="L2197" s="1">
        <v>5.056794</v>
      </c>
      <c r="M2197" s="58" t="s">
        <v>5001</v>
      </c>
      <c r="N2197" s="1">
        <v>58.75</v>
      </c>
      <c r="O2197" s="1">
        <f>ABS(Table4[[#This Row],[EndMP]]-Table4[[#This Row],[StartMP]])</f>
        <v>1.0730000000000004</v>
      </c>
      <c r="P2197" s="1" t="str">
        <f>IF( AND( Table4[[#This Row],[Route]]=ClosureLocation!$B$3, ClosureLocation!$B$6 &gt;= Table4[[#This Row],[StartMP]], ClosureLocation!$B$6 &lt;= Table4[[#This Row],[EndMP]]), "Yes", "")</f>
        <v/>
      </c>
      <c r="Q2197" s="1" t="str">
        <f>IF( AND( Table4[[#This Row],[Route]]=ClosureLocation!$B$3, ClosureLocation!$B$6 &lt;= Table4[[#This Row],[StartMP]], ClosureLocation!$B$6 &gt;= Table4[[#This Row],[EndMP]]), "Yes", "")</f>
        <v/>
      </c>
      <c r="R2197" s="1" t="str">
        <f>IF( OR( Table4[[#This Row],[PrimaryMatch]]="Yes", Table4[[#This Row],[SecondaryMatch]]="Yes"), "Yes", "")</f>
        <v/>
      </c>
    </row>
    <row r="2198" spans="1:18" hidden="1" x14ac:dyDescent="0.25">
      <c r="A2198" t="s">
        <v>776</v>
      </c>
      <c r="B2198" t="s">
        <v>3205</v>
      </c>
      <c r="C2198" t="s">
        <v>3222</v>
      </c>
      <c r="D2198" t="s">
        <v>3748</v>
      </c>
      <c r="E2198" s="1">
        <v>283.09800000000001</v>
      </c>
      <c r="F2198" s="1">
        <v>288.12200000000001</v>
      </c>
      <c r="G2198">
        <v>36</v>
      </c>
      <c r="H2198">
        <v>36</v>
      </c>
      <c r="I2198" t="s">
        <v>2581</v>
      </c>
      <c r="J2198" t="s">
        <v>1694</v>
      </c>
      <c r="K2198" s="39">
        <v>4.1830160000000003</v>
      </c>
      <c r="L2198" s="1">
        <v>1.4969060000000001</v>
      </c>
      <c r="M2198" s="1" t="s">
        <v>4480</v>
      </c>
      <c r="N2198" s="1">
        <v>283.09800000000001</v>
      </c>
      <c r="O2198" s="1">
        <f>ABS(Table4[[#This Row],[EndMP]]-Table4[[#This Row],[StartMP]])</f>
        <v>5.0240000000000009</v>
      </c>
      <c r="P2198" s="1" t="str">
        <f>IF( AND( Table4[[#This Row],[Route]]=ClosureLocation!$B$3, ClosureLocation!$B$6 &gt;= Table4[[#This Row],[StartMP]], ClosureLocation!$B$6 &lt;= Table4[[#This Row],[EndMP]]), "Yes", "")</f>
        <v/>
      </c>
      <c r="Q2198" s="1" t="str">
        <f>IF( AND( Table4[[#This Row],[Route]]=ClosureLocation!$B$3, ClosureLocation!$B$6 &lt;= Table4[[#This Row],[StartMP]], ClosureLocation!$B$6 &gt;= Table4[[#This Row],[EndMP]]), "Yes", "")</f>
        <v/>
      </c>
      <c r="R2198" s="1" t="str">
        <f>IF( OR( Table4[[#This Row],[PrimaryMatch]]="Yes", Table4[[#This Row],[SecondaryMatch]]="Yes"), "Yes", "")</f>
        <v/>
      </c>
    </row>
    <row r="2199" spans="1:18" hidden="1" x14ac:dyDescent="0.25">
      <c r="A2199" t="s">
        <v>640</v>
      </c>
      <c r="B2199" t="s">
        <v>3209</v>
      </c>
      <c r="C2199" t="s">
        <v>3226</v>
      </c>
      <c r="D2199" t="s">
        <v>3640</v>
      </c>
      <c r="E2199" s="1">
        <v>350.90899999999999</v>
      </c>
      <c r="F2199" s="1">
        <v>335.76400000000001</v>
      </c>
      <c r="G2199">
        <v>10</v>
      </c>
      <c r="H2199">
        <v>10</v>
      </c>
      <c r="I2199" t="s">
        <v>2468</v>
      </c>
      <c r="J2199" t="s">
        <v>1694</v>
      </c>
      <c r="K2199" s="39">
        <v>4.1822210000000002</v>
      </c>
      <c r="L2199" s="1">
        <v>0.93466099999999996</v>
      </c>
      <c r="M2199" s="1" t="s">
        <v>4947</v>
      </c>
      <c r="N2199" s="1">
        <v>649.09100000000001</v>
      </c>
      <c r="O2199" s="1">
        <f>ABS(Table4[[#This Row],[EndMP]]-Table4[[#This Row],[StartMP]])</f>
        <v>15.144999999999982</v>
      </c>
      <c r="P2199" s="1" t="str">
        <f>IF( AND( Table4[[#This Row],[Route]]=ClosureLocation!$B$3, ClosureLocation!$B$6 &gt;= Table4[[#This Row],[StartMP]], ClosureLocation!$B$6 &lt;= Table4[[#This Row],[EndMP]]), "Yes", "")</f>
        <v/>
      </c>
      <c r="Q2199" s="1" t="str">
        <f>IF( AND( Table4[[#This Row],[Route]]=ClosureLocation!$B$3, ClosureLocation!$B$6 &lt;= Table4[[#This Row],[StartMP]], ClosureLocation!$B$6 &gt;= Table4[[#This Row],[EndMP]]), "Yes", "")</f>
        <v/>
      </c>
      <c r="R2199" s="1" t="str">
        <f>IF( OR( Table4[[#This Row],[PrimaryMatch]]="Yes", Table4[[#This Row],[SecondaryMatch]]="Yes"), "Yes", "")</f>
        <v/>
      </c>
    </row>
    <row r="2200" spans="1:18" hidden="1" x14ac:dyDescent="0.25">
      <c r="A2200" t="s">
        <v>640</v>
      </c>
      <c r="B2200" t="s">
        <v>3205</v>
      </c>
      <c r="C2200" t="s">
        <v>3222</v>
      </c>
      <c r="D2200" t="s">
        <v>3638</v>
      </c>
      <c r="E2200" s="1">
        <v>335.76400000000001</v>
      </c>
      <c r="F2200" s="1">
        <v>350.90899999999999</v>
      </c>
      <c r="G2200">
        <v>5</v>
      </c>
      <c r="H2200">
        <v>19</v>
      </c>
      <c r="I2200" t="s">
        <v>2449</v>
      </c>
      <c r="J2200" t="s">
        <v>1694</v>
      </c>
      <c r="K2200" s="39">
        <v>4.18222</v>
      </c>
      <c r="L2200" s="1">
        <v>0.93466099999999996</v>
      </c>
      <c r="M2200" s="1" t="s">
        <v>4928</v>
      </c>
      <c r="N2200" s="1">
        <v>335.76400000000001</v>
      </c>
      <c r="O2200" s="1">
        <f>ABS(Table4[[#This Row],[EndMP]]-Table4[[#This Row],[StartMP]])</f>
        <v>15.144999999999982</v>
      </c>
      <c r="P2200" s="1" t="str">
        <f>IF( AND( Table4[[#This Row],[Route]]=ClosureLocation!$B$3, ClosureLocation!$B$6 &gt;= Table4[[#This Row],[StartMP]], ClosureLocation!$B$6 &lt;= Table4[[#This Row],[EndMP]]), "Yes", "")</f>
        <v/>
      </c>
      <c r="Q2200" s="1" t="str">
        <f>IF( AND( Table4[[#This Row],[Route]]=ClosureLocation!$B$3, ClosureLocation!$B$6 &lt;= Table4[[#This Row],[StartMP]], ClosureLocation!$B$6 &gt;= Table4[[#This Row],[EndMP]]), "Yes", "")</f>
        <v/>
      </c>
      <c r="R2200" s="1" t="str">
        <f>IF( OR( Table4[[#This Row],[PrimaryMatch]]="Yes", Table4[[#This Row],[SecondaryMatch]]="Yes"), "Yes", "")</f>
        <v/>
      </c>
    </row>
    <row r="2201" spans="1:18" hidden="1" x14ac:dyDescent="0.25">
      <c r="A2201" t="s">
        <v>450</v>
      </c>
      <c r="B2201" t="s">
        <v>3205</v>
      </c>
      <c r="C2201" t="s">
        <v>3222</v>
      </c>
      <c r="D2201" t="s">
        <v>3521</v>
      </c>
      <c r="E2201" s="1">
        <v>0</v>
      </c>
      <c r="F2201" s="1">
        <v>6.9820000000000002</v>
      </c>
      <c r="G2201">
        <v>1</v>
      </c>
      <c r="H2201">
        <v>1</v>
      </c>
      <c r="I2201" t="s">
        <v>2327</v>
      </c>
      <c r="J2201" t="s">
        <v>1690</v>
      </c>
      <c r="K2201" s="39">
        <v>4.1784790000000003</v>
      </c>
      <c r="L2201" s="1">
        <v>2.4900989999999998</v>
      </c>
      <c r="M2201" s="1" t="s">
        <v>3522</v>
      </c>
      <c r="N2201" s="1">
        <v>0</v>
      </c>
      <c r="O2201" s="1">
        <f>ABS(Table4[[#This Row],[EndMP]]-Table4[[#This Row],[StartMP]])</f>
        <v>6.9820000000000002</v>
      </c>
      <c r="P2201" s="1" t="str">
        <f>IF( AND( Table4[[#This Row],[Route]]=ClosureLocation!$B$3, ClosureLocation!$B$6 &gt;= Table4[[#This Row],[StartMP]], ClosureLocation!$B$6 &lt;= Table4[[#This Row],[EndMP]]), "Yes", "")</f>
        <v/>
      </c>
      <c r="Q2201" s="1" t="str">
        <f>IF( AND( Table4[[#This Row],[Route]]=ClosureLocation!$B$3, ClosureLocation!$B$6 &lt;= Table4[[#This Row],[StartMP]], ClosureLocation!$B$6 &gt;= Table4[[#This Row],[EndMP]]), "Yes", "")</f>
        <v/>
      </c>
      <c r="R2201" s="1" t="str">
        <f>IF( OR( Table4[[#This Row],[PrimaryMatch]]="Yes", Table4[[#This Row],[SecondaryMatch]]="Yes"), "Yes", "")</f>
        <v/>
      </c>
    </row>
    <row r="2202" spans="1:18" hidden="1" x14ac:dyDescent="0.25">
      <c r="A2202" t="s">
        <v>776</v>
      </c>
      <c r="B2202" t="s">
        <v>3209</v>
      </c>
      <c r="C2202" t="s">
        <v>3226</v>
      </c>
      <c r="D2202" t="s">
        <v>3749</v>
      </c>
      <c r="E2202" s="1">
        <v>108.883</v>
      </c>
      <c r="F2202" s="1">
        <v>105.53400000000001</v>
      </c>
      <c r="G2202">
        <v>42</v>
      </c>
      <c r="H2202">
        <v>95</v>
      </c>
      <c r="I2202" t="s">
        <v>2641</v>
      </c>
      <c r="J2202" t="s">
        <v>1694</v>
      </c>
      <c r="K2202" s="39">
        <v>4.1767390000000004</v>
      </c>
      <c r="L2202" s="1">
        <v>6.4058000000000004E-2</v>
      </c>
      <c r="M2202" s="1" t="s">
        <v>4532</v>
      </c>
      <c r="N2202" s="1">
        <v>891.11699999999996</v>
      </c>
      <c r="O2202" s="1">
        <f>ABS(Table4[[#This Row],[EndMP]]-Table4[[#This Row],[StartMP]])</f>
        <v>3.3489999999999895</v>
      </c>
      <c r="P2202" s="1" t="str">
        <f>IF( AND( Table4[[#This Row],[Route]]=ClosureLocation!$B$3, ClosureLocation!$B$6 &gt;= Table4[[#This Row],[StartMP]], ClosureLocation!$B$6 &lt;= Table4[[#This Row],[EndMP]]), "Yes", "")</f>
        <v/>
      </c>
      <c r="Q2202" s="1" t="str">
        <f>IF( AND( Table4[[#This Row],[Route]]=ClosureLocation!$B$3, ClosureLocation!$B$6 &lt;= Table4[[#This Row],[StartMP]], ClosureLocation!$B$6 &gt;= Table4[[#This Row],[EndMP]]), "Yes", "")</f>
        <v/>
      </c>
      <c r="R2202" s="1" t="str">
        <f>IF( OR( Table4[[#This Row],[PrimaryMatch]]="Yes", Table4[[#This Row],[SecondaryMatch]]="Yes"), "Yes", "")</f>
        <v/>
      </c>
    </row>
    <row r="2203" spans="1:18" hidden="1" x14ac:dyDescent="0.25">
      <c r="A2203" t="s">
        <v>981</v>
      </c>
      <c r="B2203" t="s">
        <v>3205</v>
      </c>
      <c r="C2203" t="s">
        <v>3206</v>
      </c>
      <c r="D2203" t="s">
        <v>3873</v>
      </c>
      <c r="E2203" s="1">
        <v>204.93</v>
      </c>
      <c r="F2203" s="1">
        <v>206.63399999999999</v>
      </c>
      <c r="G2203">
        <v>4</v>
      </c>
      <c r="H2203">
        <v>2</v>
      </c>
      <c r="I2203" t="s">
        <v>2772</v>
      </c>
      <c r="J2203" t="s">
        <v>1704</v>
      </c>
      <c r="K2203" s="39">
        <v>4.1708689999999997</v>
      </c>
      <c r="L2203" s="1">
        <v>1.7840229999999999</v>
      </c>
      <c r="M2203" s="1" t="s">
        <v>3876</v>
      </c>
      <c r="N2203" s="1">
        <v>204.93</v>
      </c>
      <c r="O2203" s="1">
        <f>ABS(Table4[[#This Row],[EndMP]]-Table4[[#This Row],[StartMP]])</f>
        <v>1.7039999999999793</v>
      </c>
      <c r="P2203" s="1" t="str">
        <f>IF( AND( Table4[[#This Row],[Route]]=ClosureLocation!$B$3, ClosureLocation!$B$6 &gt;= Table4[[#This Row],[StartMP]], ClosureLocation!$B$6 &lt;= Table4[[#This Row],[EndMP]]), "Yes", "")</f>
        <v/>
      </c>
      <c r="Q2203" s="1" t="str">
        <f>IF( AND( Table4[[#This Row],[Route]]=ClosureLocation!$B$3, ClosureLocation!$B$6 &lt;= Table4[[#This Row],[StartMP]], ClosureLocation!$B$6 &gt;= Table4[[#This Row],[EndMP]]), "Yes", "")</f>
        <v/>
      </c>
      <c r="R2203" s="1" t="str">
        <f>IF( OR( Table4[[#This Row],[PrimaryMatch]]="Yes", Table4[[#This Row],[SecondaryMatch]]="Yes"), "Yes", "")</f>
        <v/>
      </c>
    </row>
    <row r="2204" spans="1:18" hidden="1" x14ac:dyDescent="0.25">
      <c r="A2204" t="s">
        <v>1493</v>
      </c>
      <c r="B2204" t="s">
        <v>3205</v>
      </c>
      <c r="C2204" t="s">
        <v>3206</v>
      </c>
      <c r="D2204" t="s">
        <v>4252</v>
      </c>
      <c r="E2204" s="1">
        <v>259.39299999999997</v>
      </c>
      <c r="F2204" s="1">
        <v>263.81700000000001</v>
      </c>
      <c r="G2204">
        <v>9</v>
      </c>
      <c r="H2204">
        <v>10</v>
      </c>
      <c r="I2204" t="s">
        <v>3078</v>
      </c>
      <c r="J2204" t="s">
        <v>1693</v>
      </c>
      <c r="K2204" s="39">
        <v>4.167713</v>
      </c>
      <c r="L2204" s="1">
        <v>5.2567089999999999</v>
      </c>
      <c r="M2204" s="1" t="s">
        <v>4261</v>
      </c>
      <c r="N2204" s="1">
        <v>259.39299999999997</v>
      </c>
      <c r="O2204" s="1">
        <f>ABS(Table4[[#This Row],[EndMP]]-Table4[[#This Row],[StartMP]])</f>
        <v>4.424000000000035</v>
      </c>
      <c r="P2204" s="1" t="str">
        <f>IF( AND( Table4[[#This Row],[Route]]=ClosureLocation!$B$3, ClosureLocation!$B$6 &gt;= Table4[[#This Row],[StartMP]], ClosureLocation!$B$6 &lt;= Table4[[#This Row],[EndMP]]), "Yes", "")</f>
        <v/>
      </c>
      <c r="Q2204" s="1" t="str">
        <f>IF( AND( Table4[[#This Row],[Route]]=ClosureLocation!$B$3, ClosureLocation!$B$6 &lt;= Table4[[#This Row],[StartMP]], ClosureLocation!$B$6 &gt;= Table4[[#This Row],[EndMP]]), "Yes", "")</f>
        <v/>
      </c>
      <c r="R2204" s="1" t="str">
        <f>IF( OR( Table4[[#This Row],[PrimaryMatch]]="Yes", Table4[[#This Row],[SecondaryMatch]]="Yes"), "Yes", "")</f>
        <v/>
      </c>
    </row>
    <row r="2205" spans="1:18" hidden="1" x14ac:dyDescent="0.25">
      <c r="A2205" t="s">
        <v>1627</v>
      </c>
      <c r="B2205" t="s">
        <v>3209</v>
      </c>
      <c r="C2205" t="s">
        <v>3210</v>
      </c>
      <c r="D2205" t="s">
        <v>4374</v>
      </c>
      <c r="E2205" s="1">
        <v>9.5009999999999994</v>
      </c>
      <c r="F2205" s="1">
        <v>6.2679999999999998</v>
      </c>
      <c r="G2205">
        <v>1</v>
      </c>
      <c r="H2205">
        <v>2</v>
      </c>
      <c r="I2205" t="s">
        <v>3164</v>
      </c>
      <c r="J2205" t="s">
        <v>1708</v>
      </c>
      <c r="K2205" s="39">
        <v>4.1579420000000002</v>
      </c>
      <c r="L2205" s="1">
        <v>4.4741280000000003</v>
      </c>
      <c r="M2205" s="1" t="s">
        <v>4375</v>
      </c>
      <c r="N2205" s="1">
        <v>990.49900000000002</v>
      </c>
      <c r="O2205" s="1">
        <f>ABS(Table4[[#This Row],[EndMP]]-Table4[[#This Row],[StartMP]])</f>
        <v>3.2329999999999997</v>
      </c>
      <c r="P2205" s="1" t="str">
        <f>IF( AND( Table4[[#This Row],[Route]]=ClosureLocation!$B$3, ClosureLocation!$B$6 &gt;= Table4[[#This Row],[StartMP]], ClosureLocation!$B$6 &lt;= Table4[[#This Row],[EndMP]]), "Yes", "")</f>
        <v/>
      </c>
      <c r="Q2205" s="1" t="str">
        <f>IF( AND( Table4[[#This Row],[Route]]=ClosureLocation!$B$3, ClosureLocation!$B$6 &lt;= Table4[[#This Row],[StartMP]], ClosureLocation!$B$6 &gt;= Table4[[#This Row],[EndMP]]), "Yes", "")</f>
        <v/>
      </c>
      <c r="R2205" s="1" t="str">
        <f>IF( OR( Table4[[#This Row],[PrimaryMatch]]="Yes", Table4[[#This Row],[SecondaryMatch]]="Yes"), "Yes", "")</f>
        <v/>
      </c>
    </row>
    <row r="2206" spans="1:18" hidden="1" x14ac:dyDescent="0.25">
      <c r="A2206" t="s">
        <v>450</v>
      </c>
      <c r="B2206" t="s">
        <v>3209</v>
      </c>
      <c r="C2206" t="s">
        <v>3226</v>
      </c>
      <c r="D2206" t="s">
        <v>3523</v>
      </c>
      <c r="E2206" s="1">
        <v>6.9820000000000002</v>
      </c>
      <c r="F2206" s="1">
        <v>0</v>
      </c>
      <c r="G2206">
        <v>1</v>
      </c>
      <c r="H2206">
        <v>2</v>
      </c>
      <c r="I2206" t="s">
        <v>2328</v>
      </c>
      <c r="J2206" t="s">
        <v>1690</v>
      </c>
      <c r="K2206" s="39">
        <v>4.1555160000000004</v>
      </c>
      <c r="L2206" s="1">
        <v>2.4900989999999998</v>
      </c>
      <c r="M2206" s="1" t="s">
        <v>3524</v>
      </c>
      <c r="N2206" s="1">
        <v>993.01800000000003</v>
      </c>
      <c r="O2206" s="1">
        <f>ABS(Table4[[#This Row],[EndMP]]-Table4[[#This Row],[StartMP]])</f>
        <v>6.9820000000000002</v>
      </c>
      <c r="P2206" s="1" t="str">
        <f>IF( AND( Table4[[#This Row],[Route]]=ClosureLocation!$B$3, ClosureLocation!$B$6 &gt;= Table4[[#This Row],[StartMP]], ClosureLocation!$B$6 &lt;= Table4[[#This Row],[EndMP]]), "Yes", "")</f>
        <v/>
      </c>
      <c r="Q2206" s="1" t="str">
        <f>IF( AND( Table4[[#This Row],[Route]]=ClosureLocation!$B$3, ClosureLocation!$B$6 &lt;= Table4[[#This Row],[StartMP]], ClosureLocation!$B$6 &gt;= Table4[[#This Row],[EndMP]]), "Yes", "")</f>
        <v/>
      </c>
      <c r="R2206" s="1" t="str">
        <f>IF( OR( Table4[[#This Row],[PrimaryMatch]]="Yes", Table4[[#This Row],[SecondaryMatch]]="Yes"), "Yes", "")</f>
        <v/>
      </c>
    </row>
    <row r="2207" spans="1:18" hidden="1" x14ac:dyDescent="0.25">
      <c r="A2207" t="s">
        <v>1014</v>
      </c>
      <c r="B2207" t="s">
        <v>3209</v>
      </c>
      <c r="C2207" t="s">
        <v>3210</v>
      </c>
      <c r="D2207" t="s">
        <v>3909</v>
      </c>
      <c r="E2207" s="1">
        <v>309.54199999999997</v>
      </c>
      <c r="F2207" s="1">
        <v>270.52499999999998</v>
      </c>
      <c r="G2207">
        <v>1</v>
      </c>
      <c r="H2207">
        <v>5</v>
      </c>
      <c r="I2207" t="s">
        <v>2800</v>
      </c>
      <c r="J2207" t="s">
        <v>1694</v>
      </c>
      <c r="K2207" s="39">
        <v>4.1434259999999998</v>
      </c>
      <c r="L2207" s="1">
        <v>18.607551000000001</v>
      </c>
      <c r="M2207" s="58" t="s">
        <v>4996</v>
      </c>
      <c r="N2207" s="1">
        <v>690.45799999999997</v>
      </c>
      <c r="O2207" s="1">
        <f>ABS(Table4[[#This Row],[EndMP]]-Table4[[#This Row],[StartMP]])</f>
        <v>39.016999999999996</v>
      </c>
      <c r="P2207" s="1" t="str">
        <f>IF( AND( Table4[[#This Row],[Route]]=ClosureLocation!$B$3, ClosureLocation!$B$6 &gt;= Table4[[#This Row],[StartMP]], ClosureLocation!$B$6 &lt;= Table4[[#This Row],[EndMP]]), "Yes", "")</f>
        <v/>
      </c>
      <c r="Q2207" s="1" t="str">
        <f>IF( AND( Table4[[#This Row],[Route]]=ClosureLocation!$B$3, ClosureLocation!$B$6 &lt;= Table4[[#This Row],[StartMP]], ClosureLocation!$B$6 &gt;= Table4[[#This Row],[EndMP]]), "Yes", "")</f>
        <v/>
      </c>
      <c r="R2207" s="1" t="str">
        <f>IF( OR( Table4[[#This Row],[PrimaryMatch]]="Yes", Table4[[#This Row],[SecondaryMatch]]="Yes"), "Yes", "")</f>
        <v/>
      </c>
    </row>
    <row r="2208" spans="1:18" hidden="1" x14ac:dyDescent="0.25">
      <c r="A2208" t="s">
        <v>640</v>
      </c>
      <c r="B2208" t="s">
        <v>3205</v>
      </c>
      <c r="C2208" t="s">
        <v>3222</v>
      </c>
      <c r="D2208" t="s">
        <v>3638</v>
      </c>
      <c r="E2208" s="1">
        <v>324.22899999999998</v>
      </c>
      <c r="F2208" s="1">
        <v>329.334</v>
      </c>
      <c r="G2208">
        <v>3</v>
      </c>
      <c r="H2208">
        <v>17</v>
      </c>
      <c r="I2208" t="s">
        <v>2447</v>
      </c>
      <c r="J2208" t="s">
        <v>1694</v>
      </c>
      <c r="K2208" s="39">
        <v>4.1112789999999997</v>
      </c>
      <c r="L2208" s="1">
        <v>1.5109429999999999</v>
      </c>
      <c r="M2208" s="1" t="s">
        <v>4926</v>
      </c>
      <c r="N2208" s="1">
        <v>324.22899999999998</v>
      </c>
      <c r="O2208" s="1">
        <f>ABS(Table4[[#This Row],[EndMP]]-Table4[[#This Row],[StartMP]])</f>
        <v>5.1050000000000182</v>
      </c>
      <c r="P2208" s="1" t="str">
        <f>IF( AND( Table4[[#This Row],[Route]]=ClosureLocation!$B$3, ClosureLocation!$B$6 &gt;= Table4[[#This Row],[StartMP]], ClosureLocation!$B$6 &lt;= Table4[[#This Row],[EndMP]]), "Yes", "")</f>
        <v/>
      </c>
      <c r="Q2208" s="1" t="str">
        <f>IF( AND( Table4[[#This Row],[Route]]=ClosureLocation!$B$3, ClosureLocation!$B$6 &lt;= Table4[[#This Row],[StartMP]], ClosureLocation!$B$6 &gt;= Table4[[#This Row],[EndMP]]), "Yes", "")</f>
        <v/>
      </c>
      <c r="R2208" s="1" t="str">
        <f>IF( OR( Table4[[#This Row],[PrimaryMatch]]="Yes", Table4[[#This Row],[SecondaryMatch]]="Yes"), "Yes", "")</f>
        <v/>
      </c>
    </row>
    <row r="2209" spans="1:18" hidden="1" x14ac:dyDescent="0.25">
      <c r="A2209" t="s">
        <v>640</v>
      </c>
      <c r="B2209" t="s">
        <v>3209</v>
      </c>
      <c r="C2209" t="s">
        <v>3226</v>
      </c>
      <c r="D2209" t="s">
        <v>3640</v>
      </c>
      <c r="E2209" s="1">
        <v>329.334</v>
      </c>
      <c r="F2209" s="1">
        <v>324.22899999999998</v>
      </c>
      <c r="G2209">
        <v>12</v>
      </c>
      <c r="H2209">
        <v>12</v>
      </c>
      <c r="I2209" t="s">
        <v>2470</v>
      </c>
      <c r="J2209" t="s">
        <v>1694</v>
      </c>
      <c r="K2209" s="39">
        <v>4.1109049999999998</v>
      </c>
      <c r="L2209" s="1">
        <v>1.5109429999999999</v>
      </c>
      <c r="M2209" s="1" t="s">
        <v>4949</v>
      </c>
      <c r="N2209" s="1">
        <v>670.66600000000005</v>
      </c>
      <c r="O2209" s="1">
        <f>ABS(Table4[[#This Row],[EndMP]]-Table4[[#This Row],[StartMP]])</f>
        <v>5.1050000000000182</v>
      </c>
      <c r="P2209" s="1" t="str">
        <f>IF( AND( Table4[[#This Row],[Route]]=ClosureLocation!$B$3, ClosureLocation!$B$6 &gt;= Table4[[#This Row],[StartMP]], ClosureLocation!$B$6 &lt;= Table4[[#This Row],[EndMP]]), "Yes", "")</f>
        <v/>
      </c>
      <c r="Q2209" s="1" t="str">
        <f>IF( AND( Table4[[#This Row],[Route]]=ClosureLocation!$B$3, ClosureLocation!$B$6 &lt;= Table4[[#This Row],[StartMP]], ClosureLocation!$B$6 &gt;= Table4[[#This Row],[EndMP]]), "Yes", "")</f>
        <v/>
      </c>
      <c r="R2209" s="1" t="str">
        <f>IF( OR( Table4[[#This Row],[PrimaryMatch]]="Yes", Table4[[#This Row],[SecondaryMatch]]="Yes"), "Yes", "")</f>
        <v/>
      </c>
    </row>
    <row r="2210" spans="1:18" hidden="1" x14ac:dyDescent="0.25">
      <c r="A2210" t="s">
        <v>1011</v>
      </c>
      <c r="B2210" t="s">
        <v>3209</v>
      </c>
      <c r="C2210" t="s">
        <v>3210</v>
      </c>
      <c r="D2210" t="s">
        <v>3906</v>
      </c>
      <c r="E2210" s="1">
        <v>2.2389999999999999</v>
      </c>
      <c r="F2210" s="1">
        <v>0</v>
      </c>
      <c r="G2210">
        <v>1</v>
      </c>
      <c r="H2210">
        <v>2</v>
      </c>
      <c r="I2210" t="s">
        <v>2796</v>
      </c>
      <c r="J2210" t="s">
        <v>1689</v>
      </c>
      <c r="K2210" s="39">
        <v>4.0973329999999999</v>
      </c>
      <c r="L2210" s="1">
        <v>2.6005150000000001</v>
      </c>
      <c r="M2210" s="1" t="s">
        <v>3485</v>
      </c>
      <c r="N2210" s="1">
        <v>997.76099999999997</v>
      </c>
      <c r="O2210" s="1">
        <f>ABS(Table4[[#This Row],[EndMP]]-Table4[[#This Row],[StartMP]])</f>
        <v>2.2389999999999999</v>
      </c>
      <c r="P2210" s="1" t="str">
        <f>IF( AND( Table4[[#This Row],[Route]]=ClosureLocation!$B$3, ClosureLocation!$B$6 &gt;= Table4[[#This Row],[StartMP]], ClosureLocation!$B$6 &lt;= Table4[[#This Row],[EndMP]]), "Yes", "")</f>
        <v/>
      </c>
      <c r="Q2210" s="1" t="str">
        <f>IF( AND( Table4[[#This Row],[Route]]=ClosureLocation!$B$3, ClosureLocation!$B$6 &lt;= Table4[[#This Row],[StartMP]], ClosureLocation!$B$6 &gt;= Table4[[#This Row],[EndMP]]), "Yes", "")</f>
        <v/>
      </c>
      <c r="R2210" s="1" t="str">
        <f>IF( OR( Table4[[#This Row],[PrimaryMatch]]="Yes", Table4[[#This Row],[SecondaryMatch]]="Yes"), "Yes", "")</f>
        <v/>
      </c>
    </row>
    <row r="2211" spans="1:18" hidden="1" x14ac:dyDescent="0.25">
      <c r="A2211" t="s">
        <v>136</v>
      </c>
      <c r="B2211" t="s">
        <v>3209</v>
      </c>
      <c r="C2211" t="s">
        <v>3226</v>
      </c>
      <c r="D2211" t="s">
        <v>3279</v>
      </c>
      <c r="E2211" s="1">
        <v>50.639000000000003</v>
      </c>
      <c r="F2211" s="1">
        <v>49.506</v>
      </c>
      <c r="G2211">
        <v>1</v>
      </c>
      <c r="H2211">
        <v>2</v>
      </c>
      <c r="I2211" t="s">
        <v>2106</v>
      </c>
      <c r="J2211" t="s">
        <v>1696</v>
      </c>
      <c r="K2211" s="39">
        <v>4.0775249999999996</v>
      </c>
      <c r="L2211" s="1">
        <v>1.689511</v>
      </c>
      <c r="M2211" s="1" t="s">
        <v>3280</v>
      </c>
      <c r="N2211" s="1">
        <v>949.36099999999999</v>
      </c>
      <c r="O2211" s="1">
        <f>ABS(Table4[[#This Row],[EndMP]]-Table4[[#This Row],[StartMP]])</f>
        <v>1.1330000000000027</v>
      </c>
      <c r="P2211" s="1" t="str">
        <f>IF( AND( Table4[[#This Row],[Route]]=ClosureLocation!$B$3, ClosureLocation!$B$6 &gt;= Table4[[#This Row],[StartMP]], ClosureLocation!$B$6 &lt;= Table4[[#This Row],[EndMP]]), "Yes", "")</f>
        <v/>
      </c>
      <c r="Q2211" s="1" t="str">
        <f>IF( AND( Table4[[#This Row],[Route]]=ClosureLocation!$B$3, ClosureLocation!$B$6 &lt;= Table4[[#This Row],[StartMP]], ClosureLocation!$B$6 &gt;= Table4[[#This Row],[EndMP]]), "Yes", "")</f>
        <v/>
      </c>
      <c r="R2211" s="1" t="str">
        <f>IF( OR( Table4[[#This Row],[PrimaryMatch]]="Yes", Table4[[#This Row],[SecondaryMatch]]="Yes"), "Yes", "")</f>
        <v/>
      </c>
    </row>
    <row r="2212" spans="1:18" hidden="1" x14ac:dyDescent="0.25">
      <c r="A2212" t="s">
        <v>282</v>
      </c>
      <c r="B2212" t="s">
        <v>3205</v>
      </c>
      <c r="C2212" t="s">
        <v>3222</v>
      </c>
      <c r="D2212" t="s">
        <v>3403</v>
      </c>
      <c r="E2212" s="1">
        <v>455.88200000000001</v>
      </c>
      <c r="F2212" s="1">
        <v>456.02</v>
      </c>
      <c r="G2212">
        <v>1</v>
      </c>
      <c r="H2212">
        <v>1</v>
      </c>
      <c r="I2212" t="s">
        <v>2189</v>
      </c>
      <c r="J2212" t="s">
        <v>1690</v>
      </c>
      <c r="K2212" s="39">
        <v>4.0656309999999998</v>
      </c>
      <c r="L2212" s="1">
        <v>3.0427469999999999</v>
      </c>
      <c r="M2212" s="1" t="s">
        <v>3404</v>
      </c>
      <c r="N2212" s="1">
        <v>455.88200000000001</v>
      </c>
      <c r="O2212" s="1">
        <f>ABS(Table4[[#This Row],[EndMP]]-Table4[[#This Row],[StartMP]])</f>
        <v>0.13799999999997681</v>
      </c>
      <c r="P2212" s="1" t="str">
        <f>IF( AND( Table4[[#This Row],[Route]]=ClosureLocation!$B$3, ClosureLocation!$B$6 &gt;= Table4[[#This Row],[StartMP]], ClosureLocation!$B$6 &lt;= Table4[[#This Row],[EndMP]]), "Yes", "")</f>
        <v/>
      </c>
      <c r="Q2212" s="1" t="str">
        <f>IF( AND( Table4[[#This Row],[Route]]=ClosureLocation!$B$3, ClosureLocation!$B$6 &lt;= Table4[[#This Row],[StartMP]], ClosureLocation!$B$6 &gt;= Table4[[#This Row],[EndMP]]), "Yes", "")</f>
        <v/>
      </c>
      <c r="R2212" s="1" t="str">
        <f>IF( OR( Table4[[#This Row],[PrimaryMatch]]="Yes", Table4[[#This Row],[SecondaryMatch]]="Yes"), "Yes", "")</f>
        <v/>
      </c>
    </row>
    <row r="2213" spans="1:18" hidden="1" x14ac:dyDescent="0.25">
      <c r="A2213" t="s">
        <v>776</v>
      </c>
      <c r="B2213" t="s">
        <v>3209</v>
      </c>
      <c r="C2213" t="s">
        <v>3226</v>
      </c>
      <c r="D2213" t="s">
        <v>3749</v>
      </c>
      <c r="E2213" s="1">
        <v>25.358000000000001</v>
      </c>
      <c r="F2213" s="1">
        <v>19.704000000000001</v>
      </c>
      <c r="G2213">
        <v>51</v>
      </c>
      <c r="H2213">
        <v>104</v>
      </c>
      <c r="I2213" t="s">
        <v>2650</v>
      </c>
      <c r="J2213" t="s">
        <v>1694</v>
      </c>
      <c r="K2213" s="39">
        <v>4.0651809999999999</v>
      </c>
      <c r="L2213" s="1">
        <v>0.28501700000000002</v>
      </c>
      <c r="M2213" s="1" t="s">
        <v>4454</v>
      </c>
      <c r="N2213" s="1">
        <v>974.64200000000005</v>
      </c>
      <c r="O2213" s="1">
        <f>ABS(Table4[[#This Row],[EndMP]]-Table4[[#This Row],[StartMP]])</f>
        <v>5.6539999999999999</v>
      </c>
      <c r="P2213" s="1" t="str">
        <f>IF( AND( Table4[[#This Row],[Route]]=ClosureLocation!$B$3, ClosureLocation!$B$6 &gt;= Table4[[#This Row],[StartMP]], ClosureLocation!$B$6 &lt;= Table4[[#This Row],[EndMP]]), "Yes", "")</f>
        <v/>
      </c>
      <c r="Q2213" s="1" t="str">
        <f>IF( AND( Table4[[#This Row],[Route]]=ClosureLocation!$B$3, ClosureLocation!$B$6 &lt;= Table4[[#This Row],[StartMP]], ClosureLocation!$B$6 &gt;= Table4[[#This Row],[EndMP]]), "Yes", "")</f>
        <v/>
      </c>
      <c r="R2213" s="1" t="str">
        <f>IF( OR( Table4[[#This Row],[PrimaryMatch]]="Yes", Table4[[#This Row],[SecondaryMatch]]="Yes"), "Yes", "")</f>
        <v/>
      </c>
    </row>
    <row r="2214" spans="1:18" hidden="1" x14ac:dyDescent="0.25">
      <c r="A2214" t="s">
        <v>310</v>
      </c>
      <c r="B2214" t="s">
        <v>3205</v>
      </c>
      <c r="C2214" t="s">
        <v>3206</v>
      </c>
      <c r="D2214" t="s">
        <v>3427</v>
      </c>
      <c r="E2214" s="1">
        <v>127.997</v>
      </c>
      <c r="F2214" s="1">
        <v>131.48400000000001</v>
      </c>
      <c r="G2214">
        <v>10</v>
      </c>
      <c r="H2214">
        <v>9</v>
      </c>
      <c r="I2214" t="s">
        <v>2216</v>
      </c>
      <c r="J2214" t="s">
        <v>1694</v>
      </c>
      <c r="K2214" s="39">
        <v>4.05077</v>
      </c>
      <c r="L2214" s="1">
        <v>0.71888099999999999</v>
      </c>
      <c r="M2214" s="1" t="s">
        <v>4888</v>
      </c>
      <c r="N2214" s="1">
        <v>127.997</v>
      </c>
      <c r="O2214" s="1">
        <f>ABS(Table4[[#This Row],[EndMP]]-Table4[[#This Row],[StartMP]])</f>
        <v>3.487000000000009</v>
      </c>
      <c r="P2214" s="1" t="str">
        <f>IF( AND( Table4[[#This Row],[Route]]=ClosureLocation!$B$3, ClosureLocation!$B$6 &gt;= Table4[[#This Row],[StartMP]], ClosureLocation!$B$6 &lt;= Table4[[#This Row],[EndMP]]), "Yes", "")</f>
        <v/>
      </c>
      <c r="Q2214" s="1" t="str">
        <f>IF( AND( Table4[[#This Row],[Route]]=ClosureLocation!$B$3, ClosureLocation!$B$6 &lt;= Table4[[#This Row],[StartMP]], ClosureLocation!$B$6 &gt;= Table4[[#This Row],[EndMP]]), "Yes", "")</f>
        <v/>
      </c>
      <c r="R2214" s="1" t="str">
        <f>IF( OR( Table4[[#This Row],[PrimaryMatch]]="Yes", Table4[[#This Row],[SecondaryMatch]]="Yes"), "Yes", "")</f>
        <v/>
      </c>
    </row>
    <row r="2215" spans="1:18" hidden="1" x14ac:dyDescent="0.25">
      <c r="A2215" t="s">
        <v>897</v>
      </c>
      <c r="B2215" t="s">
        <v>3209</v>
      </c>
      <c r="C2215" t="s">
        <v>3210</v>
      </c>
      <c r="D2215" t="s">
        <v>3820</v>
      </c>
      <c r="E2215" s="1">
        <v>176.37200000000001</v>
      </c>
      <c r="F2215" s="1">
        <v>175.48599999999999</v>
      </c>
      <c r="G2215">
        <v>2</v>
      </c>
      <c r="H2215">
        <v>4</v>
      </c>
      <c r="I2215" t="s">
        <v>2695</v>
      </c>
      <c r="J2215" t="s">
        <v>1699</v>
      </c>
      <c r="K2215" s="39">
        <v>4.0452719999999998</v>
      </c>
      <c r="L2215" s="1">
        <v>3.5304060000000002</v>
      </c>
      <c r="M2215" s="1" t="s">
        <v>3822</v>
      </c>
      <c r="N2215" s="1">
        <v>823.62800000000004</v>
      </c>
      <c r="O2215" s="1">
        <f>ABS(Table4[[#This Row],[EndMP]]-Table4[[#This Row],[StartMP]])</f>
        <v>0.8860000000000241</v>
      </c>
      <c r="P2215" s="1" t="str">
        <f>IF( AND( Table4[[#This Row],[Route]]=ClosureLocation!$B$3, ClosureLocation!$B$6 &gt;= Table4[[#This Row],[StartMP]], ClosureLocation!$B$6 &lt;= Table4[[#This Row],[EndMP]]), "Yes", "")</f>
        <v/>
      </c>
      <c r="Q2215" s="1" t="str">
        <f>IF( AND( Table4[[#This Row],[Route]]=ClosureLocation!$B$3, ClosureLocation!$B$6 &lt;= Table4[[#This Row],[StartMP]], ClosureLocation!$B$6 &gt;= Table4[[#This Row],[EndMP]]), "Yes", "")</f>
        <v/>
      </c>
      <c r="R2215" s="1" t="str">
        <f>IF( OR( Table4[[#This Row],[PrimaryMatch]]="Yes", Table4[[#This Row],[SecondaryMatch]]="Yes"), "Yes", "")</f>
        <v/>
      </c>
    </row>
    <row r="2216" spans="1:18" hidden="1" x14ac:dyDescent="0.25">
      <c r="A2216" t="s">
        <v>1627</v>
      </c>
      <c r="B2216" t="s">
        <v>3205</v>
      </c>
      <c r="C2216" t="s">
        <v>3206</v>
      </c>
      <c r="D2216" t="s">
        <v>4370</v>
      </c>
      <c r="E2216" s="1">
        <v>5.8999999999999997E-2</v>
      </c>
      <c r="F2216" s="1">
        <v>5.08</v>
      </c>
      <c r="G2216">
        <v>1</v>
      </c>
      <c r="H2216">
        <v>1</v>
      </c>
      <c r="I2216" t="s">
        <v>3161</v>
      </c>
      <c r="J2216" t="s">
        <v>1708</v>
      </c>
      <c r="K2216" s="39">
        <v>4.0340230000000004</v>
      </c>
      <c r="L2216" s="1">
        <v>2.9627089999999998</v>
      </c>
      <c r="M2216" s="1" t="s">
        <v>4371</v>
      </c>
      <c r="N2216" s="1">
        <v>5.8999999999999997E-2</v>
      </c>
      <c r="O2216" s="1">
        <f>ABS(Table4[[#This Row],[EndMP]]-Table4[[#This Row],[StartMP]])</f>
        <v>5.0209999999999999</v>
      </c>
      <c r="P2216" s="1" t="str">
        <f>IF( AND( Table4[[#This Row],[Route]]=ClosureLocation!$B$3, ClosureLocation!$B$6 &gt;= Table4[[#This Row],[StartMP]], ClosureLocation!$B$6 &lt;= Table4[[#This Row],[EndMP]]), "Yes", "")</f>
        <v/>
      </c>
      <c r="Q2216" s="1" t="str">
        <f>IF( AND( Table4[[#This Row],[Route]]=ClosureLocation!$B$3, ClosureLocation!$B$6 &lt;= Table4[[#This Row],[StartMP]], ClosureLocation!$B$6 &gt;= Table4[[#This Row],[EndMP]]), "Yes", "")</f>
        <v/>
      </c>
      <c r="R2216" s="1" t="str">
        <f>IF( OR( Table4[[#This Row],[PrimaryMatch]]="Yes", Table4[[#This Row],[SecondaryMatch]]="Yes"), "Yes", "")</f>
        <v/>
      </c>
    </row>
    <row r="2217" spans="1:18" hidden="1" x14ac:dyDescent="0.25">
      <c r="A2217" t="s">
        <v>1011</v>
      </c>
      <c r="B2217" t="s">
        <v>3205</v>
      </c>
      <c r="C2217" t="s">
        <v>3206</v>
      </c>
      <c r="D2217" t="s">
        <v>3905</v>
      </c>
      <c r="E2217" s="1">
        <v>0</v>
      </c>
      <c r="F2217" s="1">
        <v>2.0310000000000001</v>
      </c>
      <c r="G2217">
        <v>1</v>
      </c>
      <c r="H2217">
        <v>1</v>
      </c>
      <c r="I2217" t="s">
        <v>2795</v>
      </c>
      <c r="J2217" t="s">
        <v>1689</v>
      </c>
      <c r="K2217" s="39">
        <v>4.0334250000000003</v>
      </c>
      <c r="L2217" s="1">
        <v>2.567653</v>
      </c>
      <c r="M2217" s="1" t="s">
        <v>3484</v>
      </c>
      <c r="N2217" s="1">
        <v>0</v>
      </c>
      <c r="O2217" s="1">
        <f>ABS(Table4[[#This Row],[EndMP]]-Table4[[#This Row],[StartMP]])</f>
        <v>2.0310000000000001</v>
      </c>
      <c r="P2217" s="1" t="str">
        <f>IF( AND( Table4[[#This Row],[Route]]=ClosureLocation!$B$3, ClosureLocation!$B$6 &gt;= Table4[[#This Row],[StartMP]], ClosureLocation!$B$6 &lt;= Table4[[#This Row],[EndMP]]), "Yes", "")</f>
        <v/>
      </c>
      <c r="Q2217" s="1" t="str">
        <f>IF( AND( Table4[[#This Row],[Route]]=ClosureLocation!$B$3, ClosureLocation!$B$6 &lt;= Table4[[#This Row],[StartMP]], ClosureLocation!$B$6 &gt;= Table4[[#This Row],[EndMP]]), "Yes", "")</f>
        <v/>
      </c>
      <c r="R2217" s="1" t="str">
        <f>IF( OR( Table4[[#This Row],[PrimaryMatch]]="Yes", Table4[[#This Row],[SecondaryMatch]]="Yes"), "Yes", "")</f>
        <v/>
      </c>
    </row>
    <row r="2218" spans="1:18" hidden="1" x14ac:dyDescent="0.25">
      <c r="A2218" t="s">
        <v>917</v>
      </c>
      <c r="B2218" t="s">
        <v>3205</v>
      </c>
      <c r="C2218" t="s">
        <v>3222</v>
      </c>
      <c r="D2218" t="s">
        <v>3837</v>
      </c>
      <c r="E2218" s="1">
        <v>76</v>
      </c>
      <c r="F2218" s="1">
        <v>79.046000000000006</v>
      </c>
      <c r="G2218">
        <v>13</v>
      </c>
      <c r="H2218">
        <v>13</v>
      </c>
      <c r="I2218" t="s">
        <v>2716</v>
      </c>
      <c r="J2218" t="s">
        <v>1694</v>
      </c>
      <c r="K2218" s="39">
        <v>4.0140359999999999</v>
      </c>
      <c r="L2218" s="1">
        <v>0.34777400000000003</v>
      </c>
      <c r="M2218" s="1" t="s">
        <v>4962</v>
      </c>
      <c r="N2218" s="1">
        <v>76</v>
      </c>
      <c r="O2218" s="1">
        <f>ABS(Table4[[#This Row],[EndMP]]-Table4[[#This Row],[StartMP]])</f>
        <v>3.0460000000000065</v>
      </c>
      <c r="P2218" s="1" t="str">
        <f>IF( AND( Table4[[#This Row],[Route]]=ClosureLocation!$B$3, ClosureLocation!$B$6 &gt;= Table4[[#This Row],[StartMP]], ClosureLocation!$B$6 &lt;= Table4[[#This Row],[EndMP]]), "Yes", "")</f>
        <v/>
      </c>
      <c r="Q2218" s="1" t="str">
        <f>IF( AND( Table4[[#This Row],[Route]]=ClosureLocation!$B$3, ClosureLocation!$B$6 &lt;= Table4[[#This Row],[StartMP]], ClosureLocation!$B$6 &gt;= Table4[[#This Row],[EndMP]]), "Yes", "")</f>
        <v/>
      </c>
      <c r="R2218" s="1" t="str">
        <f>IF( OR( Table4[[#This Row],[PrimaryMatch]]="Yes", Table4[[#This Row],[SecondaryMatch]]="Yes"), "Yes", "")</f>
        <v/>
      </c>
    </row>
    <row r="2219" spans="1:18" hidden="1" x14ac:dyDescent="0.25">
      <c r="A2219" t="s">
        <v>776</v>
      </c>
      <c r="B2219" t="s">
        <v>3205</v>
      </c>
      <c r="C2219" t="s">
        <v>3222</v>
      </c>
      <c r="D2219" t="s">
        <v>3748</v>
      </c>
      <c r="E2219" s="1">
        <v>11.355</v>
      </c>
      <c r="F2219" s="1">
        <v>14.936999999999999</v>
      </c>
      <c r="G2219">
        <v>2</v>
      </c>
      <c r="H2219">
        <v>2</v>
      </c>
      <c r="I2219" t="s">
        <v>2547</v>
      </c>
      <c r="J2219" t="s">
        <v>1694</v>
      </c>
      <c r="K2219" s="39">
        <v>3.9993919999999998</v>
      </c>
      <c r="L2219" s="1">
        <v>1.487976</v>
      </c>
      <c r="M2219" s="1" t="s">
        <v>4453</v>
      </c>
      <c r="N2219" s="1">
        <v>11.355</v>
      </c>
      <c r="O2219" s="1">
        <f>ABS(Table4[[#This Row],[EndMP]]-Table4[[#This Row],[StartMP]])</f>
        <v>3.581999999999999</v>
      </c>
      <c r="P2219" s="1" t="str">
        <f>IF( AND( Table4[[#This Row],[Route]]=ClosureLocation!$B$3, ClosureLocation!$B$6 &gt;= Table4[[#This Row],[StartMP]], ClosureLocation!$B$6 &lt;= Table4[[#This Row],[EndMP]]), "Yes", "")</f>
        <v/>
      </c>
      <c r="Q2219" s="1" t="str">
        <f>IF( AND( Table4[[#This Row],[Route]]=ClosureLocation!$B$3, ClosureLocation!$B$6 &lt;= Table4[[#This Row],[StartMP]], ClosureLocation!$B$6 &gt;= Table4[[#This Row],[EndMP]]), "Yes", "")</f>
        <v/>
      </c>
      <c r="R2219" s="1" t="str">
        <f>IF( OR( Table4[[#This Row],[PrimaryMatch]]="Yes", Table4[[#This Row],[SecondaryMatch]]="Yes"), "Yes", "")</f>
        <v/>
      </c>
    </row>
    <row r="2220" spans="1:18" hidden="1" x14ac:dyDescent="0.25">
      <c r="A2220" t="s">
        <v>776</v>
      </c>
      <c r="B2220" t="s">
        <v>3209</v>
      </c>
      <c r="C2220" t="s">
        <v>3226</v>
      </c>
      <c r="D2220" t="s">
        <v>3749</v>
      </c>
      <c r="E2220" s="1">
        <v>90</v>
      </c>
      <c r="F2220" s="1">
        <v>87.013000000000005</v>
      </c>
      <c r="G2220">
        <v>45</v>
      </c>
      <c r="H2220">
        <v>98</v>
      </c>
      <c r="I2220" t="s">
        <v>2644</v>
      </c>
      <c r="J2220" t="s">
        <v>1694</v>
      </c>
      <c r="K2220" s="39">
        <v>3.993128</v>
      </c>
      <c r="L2220" s="1">
        <v>0.26226100000000002</v>
      </c>
      <c r="M2220" s="1" t="s">
        <v>4535</v>
      </c>
      <c r="N2220" s="1">
        <v>910</v>
      </c>
      <c r="O2220" s="1">
        <f>ABS(Table4[[#This Row],[EndMP]]-Table4[[#This Row],[StartMP]])</f>
        <v>2.9869999999999948</v>
      </c>
      <c r="P2220" s="1" t="str">
        <f>IF( AND( Table4[[#This Row],[Route]]=ClosureLocation!$B$3, ClosureLocation!$B$6 &gt;= Table4[[#This Row],[StartMP]], ClosureLocation!$B$6 &lt;= Table4[[#This Row],[EndMP]]), "Yes", "")</f>
        <v/>
      </c>
      <c r="Q2220" s="1" t="str">
        <f>IF( AND( Table4[[#This Row],[Route]]=ClosureLocation!$B$3, ClosureLocation!$B$6 &lt;= Table4[[#This Row],[StartMP]], ClosureLocation!$B$6 &gt;= Table4[[#This Row],[EndMP]]), "Yes", "")</f>
        <v/>
      </c>
      <c r="R2220" s="1" t="str">
        <f>IF( OR( Table4[[#This Row],[PrimaryMatch]]="Yes", Table4[[#This Row],[SecondaryMatch]]="Yes"), "Yes", "")</f>
        <v/>
      </c>
    </row>
    <row r="2221" spans="1:18" hidden="1" x14ac:dyDescent="0.25">
      <c r="A2221" t="s">
        <v>1313</v>
      </c>
      <c r="B2221" t="s">
        <v>3209</v>
      </c>
      <c r="C2221" t="s">
        <v>3226</v>
      </c>
      <c r="D2221" t="s">
        <v>4150</v>
      </c>
      <c r="E2221" s="1">
        <v>4.883</v>
      </c>
      <c r="F2221" s="1">
        <v>0</v>
      </c>
      <c r="G2221">
        <v>3</v>
      </c>
      <c r="H2221">
        <v>3</v>
      </c>
      <c r="I2221" t="s">
        <v>2985</v>
      </c>
      <c r="J2221" t="s">
        <v>1694</v>
      </c>
      <c r="K2221" s="39">
        <v>3.983206</v>
      </c>
      <c r="L2221" s="1">
        <v>4.0649350000000002</v>
      </c>
      <c r="M2221" s="58" t="s">
        <v>5013</v>
      </c>
      <c r="N2221" s="1">
        <v>995.11699999999996</v>
      </c>
      <c r="O2221" s="1">
        <f>ABS(Table4[[#This Row],[EndMP]]-Table4[[#This Row],[StartMP]])</f>
        <v>4.883</v>
      </c>
      <c r="P2221" s="1" t="str">
        <f>IF( AND( Table4[[#This Row],[Route]]=ClosureLocation!$B$3, ClosureLocation!$B$6 &gt;= Table4[[#This Row],[StartMP]], ClosureLocation!$B$6 &lt;= Table4[[#This Row],[EndMP]]), "Yes", "")</f>
        <v/>
      </c>
      <c r="Q2221" s="1" t="str">
        <f>IF( AND( Table4[[#This Row],[Route]]=ClosureLocation!$B$3, ClosureLocation!$B$6 &lt;= Table4[[#This Row],[StartMP]], ClosureLocation!$B$6 &gt;= Table4[[#This Row],[EndMP]]), "Yes", "")</f>
        <v/>
      </c>
      <c r="R2221" s="1" t="str">
        <f>IF( OR( Table4[[#This Row],[PrimaryMatch]]="Yes", Table4[[#This Row],[SecondaryMatch]]="Yes"), "Yes", "")</f>
        <v/>
      </c>
    </row>
    <row r="2222" spans="1:18" hidden="1" x14ac:dyDescent="0.25">
      <c r="A2222" t="s">
        <v>1516</v>
      </c>
      <c r="B2222" t="s">
        <v>3209</v>
      </c>
      <c r="C2222" t="s">
        <v>3210</v>
      </c>
      <c r="D2222" t="s">
        <v>4296</v>
      </c>
      <c r="E2222" s="1">
        <v>304.27300000000002</v>
      </c>
      <c r="F2222" s="1">
        <v>300.95</v>
      </c>
      <c r="G2222">
        <v>7</v>
      </c>
      <c r="H2222">
        <v>6</v>
      </c>
      <c r="I2222" t="s">
        <v>3115</v>
      </c>
      <c r="J2222" t="s">
        <v>1700</v>
      </c>
      <c r="K2222" s="39">
        <v>3.9828960000000002</v>
      </c>
      <c r="L2222" s="1">
        <v>4.8042619999999996</v>
      </c>
      <c r="M2222" s="1" t="s">
        <v>4302</v>
      </c>
      <c r="N2222" s="1">
        <v>695.72699999999998</v>
      </c>
      <c r="O2222" s="1">
        <f>ABS(Table4[[#This Row],[EndMP]]-Table4[[#This Row],[StartMP]])</f>
        <v>3.3230000000000359</v>
      </c>
      <c r="P2222" s="1" t="str">
        <f>IF( AND( Table4[[#This Row],[Route]]=ClosureLocation!$B$3, ClosureLocation!$B$6 &gt;= Table4[[#This Row],[StartMP]], ClosureLocation!$B$6 &lt;= Table4[[#This Row],[EndMP]]), "Yes", "")</f>
        <v/>
      </c>
      <c r="Q2222" s="1" t="str">
        <f>IF( AND( Table4[[#This Row],[Route]]=ClosureLocation!$B$3, ClosureLocation!$B$6 &lt;= Table4[[#This Row],[StartMP]], ClosureLocation!$B$6 &gt;= Table4[[#This Row],[EndMP]]), "Yes", "")</f>
        <v/>
      </c>
      <c r="R2222" s="1" t="str">
        <f>IF( OR( Table4[[#This Row],[PrimaryMatch]]="Yes", Table4[[#This Row],[SecondaryMatch]]="Yes"), "Yes", "")</f>
        <v/>
      </c>
    </row>
    <row r="2223" spans="1:18" hidden="1" x14ac:dyDescent="0.25">
      <c r="A2223" t="s">
        <v>575</v>
      </c>
      <c r="B2223" t="s">
        <v>3205</v>
      </c>
      <c r="C2223" t="s">
        <v>3222</v>
      </c>
      <c r="D2223" t="s">
        <v>3593</v>
      </c>
      <c r="E2223" s="1">
        <v>386.09399999999999</v>
      </c>
      <c r="F2223" s="1">
        <v>470.31099999999998</v>
      </c>
      <c r="G2223">
        <v>1</v>
      </c>
      <c r="H2223">
        <v>1</v>
      </c>
      <c r="I2223" t="s">
        <v>2394</v>
      </c>
      <c r="J2223" t="s">
        <v>1707</v>
      </c>
      <c r="K2223" s="39">
        <v>3.9576259999999999</v>
      </c>
      <c r="L2223" s="1">
        <v>26.466031000000001</v>
      </c>
      <c r="M2223" s="1" t="s">
        <v>3594</v>
      </c>
      <c r="N2223" s="1">
        <v>386.09399999999999</v>
      </c>
      <c r="O2223" s="1">
        <f>ABS(Table4[[#This Row],[EndMP]]-Table4[[#This Row],[StartMP]])</f>
        <v>84.216999999999985</v>
      </c>
      <c r="P2223" s="1" t="str">
        <f>IF( AND( Table4[[#This Row],[Route]]=ClosureLocation!$B$3, ClosureLocation!$B$6 &gt;= Table4[[#This Row],[StartMP]], ClosureLocation!$B$6 &lt;= Table4[[#This Row],[EndMP]]), "Yes", "")</f>
        <v/>
      </c>
      <c r="Q2223" s="1" t="str">
        <f>IF( AND( Table4[[#This Row],[Route]]=ClosureLocation!$B$3, ClosureLocation!$B$6 &lt;= Table4[[#This Row],[StartMP]], ClosureLocation!$B$6 &gt;= Table4[[#This Row],[EndMP]]), "Yes", "")</f>
        <v/>
      </c>
      <c r="R2223" s="1" t="str">
        <f>IF( OR( Table4[[#This Row],[PrimaryMatch]]="Yes", Table4[[#This Row],[SecondaryMatch]]="Yes"), "Yes", "")</f>
        <v/>
      </c>
    </row>
    <row r="2224" spans="1:18" hidden="1" x14ac:dyDescent="0.25">
      <c r="A2224" t="s">
        <v>575</v>
      </c>
      <c r="B2224" t="s">
        <v>3209</v>
      </c>
      <c r="C2224" t="s">
        <v>3226</v>
      </c>
      <c r="D2224" t="s">
        <v>3596</v>
      </c>
      <c r="E2224" s="1">
        <v>470.31099999999998</v>
      </c>
      <c r="F2224" s="1">
        <v>386.09399999999999</v>
      </c>
      <c r="G2224">
        <v>3</v>
      </c>
      <c r="H2224">
        <v>4</v>
      </c>
      <c r="I2224" t="s">
        <v>2399</v>
      </c>
      <c r="J2224" t="s">
        <v>1707</v>
      </c>
      <c r="K2224" s="39">
        <v>3.9547940000000001</v>
      </c>
      <c r="L2224" s="1">
        <v>26.470098</v>
      </c>
      <c r="M2224" s="1" t="s">
        <v>3598</v>
      </c>
      <c r="N2224" s="1">
        <v>529.68899999999996</v>
      </c>
      <c r="O2224" s="1">
        <f>ABS(Table4[[#This Row],[EndMP]]-Table4[[#This Row],[StartMP]])</f>
        <v>84.216999999999985</v>
      </c>
      <c r="P2224" s="1" t="str">
        <f>IF( AND( Table4[[#This Row],[Route]]=ClosureLocation!$B$3, ClosureLocation!$B$6 &gt;= Table4[[#This Row],[StartMP]], ClosureLocation!$B$6 &lt;= Table4[[#This Row],[EndMP]]), "Yes", "")</f>
        <v/>
      </c>
      <c r="Q2224" s="1" t="str">
        <f>IF( AND( Table4[[#This Row],[Route]]=ClosureLocation!$B$3, ClosureLocation!$B$6 &lt;= Table4[[#This Row],[StartMP]], ClosureLocation!$B$6 &gt;= Table4[[#This Row],[EndMP]]), "Yes", "")</f>
        <v/>
      </c>
      <c r="R2224" s="1" t="str">
        <f>IF( OR( Table4[[#This Row],[PrimaryMatch]]="Yes", Table4[[#This Row],[SecondaryMatch]]="Yes"), "Yes", "")</f>
        <v/>
      </c>
    </row>
    <row r="2225" spans="1:18" hidden="1" x14ac:dyDescent="0.25">
      <c r="A2225" t="s">
        <v>776</v>
      </c>
      <c r="B2225" t="s">
        <v>3209</v>
      </c>
      <c r="C2225" t="s">
        <v>3226</v>
      </c>
      <c r="D2225" t="s">
        <v>3749</v>
      </c>
      <c r="E2225" s="1">
        <v>169.26499999999999</v>
      </c>
      <c r="F2225" s="1">
        <v>166.83099999999999</v>
      </c>
      <c r="G2225">
        <v>36</v>
      </c>
      <c r="H2225">
        <v>89</v>
      </c>
      <c r="I2225" t="s">
        <v>2635</v>
      </c>
      <c r="J2225" t="s">
        <v>1694</v>
      </c>
      <c r="K2225" s="39">
        <v>3.9523190000000001</v>
      </c>
      <c r="L2225" s="1">
        <v>0.45377200000000001</v>
      </c>
      <c r="M2225" s="1" t="s">
        <v>4527</v>
      </c>
      <c r="N2225" s="1">
        <v>830.73500000000001</v>
      </c>
      <c r="O2225" s="1">
        <f>ABS(Table4[[#This Row],[EndMP]]-Table4[[#This Row],[StartMP]])</f>
        <v>2.4339999999999975</v>
      </c>
      <c r="P2225" s="1" t="str">
        <f>IF( AND( Table4[[#This Row],[Route]]=ClosureLocation!$B$3, ClosureLocation!$B$6 &gt;= Table4[[#This Row],[StartMP]], ClosureLocation!$B$6 &lt;= Table4[[#This Row],[EndMP]]), "Yes", "")</f>
        <v/>
      </c>
      <c r="Q2225" s="1" t="str">
        <f>IF( AND( Table4[[#This Row],[Route]]=ClosureLocation!$B$3, ClosureLocation!$B$6 &lt;= Table4[[#This Row],[StartMP]], ClosureLocation!$B$6 &gt;= Table4[[#This Row],[EndMP]]), "Yes", "")</f>
        <v/>
      </c>
      <c r="R2225" s="1" t="str">
        <f>IF( OR( Table4[[#This Row],[PrimaryMatch]]="Yes", Table4[[#This Row],[SecondaryMatch]]="Yes"), "Yes", "")</f>
        <v/>
      </c>
    </row>
    <row r="2226" spans="1:18" hidden="1" x14ac:dyDescent="0.25">
      <c r="A2226" t="s">
        <v>776</v>
      </c>
      <c r="B2226" t="s">
        <v>3209</v>
      </c>
      <c r="C2226" t="s">
        <v>3226</v>
      </c>
      <c r="D2226" t="s">
        <v>3749</v>
      </c>
      <c r="E2226" s="1">
        <v>328</v>
      </c>
      <c r="F2226" s="1">
        <v>322.32499999999999</v>
      </c>
      <c r="G2226">
        <v>12</v>
      </c>
      <c r="H2226">
        <v>65</v>
      </c>
      <c r="I2226" t="s">
        <v>2611</v>
      </c>
      <c r="J2226" t="s">
        <v>1694</v>
      </c>
      <c r="K2226" s="39">
        <v>3.9507249999999998</v>
      </c>
      <c r="L2226" s="1">
        <v>0.36096800000000001</v>
      </c>
      <c r="M2226" s="1" t="s">
        <v>4506</v>
      </c>
      <c r="N2226" s="1">
        <v>672</v>
      </c>
      <c r="O2226" s="1">
        <f>ABS(Table4[[#This Row],[EndMP]]-Table4[[#This Row],[StartMP]])</f>
        <v>5.6750000000000114</v>
      </c>
      <c r="P2226" s="1" t="str">
        <f>IF( AND( Table4[[#This Row],[Route]]=ClosureLocation!$B$3, ClosureLocation!$B$6 &gt;= Table4[[#This Row],[StartMP]], ClosureLocation!$B$6 &lt;= Table4[[#This Row],[EndMP]]), "Yes", "")</f>
        <v/>
      </c>
      <c r="Q2226" s="1" t="str">
        <f>IF( AND( Table4[[#This Row],[Route]]=ClosureLocation!$B$3, ClosureLocation!$B$6 &lt;= Table4[[#This Row],[StartMP]], ClosureLocation!$B$6 &gt;= Table4[[#This Row],[EndMP]]), "Yes", "")</f>
        <v/>
      </c>
      <c r="R2226" s="1" t="str">
        <f>IF( OR( Table4[[#This Row],[PrimaryMatch]]="Yes", Table4[[#This Row],[SecondaryMatch]]="Yes"), "Yes", "")</f>
        <v/>
      </c>
    </row>
    <row r="2227" spans="1:18" hidden="1" x14ac:dyDescent="0.25">
      <c r="A2227" t="s">
        <v>1627</v>
      </c>
      <c r="B2227" t="s">
        <v>3205</v>
      </c>
      <c r="C2227" t="s">
        <v>3206</v>
      </c>
      <c r="D2227" t="s">
        <v>4370</v>
      </c>
      <c r="E2227" s="1">
        <v>6.2679999999999998</v>
      </c>
      <c r="F2227" s="1">
        <v>9.5009999999999994</v>
      </c>
      <c r="G2227">
        <v>3</v>
      </c>
      <c r="H2227">
        <v>1</v>
      </c>
      <c r="I2227" t="s">
        <v>3163</v>
      </c>
      <c r="J2227" t="s">
        <v>1708</v>
      </c>
      <c r="K2227" s="39">
        <v>3.939289</v>
      </c>
      <c r="L2227" s="1">
        <v>4.4065669999999999</v>
      </c>
      <c r="M2227" s="1" t="s">
        <v>4373</v>
      </c>
      <c r="N2227" s="1">
        <v>6.2679999999999998</v>
      </c>
      <c r="O2227" s="1">
        <f>ABS(Table4[[#This Row],[EndMP]]-Table4[[#This Row],[StartMP]])</f>
        <v>3.2329999999999997</v>
      </c>
      <c r="P2227" s="1" t="str">
        <f>IF( AND( Table4[[#This Row],[Route]]=ClosureLocation!$B$3, ClosureLocation!$B$6 &gt;= Table4[[#This Row],[StartMP]], ClosureLocation!$B$6 &lt;= Table4[[#This Row],[EndMP]]), "Yes", "")</f>
        <v/>
      </c>
      <c r="Q2227" s="1" t="str">
        <f>IF( AND( Table4[[#This Row],[Route]]=ClosureLocation!$B$3, ClosureLocation!$B$6 &lt;= Table4[[#This Row],[StartMP]], ClosureLocation!$B$6 &gt;= Table4[[#This Row],[EndMP]]), "Yes", "")</f>
        <v/>
      </c>
      <c r="R2227" s="1" t="str">
        <f>IF( OR( Table4[[#This Row],[PrimaryMatch]]="Yes", Table4[[#This Row],[SecondaryMatch]]="Yes"), "Yes", "")</f>
        <v/>
      </c>
    </row>
    <row r="2228" spans="1:18" hidden="1" x14ac:dyDescent="0.25">
      <c r="A2228" t="s">
        <v>50</v>
      </c>
      <c r="B2228" t="s">
        <v>3205</v>
      </c>
      <c r="C2228" t="s">
        <v>3222</v>
      </c>
      <c r="D2228" t="s">
        <v>3230</v>
      </c>
      <c r="E2228" s="1">
        <v>170.041</v>
      </c>
      <c r="F2228" s="1">
        <v>172.27099999999999</v>
      </c>
      <c r="H2228">
        <v>1</v>
      </c>
      <c r="I2228" t="s">
        <v>2061</v>
      </c>
      <c r="J2228" t="s">
        <v>1724</v>
      </c>
      <c r="K2228" s="39">
        <v>3.9247890000000001</v>
      </c>
      <c r="L2228" s="1">
        <v>5.202388</v>
      </c>
      <c r="M2228" s="1" t="s">
        <v>3232</v>
      </c>
      <c r="N2228" s="1">
        <v>170.041</v>
      </c>
      <c r="O2228" s="1">
        <f>ABS(Table4[[#This Row],[EndMP]]-Table4[[#This Row],[StartMP]])</f>
        <v>2.2299999999999898</v>
      </c>
      <c r="P2228" s="1" t="str">
        <f>IF( AND( Table4[[#This Row],[Route]]=ClosureLocation!$B$3, ClosureLocation!$B$6 &gt;= Table4[[#This Row],[StartMP]], ClosureLocation!$B$6 &lt;= Table4[[#This Row],[EndMP]]), "Yes", "")</f>
        <v/>
      </c>
      <c r="Q2228" s="1" t="str">
        <f>IF( AND( Table4[[#This Row],[Route]]=ClosureLocation!$B$3, ClosureLocation!$B$6 &lt;= Table4[[#This Row],[StartMP]], ClosureLocation!$B$6 &gt;= Table4[[#This Row],[EndMP]]), "Yes", "")</f>
        <v/>
      </c>
      <c r="R2228" s="1" t="str">
        <f>IF( OR( Table4[[#This Row],[PrimaryMatch]]="Yes", Table4[[#This Row],[SecondaryMatch]]="Yes"), "Yes", "")</f>
        <v/>
      </c>
    </row>
    <row r="2229" spans="1:18" hidden="1" x14ac:dyDescent="0.25">
      <c r="A2229" t="s">
        <v>917</v>
      </c>
      <c r="B2229" t="s">
        <v>3209</v>
      </c>
      <c r="C2229" t="s">
        <v>3226</v>
      </c>
      <c r="D2229" t="s">
        <v>3840</v>
      </c>
      <c r="E2229" s="1">
        <v>91.361000000000004</v>
      </c>
      <c r="F2229" s="1">
        <v>89.882000000000005</v>
      </c>
      <c r="G2229">
        <v>7</v>
      </c>
      <c r="H2229">
        <v>29</v>
      </c>
      <c r="I2229" t="s">
        <v>2732</v>
      </c>
      <c r="J2229" t="s">
        <v>1694</v>
      </c>
      <c r="K2229" s="39">
        <v>3.9062779999999999</v>
      </c>
      <c r="L2229" s="1">
        <v>1.534357</v>
      </c>
      <c r="M2229" s="1" t="s">
        <v>4978</v>
      </c>
      <c r="N2229" s="1">
        <v>908.63900000000001</v>
      </c>
      <c r="O2229" s="1">
        <f>ABS(Table4[[#This Row],[EndMP]]-Table4[[#This Row],[StartMP]])</f>
        <v>1.4789999999999992</v>
      </c>
      <c r="P2229" s="1" t="str">
        <f>IF( AND( Table4[[#This Row],[Route]]=ClosureLocation!$B$3, ClosureLocation!$B$6 &gt;= Table4[[#This Row],[StartMP]], ClosureLocation!$B$6 &lt;= Table4[[#This Row],[EndMP]]), "Yes", "")</f>
        <v/>
      </c>
      <c r="Q2229" s="1" t="str">
        <f>IF( AND( Table4[[#This Row],[Route]]=ClosureLocation!$B$3, ClosureLocation!$B$6 &lt;= Table4[[#This Row],[StartMP]], ClosureLocation!$B$6 &gt;= Table4[[#This Row],[EndMP]]), "Yes", "")</f>
        <v/>
      </c>
      <c r="R2229" s="1" t="str">
        <f>IF( OR( Table4[[#This Row],[PrimaryMatch]]="Yes", Table4[[#This Row],[SecondaryMatch]]="Yes"), "Yes", "")</f>
        <v/>
      </c>
    </row>
    <row r="2230" spans="1:18" hidden="1" x14ac:dyDescent="0.25">
      <c r="A2230" t="s">
        <v>310</v>
      </c>
      <c r="B2230" t="s">
        <v>3209</v>
      </c>
      <c r="C2230" t="s">
        <v>3210</v>
      </c>
      <c r="D2230" t="s">
        <v>3444</v>
      </c>
      <c r="E2230" s="1">
        <v>203.22499999999999</v>
      </c>
      <c r="F2230" s="1">
        <v>201.96799999999999</v>
      </c>
      <c r="G2230">
        <v>20</v>
      </c>
      <c r="H2230">
        <v>14</v>
      </c>
      <c r="I2230" t="s">
        <v>2259</v>
      </c>
      <c r="J2230" t="s">
        <v>1700</v>
      </c>
      <c r="K2230" s="39">
        <v>3.9046430000000001</v>
      </c>
      <c r="L2230" s="1">
        <v>0.72494700000000001</v>
      </c>
      <c r="M2230" s="1" t="s">
        <v>3457</v>
      </c>
      <c r="N2230" s="1">
        <v>796.77499999999998</v>
      </c>
      <c r="O2230" s="1">
        <f>ABS(Table4[[#This Row],[EndMP]]-Table4[[#This Row],[StartMP]])</f>
        <v>1.257000000000005</v>
      </c>
      <c r="P2230" s="1" t="str">
        <f>IF( AND( Table4[[#This Row],[Route]]=ClosureLocation!$B$3, ClosureLocation!$B$6 &gt;= Table4[[#This Row],[StartMP]], ClosureLocation!$B$6 &lt;= Table4[[#This Row],[EndMP]]), "Yes", "")</f>
        <v/>
      </c>
      <c r="Q2230" s="1" t="str">
        <f>IF( AND( Table4[[#This Row],[Route]]=ClosureLocation!$B$3, ClosureLocation!$B$6 &lt;= Table4[[#This Row],[StartMP]], ClosureLocation!$B$6 &gt;= Table4[[#This Row],[EndMP]]), "Yes", "")</f>
        <v/>
      </c>
      <c r="R2230" s="1" t="str">
        <f>IF( OR( Table4[[#This Row],[PrimaryMatch]]="Yes", Table4[[#This Row],[SecondaryMatch]]="Yes"), "Yes", "")</f>
        <v/>
      </c>
    </row>
    <row r="2231" spans="1:18" hidden="1" x14ac:dyDescent="0.25">
      <c r="A2231" t="s">
        <v>981</v>
      </c>
      <c r="B2231" t="s">
        <v>3209</v>
      </c>
      <c r="C2231" t="s">
        <v>3210</v>
      </c>
      <c r="D2231" t="s">
        <v>3878</v>
      </c>
      <c r="E2231" s="1">
        <v>206.63399999999999</v>
      </c>
      <c r="F2231" s="1">
        <v>204.93</v>
      </c>
      <c r="G2231">
        <v>2</v>
      </c>
      <c r="H2231">
        <v>5</v>
      </c>
      <c r="I2231" t="s">
        <v>2775</v>
      </c>
      <c r="J2231" t="s">
        <v>1704</v>
      </c>
      <c r="K2231" s="39">
        <v>3.8888699999999998</v>
      </c>
      <c r="L2231" s="1">
        <v>1.582195</v>
      </c>
      <c r="M2231" s="1" t="s">
        <v>3880</v>
      </c>
      <c r="N2231" s="1">
        <v>793.36599999999999</v>
      </c>
      <c r="O2231" s="1">
        <f>ABS(Table4[[#This Row],[EndMP]]-Table4[[#This Row],[StartMP]])</f>
        <v>1.7039999999999793</v>
      </c>
      <c r="P2231" s="1" t="str">
        <f>IF( AND( Table4[[#This Row],[Route]]=ClosureLocation!$B$3, ClosureLocation!$B$6 &gt;= Table4[[#This Row],[StartMP]], ClosureLocation!$B$6 &lt;= Table4[[#This Row],[EndMP]]), "Yes", "")</f>
        <v/>
      </c>
      <c r="Q2231" s="1" t="str">
        <f>IF( AND( Table4[[#This Row],[Route]]=ClosureLocation!$B$3, ClosureLocation!$B$6 &lt;= Table4[[#This Row],[StartMP]], ClosureLocation!$B$6 &gt;= Table4[[#This Row],[EndMP]]), "Yes", "")</f>
        <v/>
      </c>
      <c r="R2231" s="1" t="str">
        <f>IF( OR( Table4[[#This Row],[PrimaryMatch]]="Yes", Table4[[#This Row],[SecondaryMatch]]="Yes"), "Yes", "")</f>
        <v/>
      </c>
    </row>
    <row r="2232" spans="1:18" hidden="1" x14ac:dyDescent="0.25">
      <c r="A2232" t="s">
        <v>722</v>
      </c>
      <c r="B2232" t="s">
        <v>3209</v>
      </c>
      <c r="C2232" t="s">
        <v>3226</v>
      </c>
      <c r="D2232" t="s">
        <v>3704</v>
      </c>
      <c r="E2232" s="1">
        <v>20.202999999999999</v>
      </c>
      <c r="F2232" s="1">
        <v>5.9320000000000004</v>
      </c>
      <c r="G2232">
        <v>1</v>
      </c>
      <c r="H2232">
        <v>3</v>
      </c>
      <c r="I2232" t="s">
        <v>2517</v>
      </c>
      <c r="J2232" t="s">
        <v>1699</v>
      </c>
      <c r="K2232" s="39">
        <v>3.886317</v>
      </c>
      <c r="L2232" s="1">
        <v>6.6154330000000003</v>
      </c>
      <c r="M2232" s="1" t="s">
        <v>3705</v>
      </c>
      <c r="N2232" s="1">
        <v>979.79700000000003</v>
      </c>
      <c r="O2232" s="1">
        <f>ABS(Table4[[#This Row],[EndMP]]-Table4[[#This Row],[StartMP]])</f>
        <v>14.270999999999999</v>
      </c>
      <c r="P2232" s="1" t="str">
        <f>IF( AND( Table4[[#This Row],[Route]]=ClosureLocation!$B$3, ClosureLocation!$B$6 &gt;= Table4[[#This Row],[StartMP]], ClosureLocation!$B$6 &lt;= Table4[[#This Row],[EndMP]]), "Yes", "")</f>
        <v/>
      </c>
      <c r="Q2232" s="1" t="str">
        <f>IF( AND( Table4[[#This Row],[Route]]=ClosureLocation!$B$3, ClosureLocation!$B$6 &lt;= Table4[[#This Row],[StartMP]], ClosureLocation!$B$6 &gt;= Table4[[#This Row],[EndMP]]), "Yes", "")</f>
        <v/>
      </c>
      <c r="R2232" s="1" t="str">
        <f>IF( OR( Table4[[#This Row],[PrimaryMatch]]="Yes", Table4[[#This Row],[SecondaryMatch]]="Yes"), "Yes", "")</f>
        <v/>
      </c>
    </row>
    <row r="2233" spans="1:18" hidden="1" x14ac:dyDescent="0.25">
      <c r="A2233" t="s">
        <v>1627</v>
      </c>
      <c r="B2233" t="s">
        <v>3209</v>
      </c>
      <c r="C2233" t="s">
        <v>3210</v>
      </c>
      <c r="D2233" t="s">
        <v>4374</v>
      </c>
      <c r="E2233" s="1">
        <v>5.08</v>
      </c>
      <c r="F2233" s="1">
        <v>5.8999999999999997E-2</v>
      </c>
      <c r="G2233">
        <v>3</v>
      </c>
      <c r="H2233">
        <v>4</v>
      </c>
      <c r="I2233" t="s">
        <v>3166</v>
      </c>
      <c r="J2233" t="s">
        <v>1708</v>
      </c>
      <c r="K2233" s="39">
        <v>3.8839260000000002</v>
      </c>
      <c r="L2233" s="1">
        <v>2.9907720000000002</v>
      </c>
      <c r="M2233" s="1" t="s">
        <v>4377</v>
      </c>
      <c r="N2233" s="1">
        <v>994.92</v>
      </c>
      <c r="O2233" s="1">
        <f>ABS(Table4[[#This Row],[EndMP]]-Table4[[#This Row],[StartMP]])</f>
        <v>5.0209999999999999</v>
      </c>
      <c r="P2233" s="1" t="str">
        <f>IF( AND( Table4[[#This Row],[Route]]=ClosureLocation!$B$3, ClosureLocation!$B$6 &gt;= Table4[[#This Row],[StartMP]], ClosureLocation!$B$6 &lt;= Table4[[#This Row],[EndMP]]), "Yes", "")</f>
        <v/>
      </c>
      <c r="Q2233" s="1" t="str">
        <f>IF( AND( Table4[[#This Row],[Route]]=ClosureLocation!$B$3, ClosureLocation!$B$6 &lt;= Table4[[#This Row],[StartMP]], ClosureLocation!$B$6 &gt;= Table4[[#This Row],[EndMP]]), "Yes", "")</f>
        <v/>
      </c>
      <c r="R2233" s="1" t="str">
        <f>IF( OR( Table4[[#This Row],[PrimaryMatch]]="Yes", Table4[[#This Row],[SecondaryMatch]]="Yes"), "Yes", "")</f>
        <v/>
      </c>
    </row>
    <row r="2234" spans="1:18" hidden="1" x14ac:dyDescent="0.25">
      <c r="A2234" t="s">
        <v>917</v>
      </c>
      <c r="B2234" t="s">
        <v>3205</v>
      </c>
      <c r="C2234" t="s">
        <v>3222</v>
      </c>
      <c r="D2234" t="s">
        <v>3837</v>
      </c>
      <c r="E2234" s="1">
        <v>3.5750000000000002</v>
      </c>
      <c r="F2234" s="1">
        <v>5.1779999999999999</v>
      </c>
      <c r="G2234">
        <v>3</v>
      </c>
      <c r="H2234">
        <v>3</v>
      </c>
      <c r="I2234" t="s">
        <v>2706</v>
      </c>
      <c r="J2234" t="s">
        <v>1694</v>
      </c>
      <c r="K2234" s="39">
        <v>3.8760460000000001</v>
      </c>
      <c r="L2234" s="1">
        <v>1.9660839999999999</v>
      </c>
      <c r="M2234" s="1" t="s">
        <v>4954</v>
      </c>
      <c r="N2234" s="1">
        <v>3.5750000000000002</v>
      </c>
      <c r="O2234" s="1">
        <f>ABS(Table4[[#This Row],[EndMP]]-Table4[[#This Row],[StartMP]])</f>
        <v>1.6029999999999998</v>
      </c>
      <c r="P2234" s="1" t="str">
        <f>IF( AND( Table4[[#This Row],[Route]]=ClosureLocation!$B$3, ClosureLocation!$B$6 &gt;= Table4[[#This Row],[StartMP]], ClosureLocation!$B$6 &lt;= Table4[[#This Row],[EndMP]]), "Yes", "")</f>
        <v/>
      </c>
      <c r="Q2234" s="1" t="str">
        <f>IF( AND( Table4[[#This Row],[Route]]=ClosureLocation!$B$3, ClosureLocation!$B$6 &lt;= Table4[[#This Row],[StartMP]], ClosureLocation!$B$6 &gt;= Table4[[#This Row],[EndMP]]), "Yes", "")</f>
        <v/>
      </c>
      <c r="R2234" s="1" t="str">
        <f>IF( OR( Table4[[#This Row],[PrimaryMatch]]="Yes", Table4[[#This Row],[SecondaryMatch]]="Yes"), "Yes", "")</f>
        <v/>
      </c>
    </row>
    <row r="2235" spans="1:18" hidden="1" x14ac:dyDescent="0.25">
      <c r="A2235" t="s">
        <v>602</v>
      </c>
      <c r="B2235" t="s">
        <v>3209</v>
      </c>
      <c r="C2235" t="s">
        <v>3226</v>
      </c>
      <c r="D2235" t="s">
        <v>3626</v>
      </c>
      <c r="E2235" s="1">
        <v>31.827000000000002</v>
      </c>
      <c r="F2235" s="1">
        <v>31.76</v>
      </c>
      <c r="G2235">
        <v>18</v>
      </c>
      <c r="H2235">
        <v>14</v>
      </c>
      <c r="I2235" t="s">
        <v>2443</v>
      </c>
      <c r="J2235" t="s">
        <v>1700</v>
      </c>
      <c r="K2235" s="39">
        <v>3.871524</v>
      </c>
      <c r="L2235" s="1">
        <v>2.3247469999999999</v>
      </c>
      <c r="M2235" s="1" t="s">
        <v>3637</v>
      </c>
      <c r="N2235" s="1">
        <v>968.173</v>
      </c>
      <c r="O2235" s="1">
        <f>ABS(Table4[[#This Row],[EndMP]]-Table4[[#This Row],[StartMP]])</f>
        <v>6.7000000000000171E-2</v>
      </c>
      <c r="P2235" s="1" t="str">
        <f>IF( AND( Table4[[#This Row],[Route]]=ClosureLocation!$B$3, ClosureLocation!$B$6 &gt;= Table4[[#This Row],[StartMP]], ClosureLocation!$B$6 &lt;= Table4[[#This Row],[EndMP]]), "Yes", "")</f>
        <v/>
      </c>
      <c r="Q2235" s="1" t="str">
        <f>IF( AND( Table4[[#This Row],[Route]]=ClosureLocation!$B$3, ClosureLocation!$B$6 &lt;= Table4[[#This Row],[StartMP]], ClosureLocation!$B$6 &gt;= Table4[[#This Row],[EndMP]]), "Yes", "")</f>
        <v/>
      </c>
      <c r="R2235" s="1" t="str">
        <f>IF( OR( Table4[[#This Row],[PrimaryMatch]]="Yes", Table4[[#This Row],[SecondaryMatch]]="Yes"), "Yes", "")</f>
        <v/>
      </c>
    </row>
    <row r="2236" spans="1:18" hidden="1" x14ac:dyDescent="0.25">
      <c r="A2236" t="s">
        <v>394</v>
      </c>
      <c r="B2236" t="s">
        <v>3205</v>
      </c>
      <c r="C2236" t="s">
        <v>3222</v>
      </c>
      <c r="D2236" t="s">
        <v>3477</v>
      </c>
      <c r="E2236" s="1">
        <v>113.25</v>
      </c>
      <c r="F2236" s="1">
        <v>115.746</v>
      </c>
      <c r="G2236">
        <v>9</v>
      </c>
      <c r="H2236">
        <v>3</v>
      </c>
      <c r="I2236" t="s">
        <v>2295</v>
      </c>
      <c r="J2236" t="s">
        <v>1704</v>
      </c>
      <c r="K2236" s="39">
        <v>3.8460640000000001</v>
      </c>
      <c r="L2236" s="1">
        <v>1.6259479999999999</v>
      </c>
      <c r="M2236" s="1" t="s">
        <v>3485</v>
      </c>
      <c r="N2236" s="1">
        <v>113.25</v>
      </c>
      <c r="O2236" s="1">
        <f>ABS(Table4[[#This Row],[EndMP]]-Table4[[#This Row],[StartMP]])</f>
        <v>2.4959999999999951</v>
      </c>
      <c r="P2236" s="1" t="str">
        <f>IF( AND( Table4[[#This Row],[Route]]=ClosureLocation!$B$3, ClosureLocation!$B$6 &gt;= Table4[[#This Row],[StartMP]], ClosureLocation!$B$6 &lt;= Table4[[#This Row],[EndMP]]), "Yes", "")</f>
        <v/>
      </c>
      <c r="Q2236" s="1" t="str">
        <f>IF( AND( Table4[[#This Row],[Route]]=ClosureLocation!$B$3, ClosureLocation!$B$6 &lt;= Table4[[#This Row],[StartMP]], ClosureLocation!$B$6 &gt;= Table4[[#This Row],[EndMP]]), "Yes", "")</f>
        <v/>
      </c>
      <c r="R2236" s="1" t="str">
        <f>IF( OR( Table4[[#This Row],[PrimaryMatch]]="Yes", Table4[[#This Row],[SecondaryMatch]]="Yes"), "Yes", "")</f>
        <v/>
      </c>
    </row>
    <row r="2237" spans="1:18" hidden="1" x14ac:dyDescent="0.25">
      <c r="A2237" t="s">
        <v>873</v>
      </c>
      <c r="B2237" t="s">
        <v>3205</v>
      </c>
      <c r="C2237" t="s">
        <v>3222</v>
      </c>
      <c r="D2237" t="s">
        <v>3791</v>
      </c>
      <c r="E2237" s="1">
        <v>0.13700000000000001</v>
      </c>
      <c r="F2237" s="1">
        <v>0.217</v>
      </c>
      <c r="G2237">
        <v>1</v>
      </c>
      <c r="H2237">
        <v>1</v>
      </c>
      <c r="I2237" t="s">
        <v>2676</v>
      </c>
      <c r="J2237" t="s">
        <v>1699</v>
      </c>
      <c r="K2237" s="39">
        <v>3.8419089999999998</v>
      </c>
      <c r="L2237" s="1">
        <v>2.9309440000000002</v>
      </c>
      <c r="M2237" s="1" t="s">
        <v>3792</v>
      </c>
      <c r="N2237" s="1">
        <v>0.13700000000000001</v>
      </c>
      <c r="O2237" s="1">
        <f>ABS(Table4[[#This Row],[EndMP]]-Table4[[#This Row],[StartMP]])</f>
        <v>7.9999999999999988E-2</v>
      </c>
      <c r="P2237" s="1" t="str">
        <f>IF( AND( Table4[[#This Row],[Route]]=ClosureLocation!$B$3, ClosureLocation!$B$6 &gt;= Table4[[#This Row],[StartMP]], ClosureLocation!$B$6 &lt;= Table4[[#This Row],[EndMP]]), "Yes", "")</f>
        <v/>
      </c>
      <c r="Q2237" s="1" t="str">
        <f>IF( AND( Table4[[#This Row],[Route]]=ClosureLocation!$B$3, ClosureLocation!$B$6 &lt;= Table4[[#This Row],[StartMP]], ClosureLocation!$B$6 &gt;= Table4[[#This Row],[EndMP]]), "Yes", "")</f>
        <v/>
      </c>
      <c r="R2237" s="1" t="str">
        <f>IF( OR( Table4[[#This Row],[PrimaryMatch]]="Yes", Table4[[#This Row],[SecondaryMatch]]="Yes"), "Yes", "")</f>
        <v/>
      </c>
    </row>
    <row r="2238" spans="1:18" hidden="1" x14ac:dyDescent="0.25">
      <c r="A2238" t="s">
        <v>693</v>
      </c>
      <c r="B2238" t="s">
        <v>3209</v>
      </c>
      <c r="C2238" t="s">
        <v>3210</v>
      </c>
      <c r="D2238" t="s">
        <v>3665</v>
      </c>
      <c r="E2238" s="1">
        <v>87.116</v>
      </c>
      <c r="F2238" s="1">
        <v>86.98</v>
      </c>
      <c r="G2238">
        <v>2</v>
      </c>
      <c r="H2238">
        <v>5</v>
      </c>
      <c r="I2238" t="s">
        <v>2493</v>
      </c>
      <c r="J2238" t="s">
        <v>1690</v>
      </c>
      <c r="K2238" s="39">
        <v>3.8193320000000002</v>
      </c>
      <c r="L2238" s="1">
        <v>2.6608459999999998</v>
      </c>
      <c r="M2238" s="1" t="s">
        <v>3667</v>
      </c>
      <c r="N2238" s="1">
        <v>912.88400000000001</v>
      </c>
      <c r="O2238" s="1">
        <f>ABS(Table4[[#This Row],[EndMP]]-Table4[[#This Row],[StartMP]])</f>
        <v>0.13599999999999568</v>
      </c>
      <c r="P2238" s="1" t="str">
        <f>IF( AND( Table4[[#This Row],[Route]]=ClosureLocation!$B$3, ClosureLocation!$B$6 &gt;= Table4[[#This Row],[StartMP]], ClosureLocation!$B$6 &lt;= Table4[[#This Row],[EndMP]]), "Yes", "")</f>
        <v/>
      </c>
      <c r="Q2238" s="1" t="str">
        <f>IF( AND( Table4[[#This Row],[Route]]=ClosureLocation!$B$3, ClosureLocation!$B$6 &lt;= Table4[[#This Row],[StartMP]], ClosureLocation!$B$6 &gt;= Table4[[#This Row],[EndMP]]), "Yes", "")</f>
        <v/>
      </c>
      <c r="R2238" s="1" t="str">
        <f>IF( OR( Table4[[#This Row],[PrimaryMatch]]="Yes", Table4[[#This Row],[SecondaryMatch]]="Yes"), "Yes", "")</f>
        <v/>
      </c>
    </row>
    <row r="2239" spans="1:18" hidden="1" x14ac:dyDescent="0.25">
      <c r="A2239" t="s">
        <v>546</v>
      </c>
      <c r="B2239" t="s">
        <v>3209</v>
      </c>
      <c r="C2239" t="s">
        <v>3226</v>
      </c>
      <c r="D2239" t="s">
        <v>3585</v>
      </c>
      <c r="E2239" s="1">
        <v>306.32100000000003</v>
      </c>
      <c r="F2239" s="1">
        <v>300.625</v>
      </c>
      <c r="H2239">
        <v>2</v>
      </c>
      <c r="I2239" t="s">
        <v>2387</v>
      </c>
      <c r="J2239" t="s">
        <v>1702</v>
      </c>
      <c r="K2239" s="39">
        <v>3.813876</v>
      </c>
      <c r="L2239" s="1">
        <v>4.9404649999999997</v>
      </c>
      <c r="M2239" s="1" t="s">
        <v>3586</v>
      </c>
      <c r="N2239" s="1">
        <v>693.67899999999997</v>
      </c>
      <c r="O2239" s="1">
        <f>ABS(Table4[[#This Row],[EndMP]]-Table4[[#This Row],[StartMP]])</f>
        <v>5.6960000000000264</v>
      </c>
      <c r="P2239" s="1" t="str">
        <f>IF( AND( Table4[[#This Row],[Route]]=ClosureLocation!$B$3, ClosureLocation!$B$6 &gt;= Table4[[#This Row],[StartMP]], ClosureLocation!$B$6 &lt;= Table4[[#This Row],[EndMP]]), "Yes", "")</f>
        <v/>
      </c>
      <c r="Q2239" s="1" t="str">
        <f>IF( AND( Table4[[#This Row],[Route]]=ClosureLocation!$B$3, ClosureLocation!$B$6 &lt;= Table4[[#This Row],[StartMP]], ClosureLocation!$B$6 &gt;= Table4[[#This Row],[EndMP]]), "Yes", "")</f>
        <v/>
      </c>
      <c r="R2239" s="1" t="str">
        <f>IF( OR( Table4[[#This Row],[PrimaryMatch]]="Yes", Table4[[#This Row],[SecondaryMatch]]="Yes"), "Yes", "")</f>
        <v/>
      </c>
    </row>
    <row r="2240" spans="1:18" hidden="1" x14ac:dyDescent="0.25">
      <c r="A2240" t="s">
        <v>546</v>
      </c>
      <c r="B2240" t="s">
        <v>3209</v>
      </c>
      <c r="C2240" t="s">
        <v>3226</v>
      </c>
      <c r="D2240" t="s">
        <v>3585</v>
      </c>
      <c r="E2240" s="1">
        <v>296.55599999999998</v>
      </c>
      <c r="F2240" s="1">
        <v>296.41000000000003</v>
      </c>
      <c r="H2240">
        <v>4</v>
      </c>
      <c r="I2240" t="s">
        <v>2389</v>
      </c>
      <c r="J2240" t="s">
        <v>1704</v>
      </c>
      <c r="K2240" s="39">
        <v>3.8126220000000002</v>
      </c>
      <c r="L2240" s="1">
        <v>2.3170790000000001</v>
      </c>
      <c r="M2240" s="1" t="s">
        <v>3588</v>
      </c>
      <c r="N2240" s="1">
        <v>703.44399999999996</v>
      </c>
      <c r="O2240" s="1">
        <f>ABS(Table4[[#This Row],[EndMP]]-Table4[[#This Row],[StartMP]])</f>
        <v>0.14599999999995816</v>
      </c>
      <c r="P2240" s="1" t="str">
        <f>IF( AND( Table4[[#This Row],[Route]]=ClosureLocation!$B$3, ClosureLocation!$B$6 &gt;= Table4[[#This Row],[StartMP]], ClosureLocation!$B$6 &lt;= Table4[[#This Row],[EndMP]]), "Yes", "")</f>
        <v/>
      </c>
      <c r="Q2240" s="1" t="str">
        <f>IF( AND( Table4[[#This Row],[Route]]=ClosureLocation!$B$3, ClosureLocation!$B$6 &lt;= Table4[[#This Row],[StartMP]], ClosureLocation!$B$6 &gt;= Table4[[#This Row],[EndMP]]), "Yes", "")</f>
        <v/>
      </c>
      <c r="R2240" s="1" t="str">
        <f>IF( OR( Table4[[#This Row],[PrimaryMatch]]="Yes", Table4[[#This Row],[SecondaryMatch]]="Yes"), "Yes", "")</f>
        <v/>
      </c>
    </row>
    <row r="2241" spans="1:18" hidden="1" x14ac:dyDescent="0.25">
      <c r="A2241" t="s">
        <v>917</v>
      </c>
      <c r="B2241" t="s">
        <v>3209</v>
      </c>
      <c r="C2241" t="s">
        <v>3226</v>
      </c>
      <c r="D2241" t="s">
        <v>3840</v>
      </c>
      <c r="E2241" s="1">
        <v>79.006</v>
      </c>
      <c r="F2241" s="1">
        <v>75.62</v>
      </c>
      <c r="G2241">
        <v>10</v>
      </c>
      <c r="H2241">
        <v>32</v>
      </c>
      <c r="I2241" t="s">
        <v>2735</v>
      </c>
      <c r="J2241" t="s">
        <v>1694</v>
      </c>
      <c r="K2241" s="39">
        <v>3.80322</v>
      </c>
      <c r="L2241" s="1">
        <v>0.56042400000000003</v>
      </c>
      <c r="M2241" s="1" t="s">
        <v>4981</v>
      </c>
      <c r="N2241" s="1">
        <v>920.99400000000003</v>
      </c>
      <c r="O2241" s="1">
        <f>ABS(Table4[[#This Row],[EndMP]]-Table4[[#This Row],[StartMP]])</f>
        <v>3.3859999999999957</v>
      </c>
      <c r="P2241" s="1" t="str">
        <f>IF( AND( Table4[[#This Row],[Route]]=ClosureLocation!$B$3, ClosureLocation!$B$6 &gt;= Table4[[#This Row],[StartMP]], ClosureLocation!$B$6 &lt;= Table4[[#This Row],[EndMP]]), "Yes", "")</f>
        <v/>
      </c>
      <c r="Q2241" s="1" t="str">
        <f>IF( AND( Table4[[#This Row],[Route]]=ClosureLocation!$B$3, ClosureLocation!$B$6 &lt;= Table4[[#This Row],[StartMP]], ClosureLocation!$B$6 &gt;= Table4[[#This Row],[EndMP]]), "Yes", "")</f>
        <v/>
      </c>
      <c r="R2241" s="1" t="str">
        <f>IF( OR( Table4[[#This Row],[PrimaryMatch]]="Yes", Table4[[#This Row],[SecondaryMatch]]="Yes"), "Yes", "")</f>
        <v/>
      </c>
    </row>
    <row r="2242" spans="1:18" hidden="1" x14ac:dyDescent="0.25">
      <c r="A2242" t="s">
        <v>722</v>
      </c>
      <c r="B2242" t="s">
        <v>3205</v>
      </c>
      <c r="C2242" t="s">
        <v>3222</v>
      </c>
      <c r="D2242" t="s">
        <v>3701</v>
      </c>
      <c r="E2242" s="1">
        <v>11.853</v>
      </c>
      <c r="F2242" s="1">
        <v>20.202999999999999</v>
      </c>
      <c r="G2242">
        <v>2</v>
      </c>
      <c r="H2242">
        <v>2</v>
      </c>
      <c r="I2242" t="s">
        <v>2516</v>
      </c>
      <c r="J2242" t="s">
        <v>1699</v>
      </c>
      <c r="K2242" s="39">
        <v>3.7997860000000001</v>
      </c>
      <c r="L2242" s="1">
        <v>6.6397589999999997</v>
      </c>
      <c r="M2242" s="1" t="s">
        <v>3703</v>
      </c>
      <c r="N2242" s="1">
        <v>11.853</v>
      </c>
      <c r="O2242" s="1">
        <f>ABS(Table4[[#This Row],[EndMP]]-Table4[[#This Row],[StartMP]])</f>
        <v>8.35</v>
      </c>
      <c r="P2242" s="1" t="str">
        <f>IF( AND( Table4[[#This Row],[Route]]=ClosureLocation!$B$3, ClosureLocation!$B$6 &gt;= Table4[[#This Row],[StartMP]], ClosureLocation!$B$6 &lt;= Table4[[#This Row],[EndMP]]), "Yes", "")</f>
        <v/>
      </c>
      <c r="Q2242" s="1" t="str">
        <f>IF( AND( Table4[[#This Row],[Route]]=ClosureLocation!$B$3, ClosureLocation!$B$6 &lt;= Table4[[#This Row],[StartMP]], ClosureLocation!$B$6 &gt;= Table4[[#This Row],[EndMP]]), "Yes", "")</f>
        <v/>
      </c>
      <c r="R2242" s="1" t="str">
        <f>IF( OR( Table4[[#This Row],[PrimaryMatch]]="Yes", Table4[[#This Row],[SecondaryMatch]]="Yes"), "Yes", "")</f>
        <v/>
      </c>
    </row>
    <row r="2243" spans="1:18" hidden="1" x14ac:dyDescent="0.25">
      <c r="A2243" t="s">
        <v>1548</v>
      </c>
      <c r="B2243" t="s">
        <v>3209</v>
      </c>
      <c r="C2243" t="s">
        <v>3210</v>
      </c>
      <c r="D2243" t="s">
        <v>4308</v>
      </c>
      <c r="E2243" s="1">
        <v>9.1349999999999998</v>
      </c>
      <c r="F2243" s="1">
        <v>0</v>
      </c>
      <c r="G2243">
        <v>1</v>
      </c>
      <c r="H2243">
        <v>2</v>
      </c>
      <c r="I2243" t="s">
        <v>3120</v>
      </c>
      <c r="J2243" t="s">
        <v>1691</v>
      </c>
      <c r="K2243" s="39">
        <v>3.7736529999999999</v>
      </c>
      <c r="L2243" s="1">
        <v>3.4673929999999999</v>
      </c>
      <c r="M2243" s="1" t="s">
        <v>4309</v>
      </c>
      <c r="N2243" s="1">
        <v>990.86500000000001</v>
      </c>
      <c r="O2243" s="1">
        <f>ABS(Table4[[#This Row],[EndMP]]-Table4[[#This Row],[StartMP]])</f>
        <v>9.1349999999999998</v>
      </c>
      <c r="P2243" s="1" t="str">
        <f>IF( AND( Table4[[#This Row],[Route]]=ClosureLocation!$B$3, ClosureLocation!$B$6 &gt;= Table4[[#This Row],[StartMP]], ClosureLocation!$B$6 &lt;= Table4[[#This Row],[EndMP]]), "Yes", "")</f>
        <v/>
      </c>
      <c r="Q2243" s="1" t="str">
        <f>IF( AND( Table4[[#This Row],[Route]]=ClosureLocation!$B$3, ClosureLocation!$B$6 &lt;= Table4[[#This Row],[StartMP]], ClosureLocation!$B$6 &gt;= Table4[[#This Row],[EndMP]]), "Yes", "")</f>
        <v/>
      </c>
      <c r="R2243" s="1" t="str">
        <f>IF( OR( Table4[[#This Row],[PrimaryMatch]]="Yes", Table4[[#This Row],[SecondaryMatch]]="Yes"), "Yes", "")</f>
        <v/>
      </c>
    </row>
    <row r="2244" spans="1:18" hidden="1" x14ac:dyDescent="0.25">
      <c r="A2244" t="s">
        <v>873</v>
      </c>
      <c r="B2244" t="s">
        <v>3209</v>
      </c>
      <c r="C2244" t="s">
        <v>3226</v>
      </c>
      <c r="D2244" t="s">
        <v>3793</v>
      </c>
      <c r="E2244" s="1">
        <v>0.217</v>
      </c>
      <c r="F2244" s="1">
        <v>0.13700000000000001</v>
      </c>
      <c r="G2244">
        <v>1</v>
      </c>
      <c r="H2244">
        <v>4</v>
      </c>
      <c r="I2244" t="s">
        <v>2677</v>
      </c>
      <c r="J2244" t="s">
        <v>1699</v>
      </c>
      <c r="K2244" s="39">
        <v>3.76166</v>
      </c>
      <c r="L2244" s="1">
        <v>2.8525870000000002</v>
      </c>
      <c r="M2244" s="1" t="s">
        <v>3794</v>
      </c>
      <c r="N2244" s="1">
        <v>999.78300000000002</v>
      </c>
      <c r="O2244" s="1">
        <f>ABS(Table4[[#This Row],[EndMP]]-Table4[[#This Row],[StartMP]])</f>
        <v>7.9999999999999988E-2</v>
      </c>
      <c r="P2244" s="1" t="str">
        <f>IF( AND( Table4[[#This Row],[Route]]=ClosureLocation!$B$3, ClosureLocation!$B$6 &gt;= Table4[[#This Row],[StartMP]], ClosureLocation!$B$6 &lt;= Table4[[#This Row],[EndMP]]), "Yes", "")</f>
        <v/>
      </c>
      <c r="Q2244" s="1" t="str">
        <f>IF( AND( Table4[[#This Row],[Route]]=ClosureLocation!$B$3, ClosureLocation!$B$6 &lt;= Table4[[#This Row],[StartMP]], ClosureLocation!$B$6 &gt;= Table4[[#This Row],[EndMP]]), "Yes", "")</f>
        <v/>
      </c>
      <c r="R2244" s="1" t="str">
        <f>IF( OR( Table4[[#This Row],[PrimaryMatch]]="Yes", Table4[[#This Row],[SecondaryMatch]]="Yes"), "Yes", "")</f>
        <v/>
      </c>
    </row>
    <row r="2245" spans="1:18" hidden="1" x14ac:dyDescent="0.25">
      <c r="A2245" t="s">
        <v>776</v>
      </c>
      <c r="B2245" t="s">
        <v>3205</v>
      </c>
      <c r="C2245" t="s">
        <v>3222</v>
      </c>
      <c r="D2245" t="s">
        <v>3748</v>
      </c>
      <c r="E2245" s="1">
        <v>322.32499999999999</v>
      </c>
      <c r="F2245" s="1">
        <v>328.05</v>
      </c>
      <c r="G2245">
        <v>43</v>
      </c>
      <c r="H2245">
        <v>43</v>
      </c>
      <c r="I2245" t="s">
        <v>2588</v>
      </c>
      <c r="J2245" t="s">
        <v>1694</v>
      </c>
      <c r="K2245" s="39">
        <v>3.761444</v>
      </c>
      <c r="L2245" s="1">
        <v>0.24104200000000001</v>
      </c>
      <c r="M2245" s="1" t="s">
        <v>4487</v>
      </c>
      <c r="N2245" s="1">
        <v>322.32499999999999</v>
      </c>
      <c r="O2245" s="1">
        <f>ABS(Table4[[#This Row],[EndMP]]-Table4[[#This Row],[StartMP]])</f>
        <v>5.7250000000000227</v>
      </c>
      <c r="P2245" s="1" t="str">
        <f>IF( AND( Table4[[#This Row],[Route]]=ClosureLocation!$B$3, ClosureLocation!$B$6 &gt;= Table4[[#This Row],[StartMP]], ClosureLocation!$B$6 &lt;= Table4[[#This Row],[EndMP]]), "Yes", "")</f>
        <v/>
      </c>
      <c r="Q2245" s="1" t="str">
        <f>IF( AND( Table4[[#This Row],[Route]]=ClosureLocation!$B$3, ClosureLocation!$B$6 &lt;= Table4[[#This Row],[StartMP]], ClosureLocation!$B$6 &gt;= Table4[[#This Row],[EndMP]]), "Yes", "")</f>
        <v/>
      </c>
      <c r="R2245" s="1" t="str">
        <f>IF( OR( Table4[[#This Row],[PrimaryMatch]]="Yes", Table4[[#This Row],[SecondaryMatch]]="Yes"), "Yes", "")</f>
        <v/>
      </c>
    </row>
    <row r="2246" spans="1:18" hidden="1" x14ac:dyDescent="0.25">
      <c r="A2246" t="s">
        <v>430</v>
      </c>
      <c r="B2246" t="s">
        <v>3205</v>
      </c>
      <c r="C2246" t="s">
        <v>3222</v>
      </c>
      <c r="D2246" t="s">
        <v>3503</v>
      </c>
      <c r="E2246" s="1">
        <v>11.057</v>
      </c>
      <c r="F2246" s="1">
        <v>11.643000000000001</v>
      </c>
      <c r="G2246">
        <v>4</v>
      </c>
      <c r="H2246">
        <v>2</v>
      </c>
      <c r="I2246" t="s">
        <v>2317</v>
      </c>
      <c r="J2246" t="s">
        <v>1702</v>
      </c>
      <c r="K2246" s="39">
        <v>3.7598310000000001</v>
      </c>
      <c r="L2246" s="1">
        <v>2.7007110000000001</v>
      </c>
      <c r="M2246" s="1" t="s">
        <v>3507</v>
      </c>
      <c r="N2246" s="1">
        <v>11.057</v>
      </c>
      <c r="O2246" s="1">
        <f>ABS(Table4[[#This Row],[EndMP]]-Table4[[#This Row],[StartMP]])</f>
        <v>0.5860000000000003</v>
      </c>
      <c r="P2246" s="1" t="str">
        <f>IF( AND( Table4[[#This Row],[Route]]=ClosureLocation!$B$3, ClosureLocation!$B$6 &gt;= Table4[[#This Row],[StartMP]], ClosureLocation!$B$6 &lt;= Table4[[#This Row],[EndMP]]), "Yes", "")</f>
        <v/>
      </c>
      <c r="Q2246" s="1" t="str">
        <f>IF( AND( Table4[[#This Row],[Route]]=ClosureLocation!$B$3, ClosureLocation!$B$6 &lt;= Table4[[#This Row],[StartMP]], ClosureLocation!$B$6 &gt;= Table4[[#This Row],[EndMP]]), "Yes", "")</f>
        <v/>
      </c>
      <c r="R2246" s="1" t="str">
        <f>IF( OR( Table4[[#This Row],[PrimaryMatch]]="Yes", Table4[[#This Row],[SecondaryMatch]]="Yes"), "Yes", "")</f>
        <v/>
      </c>
    </row>
    <row r="2247" spans="1:18" hidden="1" x14ac:dyDescent="0.25">
      <c r="A2247" t="s">
        <v>310</v>
      </c>
      <c r="B2247" t="s">
        <v>3205</v>
      </c>
      <c r="C2247" t="s">
        <v>3206</v>
      </c>
      <c r="D2247" t="s">
        <v>3427</v>
      </c>
      <c r="E2247" s="1">
        <v>49.918999999999997</v>
      </c>
      <c r="F2247" s="1">
        <v>52.241</v>
      </c>
      <c r="G2247">
        <v>4</v>
      </c>
      <c r="H2247">
        <v>4</v>
      </c>
      <c r="I2247" t="s">
        <v>2210</v>
      </c>
      <c r="J2247" t="s">
        <v>1700</v>
      </c>
      <c r="K2247" s="39">
        <v>3.748151</v>
      </c>
      <c r="L2247" s="1">
        <v>1.2065630000000001</v>
      </c>
      <c r="M2247" s="1" t="s">
        <v>4883</v>
      </c>
      <c r="N2247" s="1">
        <v>49.918999999999997</v>
      </c>
      <c r="O2247" s="1">
        <f>ABS(Table4[[#This Row],[EndMP]]-Table4[[#This Row],[StartMP]])</f>
        <v>2.3220000000000027</v>
      </c>
      <c r="P2247" s="1" t="str">
        <f>IF( AND( Table4[[#This Row],[Route]]=ClosureLocation!$B$3, ClosureLocation!$B$6 &gt;= Table4[[#This Row],[StartMP]], ClosureLocation!$B$6 &lt;= Table4[[#This Row],[EndMP]]), "Yes", "")</f>
        <v/>
      </c>
      <c r="Q2247" s="1" t="str">
        <f>IF( AND( Table4[[#This Row],[Route]]=ClosureLocation!$B$3, ClosureLocation!$B$6 &lt;= Table4[[#This Row],[StartMP]], ClosureLocation!$B$6 &gt;= Table4[[#This Row],[EndMP]]), "Yes", "")</f>
        <v/>
      </c>
      <c r="R2247" s="1" t="str">
        <f>IF( OR( Table4[[#This Row],[PrimaryMatch]]="Yes", Table4[[#This Row],[SecondaryMatch]]="Yes"), "Yes", "")</f>
        <v/>
      </c>
    </row>
    <row r="2248" spans="1:18" hidden="1" x14ac:dyDescent="0.25">
      <c r="A2248" t="s">
        <v>310</v>
      </c>
      <c r="B2248" t="s">
        <v>3209</v>
      </c>
      <c r="C2248" t="s">
        <v>3210</v>
      </c>
      <c r="D2248" t="s">
        <v>3444</v>
      </c>
      <c r="E2248" s="1">
        <v>210.06200000000001</v>
      </c>
      <c r="F2248" s="1">
        <v>209.602</v>
      </c>
      <c r="G2248">
        <v>17</v>
      </c>
      <c r="H2248">
        <v>11</v>
      </c>
      <c r="I2248" t="s">
        <v>2256</v>
      </c>
      <c r="J2248" t="s">
        <v>1700</v>
      </c>
      <c r="K2248" s="39">
        <v>3.7465999999999999</v>
      </c>
      <c r="L2248" s="1">
        <v>1.392158</v>
      </c>
      <c r="M2248" s="1" t="s">
        <v>3455</v>
      </c>
      <c r="N2248" s="1">
        <v>789.93799999999999</v>
      </c>
      <c r="O2248" s="1">
        <f>ABS(Table4[[#This Row],[EndMP]]-Table4[[#This Row],[StartMP]])</f>
        <v>0.46000000000000796</v>
      </c>
      <c r="P2248" s="1" t="str">
        <f>IF( AND( Table4[[#This Row],[Route]]=ClosureLocation!$B$3, ClosureLocation!$B$6 &gt;= Table4[[#This Row],[StartMP]], ClosureLocation!$B$6 &lt;= Table4[[#This Row],[EndMP]]), "Yes", "")</f>
        <v/>
      </c>
      <c r="Q2248" s="1" t="str">
        <f>IF( AND( Table4[[#This Row],[Route]]=ClosureLocation!$B$3, ClosureLocation!$B$6 &lt;= Table4[[#This Row],[StartMP]], ClosureLocation!$B$6 &gt;= Table4[[#This Row],[EndMP]]), "Yes", "")</f>
        <v/>
      </c>
      <c r="R2248" s="1" t="str">
        <f>IF( OR( Table4[[#This Row],[PrimaryMatch]]="Yes", Table4[[#This Row],[SecondaryMatch]]="Yes"), "Yes", "")</f>
        <v/>
      </c>
    </row>
    <row r="2249" spans="1:18" hidden="1" x14ac:dyDescent="0.25">
      <c r="A2249" t="s">
        <v>740</v>
      </c>
      <c r="B2249" t="s">
        <v>3209</v>
      </c>
      <c r="C2249" t="s">
        <v>3210</v>
      </c>
      <c r="D2249" t="s">
        <v>3724</v>
      </c>
      <c r="E2249" s="1">
        <v>51.168999999999997</v>
      </c>
      <c r="F2249" s="1">
        <v>0</v>
      </c>
      <c r="G2249">
        <v>2</v>
      </c>
      <c r="H2249">
        <v>2</v>
      </c>
      <c r="I2249" t="s">
        <v>2531</v>
      </c>
      <c r="J2249" t="s">
        <v>1724</v>
      </c>
      <c r="K2249" s="39">
        <v>3.7314699999999998</v>
      </c>
      <c r="L2249" s="1">
        <v>14.493981</v>
      </c>
      <c r="M2249" s="1" t="s">
        <v>3725</v>
      </c>
      <c r="N2249" s="1">
        <v>948.83100000000002</v>
      </c>
      <c r="O2249" s="1">
        <f>ABS(Table4[[#This Row],[EndMP]]-Table4[[#This Row],[StartMP]])</f>
        <v>51.168999999999997</v>
      </c>
      <c r="P2249" s="1" t="str">
        <f>IF( AND( Table4[[#This Row],[Route]]=ClosureLocation!$B$3, ClosureLocation!$B$6 &gt;= Table4[[#This Row],[StartMP]], ClosureLocation!$B$6 &lt;= Table4[[#This Row],[EndMP]]), "Yes", "")</f>
        <v/>
      </c>
      <c r="Q2249" s="1" t="str">
        <f>IF( AND( Table4[[#This Row],[Route]]=ClosureLocation!$B$3, ClosureLocation!$B$6 &lt;= Table4[[#This Row],[StartMP]], ClosureLocation!$B$6 &gt;= Table4[[#This Row],[EndMP]]), "Yes", "")</f>
        <v/>
      </c>
      <c r="R2249" s="1" t="str">
        <f>IF( OR( Table4[[#This Row],[PrimaryMatch]]="Yes", Table4[[#This Row],[SecondaryMatch]]="Yes"), "Yes", "")</f>
        <v/>
      </c>
    </row>
    <row r="2250" spans="1:18" hidden="1" x14ac:dyDescent="0.25">
      <c r="A2250" t="s">
        <v>917</v>
      </c>
      <c r="B2250" t="s">
        <v>3205</v>
      </c>
      <c r="C2250" t="s">
        <v>3222</v>
      </c>
      <c r="D2250" t="s">
        <v>3837</v>
      </c>
      <c r="E2250" s="1">
        <v>89.882000000000005</v>
      </c>
      <c r="F2250" s="1">
        <v>91.4</v>
      </c>
      <c r="G2250">
        <v>16</v>
      </c>
      <c r="H2250">
        <v>16</v>
      </c>
      <c r="I2250" t="s">
        <v>2719</v>
      </c>
      <c r="J2250" t="s">
        <v>1694</v>
      </c>
      <c r="K2250" s="39">
        <v>3.724596</v>
      </c>
      <c r="L2250" s="1">
        <v>1.220518</v>
      </c>
      <c r="M2250" s="1" t="s">
        <v>4969</v>
      </c>
      <c r="N2250" s="1">
        <v>89.882000000000005</v>
      </c>
      <c r="O2250" s="1">
        <f>ABS(Table4[[#This Row],[EndMP]]-Table4[[#This Row],[StartMP]])</f>
        <v>1.5180000000000007</v>
      </c>
      <c r="P2250" s="1" t="str">
        <f>IF( AND( Table4[[#This Row],[Route]]=ClosureLocation!$B$3, ClosureLocation!$B$6 &gt;= Table4[[#This Row],[StartMP]], ClosureLocation!$B$6 &lt;= Table4[[#This Row],[EndMP]]), "Yes", "")</f>
        <v/>
      </c>
      <c r="Q2250" s="1" t="str">
        <f>IF( AND( Table4[[#This Row],[Route]]=ClosureLocation!$B$3, ClosureLocation!$B$6 &lt;= Table4[[#This Row],[StartMP]], ClosureLocation!$B$6 &gt;= Table4[[#This Row],[EndMP]]), "Yes", "")</f>
        <v/>
      </c>
      <c r="R2250" s="1" t="str">
        <f>IF( OR( Table4[[#This Row],[PrimaryMatch]]="Yes", Table4[[#This Row],[SecondaryMatch]]="Yes"), "Yes", "")</f>
        <v/>
      </c>
    </row>
    <row r="2251" spans="1:18" hidden="1" x14ac:dyDescent="0.25">
      <c r="A2251" t="s">
        <v>1025</v>
      </c>
      <c r="B2251" t="s">
        <v>3205</v>
      </c>
      <c r="C2251" t="s">
        <v>3222</v>
      </c>
      <c r="D2251" t="s">
        <v>3918</v>
      </c>
      <c r="E2251" s="1">
        <v>1.1000000000000001</v>
      </c>
      <c r="F2251" s="1">
        <v>1.978</v>
      </c>
      <c r="G2251">
        <v>2</v>
      </c>
      <c r="H2251">
        <v>2</v>
      </c>
      <c r="I2251" t="s">
        <v>2808</v>
      </c>
      <c r="J2251" t="s">
        <v>1707</v>
      </c>
      <c r="K2251" s="39">
        <v>3.7236050000000001</v>
      </c>
      <c r="L2251" s="1">
        <v>2.3875389999999999</v>
      </c>
      <c r="M2251" s="1" t="s">
        <v>3920</v>
      </c>
      <c r="N2251" s="1">
        <v>1.1000000000000001</v>
      </c>
      <c r="O2251" s="1">
        <f>ABS(Table4[[#This Row],[EndMP]]-Table4[[#This Row],[StartMP]])</f>
        <v>0.87799999999999989</v>
      </c>
      <c r="P2251" s="1" t="str">
        <f>IF( AND( Table4[[#This Row],[Route]]=ClosureLocation!$B$3, ClosureLocation!$B$6 &gt;= Table4[[#This Row],[StartMP]], ClosureLocation!$B$6 &lt;= Table4[[#This Row],[EndMP]]), "Yes", "")</f>
        <v/>
      </c>
      <c r="Q2251" s="1" t="str">
        <f>IF( AND( Table4[[#This Row],[Route]]=ClosureLocation!$B$3, ClosureLocation!$B$6 &lt;= Table4[[#This Row],[StartMP]], ClosureLocation!$B$6 &gt;= Table4[[#This Row],[EndMP]]), "Yes", "")</f>
        <v/>
      </c>
      <c r="R2251" s="1" t="str">
        <f>IF( OR( Table4[[#This Row],[PrimaryMatch]]="Yes", Table4[[#This Row],[SecondaryMatch]]="Yes"), "Yes", "")</f>
        <v/>
      </c>
    </row>
    <row r="2252" spans="1:18" hidden="1" x14ac:dyDescent="0.25">
      <c r="A2252" t="s">
        <v>1305</v>
      </c>
      <c r="B2252" t="s">
        <v>3209</v>
      </c>
      <c r="C2252" t="s">
        <v>3210</v>
      </c>
      <c r="D2252" t="s">
        <v>4142</v>
      </c>
      <c r="E2252" s="1">
        <v>2.036</v>
      </c>
      <c r="F2252" s="1">
        <v>0.27700000000000002</v>
      </c>
      <c r="G2252">
        <v>2</v>
      </c>
      <c r="H2252">
        <v>4</v>
      </c>
      <c r="I2252" t="s">
        <v>2972</v>
      </c>
      <c r="J2252" t="s">
        <v>1692</v>
      </c>
      <c r="K2252" s="39">
        <v>3.6755620000000002</v>
      </c>
      <c r="L2252" s="1">
        <v>2.2722630000000001</v>
      </c>
      <c r="M2252" s="1" t="s">
        <v>4144</v>
      </c>
      <c r="N2252" s="1">
        <v>997.96400000000006</v>
      </c>
      <c r="O2252" s="1">
        <f>ABS(Table4[[#This Row],[EndMP]]-Table4[[#This Row],[StartMP]])</f>
        <v>1.7589999999999999</v>
      </c>
      <c r="P2252" s="1" t="str">
        <f>IF( AND( Table4[[#This Row],[Route]]=ClosureLocation!$B$3, ClosureLocation!$B$6 &gt;= Table4[[#This Row],[StartMP]], ClosureLocation!$B$6 &lt;= Table4[[#This Row],[EndMP]]), "Yes", "")</f>
        <v/>
      </c>
      <c r="Q2252" s="1" t="str">
        <f>IF( AND( Table4[[#This Row],[Route]]=ClosureLocation!$B$3, ClosureLocation!$B$6 &lt;= Table4[[#This Row],[StartMP]], ClosureLocation!$B$6 &gt;= Table4[[#This Row],[EndMP]]), "Yes", "")</f>
        <v/>
      </c>
      <c r="R2252" s="1" t="str">
        <f>IF( OR( Table4[[#This Row],[PrimaryMatch]]="Yes", Table4[[#This Row],[SecondaryMatch]]="Yes"), "Yes", "")</f>
        <v/>
      </c>
    </row>
    <row r="2253" spans="1:18" hidden="1" x14ac:dyDescent="0.25">
      <c r="A2253" t="s">
        <v>546</v>
      </c>
      <c r="B2253" t="s">
        <v>3205</v>
      </c>
      <c r="C2253" t="s">
        <v>3222</v>
      </c>
      <c r="D2253" t="s">
        <v>3577</v>
      </c>
      <c r="E2253" s="1">
        <v>296.41000000000003</v>
      </c>
      <c r="F2253" s="1">
        <v>296.55599999999998</v>
      </c>
      <c r="H2253">
        <v>1</v>
      </c>
      <c r="I2253" t="s">
        <v>2382</v>
      </c>
      <c r="J2253" t="s">
        <v>1704</v>
      </c>
      <c r="K2253" s="39">
        <v>3.6703420000000002</v>
      </c>
      <c r="L2253" s="1">
        <v>2.241965</v>
      </c>
      <c r="M2253" s="1" t="s">
        <v>3582</v>
      </c>
      <c r="N2253" s="1">
        <v>296.41000000000003</v>
      </c>
      <c r="O2253" s="1">
        <f>ABS(Table4[[#This Row],[EndMP]]-Table4[[#This Row],[StartMP]])</f>
        <v>0.14599999999995816</v>
      </c>
      <c r="P2253" s="1" t="str">
        <f>IF( AND( Table4[[#This Row],[Route]]=ClosureLocation!$B$3, ClosureLocation!$B$6 &gt;= Table4[[#This Row],[StartMP]], ClosureLocation!$B$6 &lt;= Table4[[#This Row],[EndMP]]), "Yes", "")</f>
        <v/>
      </c>
      <c r="Q2253" s="1" t="str">
        <f>IF( AND( Table4[[#This Row],[Route]]=ClosureLocation!$B$3, ClosureLocation!$B$6 &lt;= Table4[[#This Row],[StartMP]], ClosureLocation!$B$6 &gt;= Table4[[#This Row],[EndMP]]), "Yes", "")</f>
        <v/>
      </c>
      <c r="R2253" s="1" t="str">
        <f>IF( OR( Table4[[#This Row],[PrimaryMatch]]="Yes", Table4[[#This Row],[SecondaryMatch]]="Yes"), "Yes", "")</f>
        <v/>
      </c>
    </row>
    <row r="2254" spans="1:18" hidden="1" x14ac:dyDescent="0.25">
      <c r="A2254" t="s">
        <v>65</v>
      </c>
      <c r="B2254" t="s">
        <v>3205</v>
      </c>
      <c r="C2254" t="s">
        <v>3222</v>
      </c>
      <c r="D2254" t="s">
        <v>3238</v>
      </c>
      <c r="E2254" s="1">
        <v>274.64800000000002</v>
      </c>
      <c r="F2254" s="1">
        <v>275.83</v>
      </c>
      <c r="G2254">
        <v>5</v>
      </c>
      <c r="H2254">
        <v>2</v>
      </c>
      <c r="I2254" t="s">
        <v>2068</v>
      </c>
      <c r="J2254" t="s">
        <v>1705</v>
      </c>
      <c r="K2254" s="39">
        <v>3.6620029999999999</v>
      </c>
      <c r="L2254" s="1">
        <v>3.2684190000000002</v>
      </c>
      <c r="M2254" s="1" t="s">
        <v>3242</v>
      </c>
      <c r="N2254" s="1">
        <v>274.64800000000002</v>
      </c>
      <c r="O2254" s="1">
        <f>ABS(Table4[[#This Row],[EndMP]]-Table4[[#This Row],[StartMP]])</f>
        <v>1.1819999999999595</v>
      </c>
      <c r="P2254" s="1" t="str">
        <f>IF( AND( Table4[[#This Row],[Route]]=ClosureLocation!$B$3, ClosureLocation!$B$6 &gt;= Table4[[#This Row],[StartMP]], ClosureLocation!$B$6 &lt;= Table4[[#This Row],[EndMP]]), "Yes", "")</f>
        <v/>
      </c>
      <c r="Q2254" s="1" t="str">
        <f>IF( AND( Table4[[#This Row],[Route]]=ClosureLocation!$B$3, ClosureLocation!$B$6 &lt;= Table4[[#This Row],[StartMP]], ClosureLocation!$B$6 &gt;= Table4[[#This Row],[EndMP]]), "Yes", "")</f>
        <v/>
      </c>
      <c r="R2254" s="1" t="str">
        <f>IF( OR( Table4[[#This Row],[PrimaryMatch]]="Yes", Table4[[#This Row],[SecondaryMatch]]="Yes"), "Yes", "")</f>
        <v/>
      </c>
    </row>
    <row r="2255" spans="1:18" hidden="1" x14ac:dyDescent="0.25">
      <c r="A2255" t="s">
        <v>776</v>
      </c>
      <c r="B2255" t="s">
        <v>3205</v>
      </c>
      <c r="C2255" t="s">
        <v>3222</v>
      </c>
      <c r="D2255" t="s">
        <v>3748</v>
      </c>
      <c r="E2255" s="1">
        <v>166.922</v>
      </c>
      <c r="F2255" s="1">
        <v>169.17699999999999</v>
      </c>
      <c r="G2255">
        <v>19</v>
      </c>
      <c r="H2255">
        <v>19</v>
      </c>
      <c r="I2255" t="s">
        <v>2564</v>
      </c>
      <c r="J2255" t="s">
        <v>1694</v>
      </c>
      <c r="K2255" s="39">
        <v>3.6606100000000001</v>
      </c>
      <c r="L2255" s="1">
        <v>0.31754399999999999</v>
      </c>
      <c r="M2255" s="1" t="s">
        <v>4468</v>
      </c>
      <c r="N2255" s="1">
        <v>166.922</v>
      </c>
      <c r="O2255" s="1">
        <f>ABS(Table4[[#This Row],[EndMP]]-Table4[[#This Row],[StartMP]])</f>
        <v>2.2549999999999955</v>
      </c>
      <c r="P2255" s="1" t="str">
        <f>IF( AND( Table4[[#This Row],[Route]]=ClosureLocation!$B$3, ClosureLocation!$B$6 &gt;= Table4[[#This Row],[StartMP]], ClosureLocation!$B$6 &lt;= Table4[[#This Row],[EndMP]]), "Yes", "")</f>
        <v/>
      </c>
      <c r="Q2255" s="1" t="str">
        <f>IF( AND( Table4[[#This Row],[Route]]=ClosureLocation!$B$3, ClosureLocation!$B$6 &lt;= Table4[[#This Row],[StartMP]], ClosureLocation!$B$6 &gt;= Table4[[#This Row],[EndMP]]), "Yes", "")</f>
        <v/>
      </c>
      <c r="R2255" s="1" t="str">
        <f>IF( OR( Table4[[#This Row],[PrimaryMatch]]="Yes", Table4[[#This Row],[SecondaryMatch]]="Yes"), "Yes", "")</f>
        <v/>
      </c>
    </row>
    <row r="2256" spans="1:18" hidden="1" x14ac:dyDescent="0.25">
      <c r="A2256" t="s">
        <v>1548</v>
      </c>
      <c r="B2256" t="s">
        <v>3205</v>
      </c>
      <c r="C2256" t="s">
        <v>3206</v>
      </c>
      <c r="D2256" t="s">
        <v>4306</v>
      </c>
      <c r="E2256" s="1">
        <v>0</v>
      </c>
      <c r="F2256" s="1">
        <v>9.1349999999999998</v>
      </c>
      <c r="G2256">
        <v>1</v>
      </c>
      <c r="H2256">
        <v>1</v>
      </c>
      <c r="I2256" t="s">
        <v>3119</v>
      </c>
      <c r="J2256" t="s">
        <v>1691</v>
      </c>
      <c r="K2256" s="39">
        <v>3.6559699999999999</v>
      </c>
      <c r="L2256" s="1">
        <v>3.3968379999999998</v>
      </c>
      <c r="M2256" s="1" t="s">
        <v>4307</v>
      </c>
      <c r="N2256" s="1">
        <v>0</v>
      </c>
      <c r="O2256" s="1">
        <f>ABS(Table4[[#This Row],[EndMP]]-Table4[[#This Row],[StartMP]])</f>
        <v>9.1349999999999998</v>
      </c>
      <c r="P2256" s="1" t="str">
        <f>IF( AND( Table4[[#This Row],[Route]]=ClosureLocation!$B$3, ClosureLocation!$B$6 &gt;= Table4[[#This Row],[StartMP]], ClosureLocation!$B$6 &lt;= Table4[[#This Row],[EndMP]]), "Yes", "")</f>
        <v/>
      </c>
      <c r="Q2256" s="1" t="str">
        <f>IF( AND( Table4[[#This Row],[Route]]=ClosureLocation!$B$3, ClosureLocation!$B$6 &lt;= Table4[[#This Row],[StartMP]], ClosureLocation!$B$6 &gt;= Table4[[#This Row],[EndMP]]), "Yes", "")</f>
        <v/>
      </c>
      <c r="R2256" s="1" t="str">
        <f>IF( OR( Table4[[#This Row],[PrimaryMatch]]="Yes", Table4[[#This Row],[SecondaryMatch]]="Yes"), "Yes", "")</f>
        <v/>
      </c>
    </row>
    <row r="2257" spans="1:18" hidden="1" x14ac:dyDescent="0.25">
      <c r="A2257" t="s">
        <v>394</v>
      </c>
      <c r="B2257" t="s">
        <v>3209</v>
      </c>
      <c r="C2257" t="s">
        <v>3226</v>
      </c>
      <c r="D2257" t="s">
        <v>3487</v>
      </c>
      <c r="E2257" s="1">
        <v>115.746</v>
      </c>
      <c r="F2257" s="1">
        <v>113.136</v>
      </c>
      <c r="G2257">
        <v>3</v>
      </c>
      <c r="H2257">
        <v>7</v>
      </c>
      <c r="I2257" t="s">
        <v>2299</v>
      </c>
      <c r="J2257" t="s">
        <v>1704</v>
      </c>
      <c r="K2257" s="39">
        <v>3.655815</v>
      </c>
      <c r="L2257" s="1">
        <v>1.5085789999999999</v>
      </c>
      <c r="M2257" s="1" t="s">
        <v>3484</v>
      </c>
      <c r="N2257" s="1">
        <v>884.25400000000002</v>
      </c>
      <c r="O2257" s="1">
        <f>ABS(Table4[[#This Row],[EndMP]]-Table4[[#This Row],[StartMP]])</f>
        <v>2.6099999999999994</v>
      </c>
      <c r="P2257" s="1" t="str">
        <f>IF( AND( Table4[[#This Row],[Route]]=ClosureLocation!$B$3, ClosureLocation!$B$6 &gt;= Table4[[#This Row],[StartMP]], ClosureLocation!$B$6 &lt;= Table4[[#This Row],[EndMP]]), "Yes", "")</f>
        <v/>
      </c>
      <c r="Q2257" s="1" t="str">
        <f>IF( AND( Table4[[#This Row],[Route]]=ClosureLocation!$B$3, ClosureLocation!$B$6 &lt;= Table4[[#This Row],[StartMP]], ClosureLocation!$B$6 &gt;= Table4[[#This Row],[EndMP]]), "Yes", "")</f>
        <v/>
      </c>
      <c r="R2257" s="1" t="str">
        <f>IF( OR( Table4[[#This Row],[PrimaryMatch]]="Yes", Table4[[#This Row],[SecondaryMatch]]="Yes"), "Yes", "")</f>
        <v/>
      </c>
    </row>
    <row r="2258" spans="1:18" hidden="1" x14ac:dyDescent="0.25">
      <c r="A2258" t="s">
        <v>1623</v>
      </c>
      <c r="B2258" t="s">
        <v>3205</v>
      </c>
      <c r="C2258" t="s">
        <v>3206</v>
      </c>
      <c r="D2258" t="s">
        <v>4364</v>
      </c>
      <c r="E2258" s="1">
        <v>313.84899999999999</v>
      </c>
      <c r="F2258" s="1">
        <v>317.63099999999997</v>
      </c>
      <c r="G2258">
        <v>1</v>
      </c>
      <c r="H2258">
        <v>1</v>
      </c>
      <c r="I2258" t="s">
        <v>3157</v>
      </c>
      <c r="J2258" t="s">
        <v>1695</v>
      </c>
      <c r="K2258" s="39">
        <v>3.5893709999999999</v>
      </c>
      <c r="L2258" s="1">
        <v>4.817266</v>
      </c>
      <c r="M2258" s="58" t="s">
        <v>5032</v>
      </c>
      <c r="N2258" s="1">
        <v>313.84899999999999</v>
      </c>
      <c r="O2258" s="1">
        <f>ABS(Table4[[#This Row],[EndMP]]-Table4[[#This Row],[StartMP]])</f>
        <v>3.7819999999999823</v>
      </c>
      <c r="P2258" s="1" t="str">
        <f>IF( AND( Table4[[#This Row],[Route]]=ClosureLocation!$B$3, ClosureLocation!$B$6 &gt;= Table4[[#This Row],[StartMP]], ClosureLocation!$B$6 &lt;= Table4[[#This Row],[EndMP]]), "Yes", "")</f>
        <v/>
      </c>
      <c r="Q2258" s="1" t="str">
        <f>IF( AND( Table4[[#This Row],[Route]]=ClosureLocation!$B$3, ClosureLocation!$B$6 &lt;= Table4[[#This Row],[StartMP]], ClosureLocation!$B$6 &gt;= Table4[[#This Row],[EndMP]]), "Yes", "")</f>
        <v/>
      </c>
      <c r="R2258" s="1" t="str">
        <f>IF( OR( Table4[[#This Row],[PrimaryMatch]]="Yes", Table4[[#This Row],[SecondaryMatch]]="Yes"), "Yes", "")</f>
        <v/>
      </c>
    </row>
    <row r="2259" spans="1:18" hidden="1" x14ac:dyDescent="0.25">
      <c r="A2259" t="s">
        <v>1623</v>
      </c>
      <c r="B2259" t="s">
        <v>3209</v>
      </c>
      <c r="C2259" t="s">
        <v>3210</v>
      </c>
      <c r="D2259" t="s">
        <v>4365</v>
      </c>
      <c r="E2259" s="1">
        <v>317.63099999999997</v>
      </c>
      <c r="F2259" s="1">
        <v>313.84899999999999</v>
      </c>
      <c r="G2259">
        <v>1</v>
      </c>
      <c r="H2259">
        <v>2</v>
      </c>
      <c r="I2259" t="s">
        <v>3158</v>
      </c>
      <c r="J2259" t="s">
        <v>1695</v>
      </c>
      <c r="K2259" s="39">
        <v>3.5893709999999999</v>
      </c>
      <c r="L2259" s="1">
        <v>4.817266</v>
      </c>
      <c r="M2259" s="58" t="s">
        <v>5033</v>
      </c>
      <c r="N2259" s="1">
        <v>682.36900000000003</v>
      </c>
      <c r="O2259" s="1">
        <f>ABS(Table4[[#This Row],[EndMP]]-Table4[[#This Row],[StartMP]])</f>
        <v>3.7819999999999823</v>
      </c>
      <c r="P2259" s="1" t="str">
        <f>IF( AND( Table4[[#This Row],[Route]]=ClosureLocation!$B$3, ClosureLocation!$B$6 &gt;= Table4[[#This Row],[StartMP]], ClosureLocation!$B$6 &lt;= Table4[[#This Row],[EndMP]]), "Yes", "")</f>
        <v/>
      </c>
      <c r="Q2259" s="1" t="str">
        <f>IF( AND( Table4[[#This Row],[Route]]=ClosureLocation!$B$3, ClosureLocation!$B$6 &lt;= Table4[[#This Row],[StartMP]], ClosureLocation!$B$6 &gt;= Table4[[#This Row],[EndMP]]), "Yes", "")</f>
        <v/>
      </c>
      <c r="R2259" s="1" t="str">
        <f>IF( OR( Table4[[#This Row],[PrimaryMatch]]="Yes", Table4[[#This Row],[SecondaryMatch]]="Yes"), "Yes", "")</f>
        <v/>
      </c>
    </row>
    <row r="2260" spans="1:18" hidden="1" x14ac:dyDescent="0.25">
      <c r="A2260" t="s">
        <v>990</v>
      </c>
      <c r="B2260" t="s">
        <v>3205</v>
      </c>
      <c r="C2260" t="s">
        <v>3206</v>
      </c>
      <c r="D2260" t="s">
        <v>3883</v>
      </c>
      <c r="E2260" s="1">
        <v>250.64599999999999</v>
      </c>
      <c r="F2260" s="1">
        <v>251.22399999999999</v>
      </c>
      <c r="G2260">
        <v>5</v>
      </c>
      <c r="H2260">
        <v>5</v>
      </c>
      <c r="I2260" t="s">
        <v>2783</v>
      </c>
      <c r="J2260" t="s">
        <v>1693</v>
      </c>
      <c r="K2260" s="39">
        <v>3.573035</v>
      </c>
      <c r="L2260" s="1">
        <v>1.469187</v>
      </c>
      <c r="M2260" s="1" t="s">
        <v>3888</v>
      </c>
      <c r="N2260" s="1">
        <v>250.64599999999999</v>
      </c>
      <c r="O2260" s="1">
        <f>ABS(Table4[[#This Row],[EndMP]]-Table4[[#This Row],[StartMP]])</f>
        <v>0.57800000000000296</v>
      </c>
      <c r="P2260" s="1" t="str">
        <f>IF( AND( Table4[[#This Row],[Route]]=ClosureLocation!$B$3, ClosureLocation!$B$6 &gt;= Table4[[#This Row],[StartMP]], ClosureLocation!$B$6 &lt;= Table4[[#This Row],[EndMP]]), "Yes", "")</f>
        <v/>
      </c>
      <c r="Q2260" s="1" t="str">
        <f>IF( AND( Table4[[#This Row],[Route]]=ClosureLocation!$B$3, ClosureLocation!$B$6 &lt;= Table4[[#This Row],[StartMP]], ClosureLocation!$B$6 &gt;= Table4[[#This Row],[EndMP]]), "Yes", "")</f>
        <v/>
      </c>
      <c r="R2260" s="1" t="str">
        <f>IF( OR( Table4[[#This Row],[PrimaryMatch]]="Yes", Table4[[#This Row],[SecondaryMatch]]="Yes"), "Yes", "")</f>
        <v/>
      </c>
    </row>
    <row r="2261" spans="1:18" hidden="1" x14ac:dyDescent="0.25">
      <c r="A2261" t="s">
        <v>917</v>
      </c>
      <c r="B2261" t="s">
        <v>3205</v>
      </c>
      <c r="C2261" t="s">
        <v>3222</v>
      </c>
      <c r="D2261" t="s">
        <v>3837</v>
      </c>
      <c r="E2261" s="1">
        <v>180.45</v>
      </c>
      <c r="F2261" s="1">
        <v>184.13499999999999</v>
      </c>
      <c r="G2261">
        <v>22</v>
      </c>
      <c r="H2261">
        <v>22</v>
      </c>
      <c r="I2261" t="s">
        <v>2725</v>
      </c>
      <c r="J2261" t="s">
        <v>1694</v>
      </c>
      <c r="K2261" s="39">
        <v>3.567291</v>
      </c>
      <c r="L2261" s="1">
        <v>1.5392060000000001</v>
      </c>
      <c r="M2261" s="58" t="s">
        <v>3839</v>
      </c>
      <c r="N2261" s="1">
        <v>180.45</v>
      </c>
      <c r="O2261" s="1">
        <f>ABS(Table4[[#This Row],[EndMP]]-Table4[[#This Row],[StartMP]])</f>
        <v>3.6850000000000023</v>
      </c>
      <c r="P2261" s="1" t="str">
        <f>IF( AND( Table4[[#This Row],[Route]]=ClosureLocation!$B$3, ClosureLocation!$B$6 &gt;= Table4[[#This Row],[StartMP]], ClosureLocation!$B$6 &lt;= Table4[[#This Row],[EndMP]]), "Yes", "")</f>
        <v/>
      </c>
      <c r="Q2261" s="1" t="str">
        <f>IF( AND( Table4[[#This Row],[Route]]=ClosureLocation!$B$3, ClosureLocation!$B$6 &lt;= Table4[[#This Row],[StartMP]], ClosureLocation!$B$6 &gt;= Table4[[#This Row],[EndMP]]), "Yes", "")</f>
        <v/>
      </c>
      <c r="R2261" s="1" t="str">
        <f>IF( OR( Table4[[#This Row],[PrimaryMatch]]="Yes", Table4[[#This Row],[SecondaryMatch]]="Yes"), "Yes", "")</f>
        <v/>
      </c>
    </row>
    <row r="2262" spans="1:18" hidden="1" x14ac:dyDescent="0.25">
      <c r="A2262" t="s">
        <v>593</v>
      </c>
      <c r="B2262" t="s">
        <v>3205</v>
      </c>
      <c r="C2262" t="s">
        <v>3206</v>
      </c>
      <c r="D2262" t="s">
        <v>3603</v>
      </c>
      <c r="E2262" s="1">
        <v>0.16</v>
      </c>
      <c r="F2262" s="1">
        <v>4.734</v>
      </c>
      <c r="G2262">
        <v>1</v>
      </c>
      <c r="H2262">
        <v>1</v>
      </c>
      <c r="I2262" t="s">
        <v>2402</v>
      </c>
      <c r="J2262" t="s">
        <v>1707</v>
      </c>
      <c r="K2262" s="39">
        <v>3.5292729999999999</v>
      </c>
      <c r="L2262" s="1">
        <v>2.7057609999999999</v>
      </c>
      <c r="M2262" s="1" t="s">
        <v>3604</v>
      </c>
      <c r="N2262" s="1">
        <v>0.16</v>
      </c>
      <c r="O2262" s="1">
        <f>ABS(Table4[[#This Row],[EndMP]]-Table4[[#This Row],[StartMP]])</f>
        <v>4.5739999999999998</v>
      </c>
      <c r="P2262" s="1" t="str">
        <f>IF( AND( Table4[[#This Row],[Route]]=ClosureLocation!$B$3, ClosureLocation!$B$6 &gt;= Table4[[#This Row],[StartMP]], ClosureLocation!$B$6 &lt;= Table4[[#This Row],[EndMP]]), "Yes", "")</f>
        <v/>
      </c>
      <c r="Q2262" s="1" t="str">
        <f>IF( AND( Table4[[#This Row],[Route]]=ClosureLocation!$B$3, ClosureLocation!$B$6 &lt;= Table4[[#This Row],[StartMP]], ClosureLocation!$B$6 &gt;= Table4[[#This Row],[EndMP]]), "Yes", "")</f>
        <v/>
      </c>
      <c r="R2262" s="1" t="str">
        <f>IF( OR( Table4[[#This Row],[PrimaryMatch]]="Yes", Table4[[#This Row],[SecondaryMatch]]="Yes"), "Yes", "")</f>
        <v/>
      </c>
    </row>
    <row r="2263" spans="1:18" hidden="1" x14ac:dyDescent="0.25">
      <c r="A2263" t="s">
        <v>282</v>
      </c>
      <c r="B2263" t="s">
        <v>3209</v>
      </c>
      <c r="C2263" t="s">
        <v>3226</v>
      </c>
      <c r="D2263" t="s">
        <v>3405</v>
      </c>
      <c r="E2263" s="1">
        <v>456.02</v>
      </c>
      <c r="F2263" s="1">
        <v>455.88200000000001</v>
      </c>
      <c r="G2263">
        <v>1</v>
      </c>
      <c r="H2263">
        <v>2</v>
      </c>
      <c r="I2263" t="s">
        <v>2190</v>
      </c>
      <c r="J2263" t="s">
        <v>1690</v>
      </c>
      <c r="K2263" s="39">
        <v>3.5221480000000001</v>
      </c>
      <c r="L2263" s="1">
        <v>2.7327859999999999</v>
      </c>
      <c r="M2263" s="1" t="s">
        <v>3406</v>
      </c>
      <c r="N2263" s="1">
        <v>543.98</v>
      </c>
      <c r="O2263" s="1">
        <f>ABS(Table4[[#This Row],[EndMP]]-Table4[[#This Row],[StartMP]])</f>
        <v>0.13799999999997681</v>
      </c>
      <c r="P2263" s="1" t="str">
        <f>IF( AND( Table4[[#This Row],[Route]]=ClosureLocation!$B$3, ClosureLocation!$B$6 &gt;= Table4[[#This Row],[StartMP]], ClosureLocation!$B$6 &lt;= Table4[[#This Row],[EndMP]]), "Yes", "")</f>
        <v/>
      </c>
      <c r="Q2263" s="1" t="str">
        <f>IF( AND( Table4[[#This Row],[Route]]=ClosureLocation!$B$3, ClosureLocation!$B$6 &lt;= Table4[[#This Row],[StartMP]], ClosureLocation!$B$6 &gt;= Table4[[#This Row],[EndMP]]), "Yes", "")</f>
        <v/>
      </c>
      <c r="R2263" s="1" t="str">
        <f>IF( OR( Table4[[#This Row],[PrimaryMatch]]="Yes", Table4[[#This Row],[SecondaryMatch]]="Yes"), "Yes", "")</f>
        <v/>
      </c>
    </row>
    <row r="2264" spans="1:18" hidden="1" x14ac:dyDescent="0.25">
      <c r="A2264" t="s">
        <v>776</v>
      </c>
      <c r="B2264" t="s">
        <v>3209</v>
      </c>
      <c r="C2264" t="s">
        <v>3226</v>
      </c>
      <c r="D2264" t="s">
        <v>3749</v>
      </c>
      <c r="E2264" s="1">
        <v>14.936999999999999</v>
      </c>
      <c r="F2264" s="1">
        <v>11.271000000000001</v>
      </c>
      <c r="G2264">
        <v>53</v>
      </c>
      <c r="H2264">
        <v>106</v>
      </c>
      <c r="I2264" t="s">
        <v>2652</v>
      </c>
      <c r="J2264" t="s">
        <v>1694</v>
      </c>
      <c r="K2264" s="39">
        <v>3.4898850000000001</v>
      </c>
      <c r="L2264" s="1">
        <v>1.128997</v>
      </c>
      <c r="M2264" s="1" t="s">
        <v>4541</v>
      </c>
      <c r="N2264" s="1">
        <v>985.06299999999999</v>
      </c>
      <c r="O2264" s="1">
        <f>ABS(Table4[[#This Row],[EndMP]]-Table4[[#This Row],[StartMP]])</f>
        <v>3.6659999999999986</v>
      </c>
      <c r="P2264" s="1" t="str">
        <f>IF( AND( Table4[[#This Row],[Route]]=ClosureLocation!$B$3, ClosureLocation!$B$6 &gt;= Table4[[#This Row],[StartMP]], ClosureLocation!$B$6 &lt;= Table4[[#This Row],[EndMP]]), "Yes", "")</f>
        <v/>
      </c>
      <c r="Q2264" s="1" t="str">
        <f>IF( AND( Table4[[#This Row],[Route]]=ClosureLocation!$B$3, ClosureLocation!$B$6 &lt;= Table4[[#This Row],[StartMP]], ClosureLocation!$B$6 &gt;= Table4[[#This Row],[EndMP]]), "Yes", "")</f>
        <v/>
      </c>
      <c r="R2264" s="1" t="str">
        <f>IF( OR( Table4[[#This Row],[PrimaryMatch]]="Yes", Table4[[#This Row],[SecondaryMatch]]="Yes"), "Yes", "")</f>
        <v/>
      </c>
    </row>
    <row r="2265" spans="1:18" hidden="1" x14ac:dyDescent="0.25">
      <c r="A2265" t="s">
        <v>640</v>
      </c>
      <c r="B2265" t="s">
        <v>3209</v>
      </c>
      <c r="C2265" t="s">
        <v>3226</v>
      </c>
      <c r="D2265" t="s">
        <v>3640</v>
      </c>
      <c r="E2265" s="1">
        <v>318.52499999999998</v>
      </c>
      <c r="F2265" s="1">
        <v>316.01799999999997</v>
      </c>
      <c r="G2265">
        <v>14</v>
      </c>
      <c r="H2265">
        <v>14</v>
      </c>
      <c r="I2265" t="s">
        <v>2472</v>
      </c>
      <c r="J2265" t="s">
        <v>1694</v>
      </c>
      <c r="K2265" s="39">
        <v>3.455149</v>
      </c>
      <c r="L2265" s="1">
        <v>3.2126429999999999</v>
      </c>
      <c r="M2265" s="1" t="s">
        <v>4951</v>
      </c>
      <c r="N2265" s="1">
        <v>681.47500000000002</v>
      </c>
      <c r="O2265" s="1">
        <f>ABS(Table4[[#This Row],[EndMP]]-Table4[[#This Row],[StartMP]])</f>
        <v>2.507000000000005</v>
      </c>
      <c r="P2265" s="1" t="str">
        <f>IF( AND( Table4[[#This Row],[Route]]=ClosureLocation!$B$3, ClosureLocation!$B$6 &gt;= Table4[[#This Row],[StartMP]], ClosureLocation!$B$6 &lt;= Table4[[#This Row],[EndMP]]), "Yes", "")</f>
        <v/>
      </c>
      <c r="Q2265" s="1" t="str">
        <f>IF( AND( Table4[[#This Row],[Route]]=ClosureLocation!$B$3, ClosureLocation!$B$6 &lt;= Table4[[#This Row],[StartMP]], ClosureLocation!$B$6 &gt;= Table4[[#This Row],[EndMP]]), "Yes", "")</f>
        <v/>
      </c>
      <c r="R2265" s="1" t="str">
        <f>IF( OR( Table4[[#This Row],[PrimaryMatch]]="Yes", Table4[[#This Row],[SecondaryMatch]]="Yes"), "Yes", "")</f>
        <v/>
      </c>
    </row>
    <row r="2266" spans="1:18" hidden="1" x14ac:dyDescent="0.25">
      <c r="A2266" t="s">
        <v>546</v>
      </c>
      <c r="B2266" t="s">
        <v>3205</v>
      </c>
      <c r="C2266" t="s">
        <v>3222</v>
      </c>
      <c r="D2266" t="s">
        <v>3577</v>
      </c>
      <c r="E2266" s="1">
        <v>300.625</v>
      </c>
      <c r="F2266" s="1">
        <v>306.32100000000003</v>
      </c>
      <c r="H2266">
        <v>1</v>
      </c>
      <c r="I2266" t="s">
        <v>2384</v>
      </c>
      <c r="J2266" t="s">
        <v>1702</v>
      </c>
      <c r="K2266" s="39">
        <v>3.4090780000000001</v>
      </c>
      <c r="L2266" s="1">
        <v>4.7569650000000001</v>
      </c>
      <c r="M2266" s="1" t="s">
        <v>3584</v>
      </c>
      <c r="N2266" s="1">
        <v>300.625</v>
      </c>
      <c r="O2266" s="1">
        <f>ABS(Table4[[#This Row],[EndMP]]-Table4[[#This Row],[StartMP]])</f>
        <v>5.6960000000000264</v>
      </c>
      <c r="P2266" s="1" t="str">
        <f>IF( AND( Table4[[#This Row],[Route]]=ClosureLocation!$B$3, ClosureLocation!$B$6 &gt;= Table4[[#This Row],[StartMP]], ClosureLocation!$B$6 &lt;= Table4[[#This Row],[EndMP]]), "Yes", "")</f>
        <v/>
      </c>
      <c r="Q2266" s="1" t="str">
        <f>IF( AND( Table4[[#This Row],[Route]]=ClosureLocation!$B$3, ClosureLocation!$B$6 &lt;= Table4[[#This Row],[StartMP]], ClosureLocation!$B$6 &gt;= Table4[[#This Row],[EndMP]]), "Yes", "")</f>
        <v/>
      </c>
      <c r="R2266" s="1" t="str">
        <f>IF( OR( Table4[[#This Row],[PrimaryMatch]]="Yes", Table4[[#This Row],[SecondaryMatch]]="Yes"), "Yes", "")</f>
        <v/>
      </c>
    </row>
    <row r="2267" spans="1:18" hidden="1" x14ac:dyDescent="0.25">
      <c r="A2267" t="s">
        <v>310</v>
      </c>
      <c r="B2267" t="s">
        <v>3205</v>
      </c>
      <c r="C2267" t="s">
        <v>3206</v>
      </c>
      <c r="D2267" t="s">
        <v>3427</v>
      </c>
      <c r="E2267" s="1">
        <v>49.209000000000003</v>
      </c>
      <c r="F2267" s="1">
        <v>49.868000000000002</v>
      </c>
      <c r="G2267">
        <v>3</v>
      </c>
      <c r="H2267">
        <v>3</v>
      </c>
      <c r="I2267" t="s">
        <v>2209</v>
      </c>
      <c r="J2267" t="s">
        <v>1700</v>
      </c>
      <c r="K2267" s="39">
        <v>3.4064350000000001</v>
      </c>
      <c r="L2267" s="1">
        <v>1.7441359999999999</v>
      </c>
      <c r="M2267" s="1" t="s">
        <v>4882</v>
      </c>
      <c r="N2267" s="1">
        <v>49.209000000000003</v>
      </c>
      <c r="O2267" s="1">
        <f>ABS(Table4[[#This Row],[EndMP]]-Table4[[#This Row],[StartMP]])</f>
        <v>0.65899999999999892</v>
      </c>
      <c r="P2267" s="1" t="str">
        <f>IF( AND( Table4[[#This Row],[Route]]=ClosureLocation!$B$3, ClosureLocation!$B$6 &gt;= Table4[[#This Row],[StartMP]], ClosureLocation!$B$6 &lt;= Table4[[#This Row],[EndMP]]), "Yes", "")</f>
        <v/>
      </c>
      <c r="Q2267" s="1" t="str">
        <f>IF( AND( Table4[[#This Row],[Route]]=ClosureLocation!$B$3, ClosureLocation!$B$6 &lt;= Table4[[#This Row],[StartMP]], ClosureLocation!$B$6 &gt;= Table4[[#This Row],[EndMP]]), "Yes", "")</f>
        <v/>
      </c>
      <c r="R2267" s="1" t="str">
        <f>IF( OR( Table4[[#This Row],[PrimaryMatch]]="Yes", Table4[[#This Row],[SecondaryMatch]]="Yes"), "Yes", "")</f>
        <v/>
      </c>
    </row>
    <row r="2268" spans="1:18" hidden="1" x14ac:dyDescent="0.25">
      <c r="A2268" t="s">
        <v>1313</v>
      </c>
      <c r="B2268" t="s">
        <v>3205</v>
      </c>
      <c r="C2268" t="s">
        <v>3222</v>
      </c>
      <c r="D2268" t="s">
        <v>4149</v>
      </c>
      <c r="E2268" s="1">
        <v>0</v>
      </c>
      <c r="F2268" s="1">
        <v>232.76900000000001</v>
      </c>
      <c r="G2268">
        <v>1</v>
      </c>
      <c r="H2268">
        <v>8</v>
      </c>
      <c r="I2268" t="s">
        <v>2975</v>
      </c>
      <c r="J2268" t="s">
        <v>1694</v>
      </c>
      <c r="K2268" s="39">
        <v>3.397526</v>
      </c>
      <c r="L2268" s="1">
        <v>3.9680049999999998</v>
      </c>
      <c r="M2268" s="58" t="s">
        <v>5005</v>
      </c>
      <c r="N2268" s="1">
        <v>0</v>
      </c>
      <c r="O2268" s="1">
        <f>ABS(Table4[[#This Row],[EndMP]]-Table4[[#This Row],[StartMP]])</f>
        <v>232.76900000000001</v>
      </c>
      <c r="P2268" s="1" t="str">
        <f>IF( AND( Table4[[#This Row],[Route]]=ClosureLocation!$B$3, ClosureLocation!$B$6 &gt;= Table4[[#This Row],[StartMP]], ClosureLocation!$B$6 &lt;= Table4[[#This Row],[EndMP]]), "Yes", "")</f>
        <v/>
      </c>
      <c r="Q2268" s="1" t="str">
        <f>IF( AND( Table4[[#This Row],[Route]]=ClosureLocation!$B$3, ClosureLocation!$B$6 &lt;= Table4[[#This Row],[StartMP]], ClosureLocation!$B$6 &gt;= Table4[[#This Row],[EndMP]]), "Yes", "")</f>
        <v/>
      </c>
      <c r="R2268" s="1" t="str">
        <f>IF( OR( Table4[[#This Row],[PrimaryMatch]]="Yes", Table4[[#This Row],[SecondaryMatch]]="Yes"), "Yes", "")</f>
        <v/>
      </c>
    </row>
    <row r="2269" spans="1:18" hidden="1" x14ac:dyDescent="0.25">
      <c r="A2269" t="s">
        <v>310</v>
      </c>
      <c r="B2269" t="s">
        <v>3209</v>
      </c>
      <c r="C2269" t="s">
        <v>3210</v>
      </c>
      <c r="D2269" t="s">
        <v>3444</v>
      </c>
      <c r="E2269" s="1">
        <v>52.173999999999999</v>
      </c>
      <c r="F2269" s="1">
        <v>49.939</v>
      </c>
      <c r="G2269">
        <v>32</v>
      </c>
      <c r="H2269">
        <v>5</v>
      </c>
      <c r="I2269" t="s">
        <v>2271</v>
      </c>
      <c r="J2269" t="s">
        <v>1700</v>
      </c>
      <c r="K2269" s="39">
        <v>3.3860459999999999</v>
      </c>
      <c r="L2269" s="1">
        <v>1.0137499999999999</v>
      </c>
      <c r="M2269" s="1" t="s">
        <v>4882</v>
      </c>
      <c r="N2269" s="1">
        <v>947.82600000000002</v>
      </c>
      <c r="O2269" s="1">
        <f>ABS(Table4[[#This Row],[EndMP]]-Table4[[#This Row],[StartMP]])</f>
        <v>2.2349999999999994</v>
      </c>
      <c r="P2269" s="1" t="str">
        <f>IF( AND( Table4[[#This Row],[Route]]=ClosureLocation!$B$3, ClosureLocation!$B$6 &gt;= Table4[[#This Row],[StartMP]], ClosureLocation!$B$6 &lt;= Table4[[#This Row],[EndMP]]), "Yes", "")</f>
        <v/>
      </c>
      <c r="Q2269" s="1" t="str">
        <f>IF( AND( Table4[[#This Row],[Route]]=ClosureLocation!$B$3, ClosureLocation!$B$6 &lt;= Table4[[#This Row],[StartMP]], ClosureLocation!$B$6 &gt;= Table4[[#This Row],[EndMP]]), "Yes", "")</f>
        <v/>
      </c>
      <c r="R2269" s="1" t="str">
        <f>IF( OR( Table4[[#This Row],[PrimaryMatch]]="Yes", Table4[[#This Row],[SecondaryMatch]]="Yes"), "Yes", "")</f>
        <v/>
      </c>
    </row>
    <row r="2270" spans="1:18" hidden="1" x14ac:dyDescent="0.25">
      <c r="A2270" t="s">
        <v>1305</v>
      </c>
      <c r="B2270" t="s">
        <v>3209</v>
      </c>
      <c r="C2270" t="s">
        <v>3210</v>
      </c>
      <c r="D2270" t="s">
        <v>4142</v>
      </c>
      <c r="E2270" s="1">
        <v>3.597</v>
      </c>
      <c r="F2270" s="1">
        <v>2.036</v>
      </c>
      <c r="G2270">
        <v>1</v>
      </c>
      <c r="H2270">
        <v>3</v>
      </c>
      <c r="I2270" t="s">
        <v>2971</v>
      </c>
      <c r="J2270" t="s">
        <v>1692</v>
      </c>
      <c r="K2270" s="39">
        <v>3.3532099999999998</v>
      </c>
      <c r="L2270" s="1">
        <v>1.441432</v>
      </c>
      <c r="M2270" s="1" t="s">
        <v>4143</v>
      </c>
      <c r="N2270" s="1">
        <v>996.40300000000002</v>
      </c>
      <c r="O2270" s="1">
        <f>ABS(Table4[[#This Row],[EndMP]]-Table4[[#This Row],[StartMP]])</f>
        <v>1.5609999999999999</v>
      </c>
      <c r="P2270" s="1" t="str">
        <f>IF( AND( Table4[[#This Row],[Route]]=ClosureLocation!$B$3, ClosureLocation!$B$6 &gt;= Table4[[#This Row],[StartMP]], ClosureLocation!$B$6 &lt;= Table4[[#This Row],[EndMP]]), "Yes", "")</f>
        <v/>
      </c>
      <c r="Q2270" s="1" t="str">
        <f>IF( AND( Table4[[#This Row],[Route]]=ClosureLocation!$B$3, ClosureLocation!$B$6 &lt;= Table4[[#This Row],[StartMP]], ClosureLocation!$B$6 &gt;= Table4[[#This Row],[EndMP]]), "Yes", "")</f>
        <v/>
      </c>
      <c r="R2270" s="1" t="str">
        <f>IF( OR( Table4[[#This Row],[PrimaryMatch]]="Yes", Table4[[#This Row],[SecondaryMatch]]="Yes"), "Yes", "")</f>
        <v/>
      </c>
    </row>
    <row r="2271" spans="1:18" hidden="1" x14ac:dyDescent="0.25">
      <c r="A2271" t="s">
        <v>1374</v>
      </c>
      <c r="B2271" t="s">
        <v>3205</v>
      </c>
      <c r="C2271" t="s">
        <v>3222</v>
      </c>
      <c r="D2271" t="s">
        <v>4161</v>
      </c>
      <c r="E2271" s="1">
        <v>0</v>
      </c>
      <c r="F2271" s="1">
        <v>36.795999999999999</v>
      </c>
      <c r="G2271">
        <v>1</v>
      </c>
      <c r="H2271">
        <v>1</v>
      </c>
      <c r="I2271" t="s">
        <v>2996</v>
      </c>
      <c r="J2271" t="s">
        <v>1693</v>
      </c>
      <c r="K2271" s="39">
        <v>3.348287</v>
      </c>
      <c r="L2271" s="1">
        <v>24.014285000000001</v>
      </c>
      <c r="M2271" s="1" t="s">
        <v>4162</v>
      </c>
      <c r="N2271" s="1">
        <v>0</v>
      </c>
      <c r="O2271" s="1">
        <f>ABS(Table4[[#This Row],[EndMP]]-Table4[[#This Row],[StartMP]])</f>
        <v>36.795999999999999</v>
      </c>
      <c r="P2271" s="1" t="str">
        <f>IF( AND( Table4[[#This Row],[Route]]=ClosureLocation!$B$3, ClosureLocation!$B$6 &gt;= Table4[[#This Row],[StartMP]], ClosureLocation!$B$6 &lt;= Table4[[#This Row],[EndMP]]), "Yes", "")</f>
        <v/>
      </c>
      <c r="Q2271" s="1" t="str">
        <f>IF( AND( Table4[[#This Row],[Route]]=ClosureLocation!$B$3, ClosureLocation!$B$6 &lt;= Table4[[#This Row],[StartMP]], ClosureLocation!$B$6 &gt;= Table4[[#This Row],[EndMP]]), "Yes", "")</f>
        <v/>
      </c>
      <c r="R2271" s="1" t="str">
        <f>IF( OR( Table4[[#This Row],[PrimaryMatch]]="Yes", Table4[[#This Row],[SecondaryMatch]]="Yes"), "Yes", "")</f>
        <v/>
      </c>
    </row>
    <row r="2272" spans="1:18" hidden="1" x14ac:dyDescent="0.25">
      <c r="A2272" t="s">
        <v>1424</v>
      </c>
      <c r="B2272" t="s">
        <v>3209</v>
      </c>
      <c r="C2272" t="s">
        <v>3226</v>
      </c>
      <c r="D2272" t="s">
        <v>4204</v>
      </c>
      <c r="E2272" s="1">
        <v>3.6339999999999999</v>
      </c>
      <c r="F2272" s="1">
        <v>2.8759999999999999</v>
      </c>
      <c r="G2272">
        <v>1</v>
      </c>
      <c r="H2272">
        <v>3</v>
      </c>
      <c r="I2272" t="s">
        <v>3021</v>
      </c>
      <c r="J2272" t="s">
        <v>1708</v>
      </c>
      <c r="K2272" s="39">
        <v>3.343153</v>
      </c>
      <c r="L2272" s="1">
        <v>2.607618</v>
      </c>
      <c r="M2272" s="1" t="s">
        <v>4205</v>
      </c>
      <c r="N2272" s="1">
        <v>996.36599999999999</v>
      </c>
      <c r="O2272" s="1">
        <f>ABS(Table4[[#This Row],[EndMP]]-Table4[[#This Row],[StartMP]])</f>
        <v>0.75800000000000001</v>
      </c>
      <c r="P2272" s="1" t="str">
        <f>IF( AND( Table4[[#This Row],[Route]]=ClosureLocation!$B$3, ClosureLocation!$B$6 &gt;= Table4[[#This Row],[StartMP]], ClosureLocation!$B$6 &lt;= Table4[[#This Row],[EndMP]]), "Yes", "")</f>
        <v/>
      </c>
      <c r="Q2272" s="1" t="str">
        <f>IF( AND( Table4[[#This Row],[Route]]=ClosureLocation!$B$3, ClosureLocation!$B$6 &lt;= Table4[[#This Row],[StartMP]], ClosureLocation!$B$6 &gt;= Table4[[#This Row],[EndMP]]), "Yes", "")</f>
        <v/>
      </c>
      <c r="R2272" s="1" t="str">
        <f>IF( OR( Table4[[#This Row],[PrimaryMatch]]="Yes", Table4[[#This Row],[SecondaryMatch]]="Yes"), "Yes", "")</f>
        <v/>
      </c>
    </row>
    <row r="2273" spans="1:18" hidden="1" x14ac:dyDescent="0.25">
      <c r="A2273" t="s">
        <v>693</v>
      </c>
      <c r="B2273" t="s">
        <v>3205</v>
      </c>
      <c r="C2273" t="s">
        <v>3206</v>
      </c>
      <c r="D2273" t="s">
        <v>3661</v>
      </c>
      <c r="E2273" s="1">
        <v>86.98</v>
      </c>
      <c r="F2273" s="1">
        <v>87.116</v>
      </c>
      <c r="G2273">
        <v>2</v>
      </c>
      <c r="H2273">
        <v>2</v>
      </c>
      <c r="I2273" t="s">
        <v>2490</v>
      </c>
      <c r="J2273" t="s">
        <v>1690</v>
      </c>
      <c r="K2273" s="39">
        <v>3.3389519999999999</v>
      </c>
      <c r="L2273" s="1">
        <v>2.4142359999999998</v>
      </c>
      <c r="M2273" s="1" t="s">
        <v>3663</v>
      </c>
      <c r="N2273" s="1">
        <v>86.98</v>
      </c>
      <c r="O2273" s="1">
        <f>ABS(Table4[[#This Row],[EndMP]]-Table4[[#This Row],[StartMP]])</f>
        <v>0.13599999999999568</v>
      </c>
      <c r="P2273" s="1" t="str">
        <f>IF( AND( Table4[[#This Row],[Route]]=ClosureLocation!$B$3, ClosureLocation!$B$6 &gt;= Table4[[#This Row],[StartMP]], ClosureLocation!$B$6 &lt;= Table4[[#This Row],[EndMP]]), "Yes", "")</f>
        <v/>
      </c>
      <c r="Q2273" s="1" t="str">
        <f>IF( AND( Table4[[#This Row],[Route]]=ClosureLocation!$B$3, ClosureLocation!$B$6 &lt;= Table4[[#This Row],[StartMP]], ClosureLocation!$B$6 &gt;= Table4[[#This Row],[EndMP]]), "Yes", "")</f>
        <v/>
      </c>
      <c r="R2273" s="1" t="str">
        <f>IF( OR( Table4[[#This Row],[PrimaryMatch]]="Yes", Table4[[#This Row],[SecondaryMatch]]="Yes"), "Yes", "")</f>
        <v/>
      </c>
    </row>
    <row r="2274" spans="1:18" hidden="1" x14ac:dyDescent="0.25">
      <c r="A2274" t="s">
        <v>485</v>
      </c>
      <c r="B2274" t="s">
        <v>3205</v>
      </c>
      <c r="C2274" t="s">
        <v>3222</v>
      </c>
      <c r="D2274" t="s">
        <v>3543</v>
      </c>
      <c r="E2274" s="1">
        <v>91.335999999999999</v>
      </c>
      <c r="F2274" s="1">
        <v>95.233999999999995</v>
      </c>
      <c r="G2274">
        <v>2</v>
      </c>
      <c r="H2274">
        <v>1</v>
      </c>
      <c r="I2274" t="s">
        <v>2343</v>
      </c>
      <c r="J2274" t="s">
        <v>1707</v>
      </c>
      <c r="K2274" s="39">
        <v>3.3308059999999999</v>
      </c>
      <c r="L2274" s="1">
        <v>4.7876599999999998</v>
      </c>
      <c r="M2274" s="1" t="s">
        <v>3545</v>
      </c>
      <c r="N2274" s="1">
        <v>91.335999999999999</v>
      </c>
      <c r="O2274" s="1">
        <f>ABS(Table4[[#This Row],[EndMP]]-Table4[[#This Row],[StartMP]])</f>
        <v>3.8979999999999961</v>
      </c>
      <c r="P2274" s="1" t="str">
        <f>IF( AND( Table4[[#This Row],[Route]]=ClosureLocation!$B$3, ClosureLocation!$B$6 &gt;= Table4[[#This Row],[StartMP]], ClosureLocation!$B$6 &lt;= Table4[[#This Row],[EndMP]]), "Yes", "")</f>
        <v/>
      </c>
      <c r="Q2274" s="1" t="str">
        <f>IF( AND( Table4[[#This Row],[Route]]=ClosureLocation!$B$3, ClosureLocation!$B$6 &lt;= Table4[[#This Row],[StartMP]], ClosureLocation!$B$6 &gt;= Table4[[#This Row],[EndMP]]), "Yes", "")</f>
        <v/>
      </c>
      <c r="R2274" s="1" t="str">
        <f>IF( OR( Table4[[#This Row],[PrimaryMatch]]="Yes", Table4[[#This Row],[SecondaryMatch]]="Yes"), "Yes", "")</f>
        <v/>
      </c>
    </row>
    <row r="2275" spans="1:18" hidden="1" x14ac:dyDescent="0.25">
      <c r="A2275" t="s">
        <v>740</v>
      </c>
      <c r="B2275" t="s">
        <v>3205</v>
      </c>
      <c r="C2275" t="s">
        <v>3206</v>
      </c>
      <c r="D2275" t="s">
        <v>3722</v>
      </c>
      <c r="E2275" s="1">
        <v>0</v>
      </c>
      <c r="F2275" s="1">
        <v>51.168999999999997</v>
      </c>
      <c r="G2275">
        <v>1</v>
      </c>
      <c r="H2275">
        <v>1</v>
      </c>
      <c r="I2275" t="s">
        <v>2528</v>
      </c>
      <c r="J2275" t="s">
        <v>1724</v>
      </c>
      <c r="K2275" s="39">
        <v>3.3215059999999998</v>
      </c>
      <c r="L2275" s="1">
        <v>14.341817000000001</v>
      </c>
      <c r="M2275" s="1" t="s">
        <v>3723</v>
      </c>
      <c r="N2275" s="1">
        <v>0</v>
      </c>
      <c r="O2275" s="1">
        <f>ABS(Table4[[#This Row],[EndMP]]-Table4[[#This Row],[StartMP]])</f>
        <v>51.168999999999997</v>
      </c>
      <c r="P2275" s="1" t="str">
        <f>IF( AND( Table4[[#This Row],[Route]]=ClosureLocation!$B$3, ClosureLocation!$B$6 &gt;= Table4[[#This Row],[StartMP]], ClosureLocation!$B$6 &lt;= Table4[[#This Row],[EndMP]]), "Yes", "")</f>
        <v/>
      </c>
      <c r="Q2275" s="1" t="str">
        <f>IF( AND( Table4[[#This Row],[Route]]=ClosureLocation!$B$3, ClosureLocation!$B$6 &lt;= Table4[[#This Row],[StartMP]], ClosureLocation!$B$6 &gt;= Table4[[#This Row],[EndMP]]), "Yes", "")</f>
        <v/>
      </c>
      <c r="R2275" s="1" t="str">
        <f>IF( OR( Table4[[#This Row],[PrimaryMatch]]="Yes", Table4[[#This Row],[SecondaryMatch]]="Yes"), "Yes", "")</f>
        <v/>
      </c>
    </row>
    <row r="2276" spans="1:18" hidden="1" x14ac:dyDescent="0.25">
      <c r="A2276" t="s">
        <v>1634</v>
      </c>
      <c r="B2276" t="s">
        <v>3205</v>
      </c>
      <c r="C2276" t="s">
        <v>3222</v>
      </c>
      <c r="D2276" t="s">
        <v>4383</v>
      </c>
      <c r="E2276" s="1">
        <v>115.4</v>
      </c>
      <c r="F2276" s="1">
        <v>141.583</v>
      </c>
      <c r="G2276">
        <v>2</v>
      </c>
      <c r="H2276">
        <v>2</v>
      </c>
      <c r="I2276" t="s">
        <v>3172</v>
      </c>
      <c r="J2276" t="s">
        <v>1691</v>
      </c>
      <c r="K2276" s="39">
        <v>3.3156629999999998</v>
      </c>
      <c r="L2276" s="1">
        <v>3.8504170000000002</v>
      </c>
      <c r="M2276" s="1" t="s">
        <v>4385</v>
      </c>
      <c r="N2276" s="1">
        <v>115.4</v>
      </c>
      <c r="O2276" s="1">
        <f>ABS(Table4[[#This Row],[EndMP]]-Table4[[#This Row],[StartMP]])</f>
        <v>26.182999999999993</v>
      </c>
      <c r="P2276" s="1" t="str">
        <f>IF( AND( Table4[[#This Row],[Route]]=ClosureLocation!$B$3, ClosureLocation!$B$6 &gt;= Table4[[#This Row],[StartMP]], ClosureLocation!$B$6 &lt;= Table4[[#This Row],[EndMP]]), "Yes", "")</f>
        <v/>
      </c>
      <c r="Q2276" s="1" t="str">
        <f>IF( AND( Table4[[#This Row],[Route]]=ClosureLocation!$B$3, ClosureLocation!$B$6 &lt;= Table4[[#This Row],[StartMP]], ClosureLocation!$B$6 &gt;= Table4[[#This Row],[EndMP]]), "Yes", "")</f>
        <v/>
      </c>
      <c r="R2276" s="1" t="str">
        <f>IF( OR( Table4[[#This Row],[PrimaryMatch]]="Yes", Table4[[#This Row],[SecondaryMatch]]="Yes"), "Yes", "")</f>
        <v/>
      </c>
    </row>
    <row r="2277" spans="1:18" hidden="1" x14ac:dyDescent="0.25">
      <c r="A2277" t="s">
        <v>1634</v>
      </c>
      <c r="B2277" t="s">
        <v>3209</v>
      </c>
      <c r="C2277" t="s">
        <v>3226</v>
      </c>
      <c r="D2277" t="s">
        <v>4386</v>
      </c>
      <c r="E2277" s="1">
        <v>141.583</v>
      </c>
      <c r="F2277" s="1">
        <v>115.4</v>
      </c>
      <c r="G2277">
        <v>1</v>
      </c>
      <c r="H2277">
        <v>3</v>
      </c>
      <c r="I2277" t="s">
        <v>3173</v>
      </c>
      <c r="J2277" t="s">
        <v>1691</v>
      </c>
      <c r="K2277" s="39">
        <v>3.310673</v>
      </c>
      <c r="L2277" s="1">
        <v>3.8504170000000002</v>
      </c>
      <c r="M2277" s="1" t="s">
        <v>4387</v>
      </c>
      <c r="N2277" s="1">
        <v>858.41700000000003</v>
      </c>
      <c r="O2277" s="1">
        <f>ABS(Table4[[#This Row],[EndMP]]-Table4[[#This Row],[StartMP]])</f>
        <v>26.182999999999993</v>
      </c>
      <c r="P2277" s="1" t="str">
        <f>IF( AND( Table4[[#This Row],[Route]]=ClosureLocation!$B$3, ClosureLocation!$B$6 &gt;= Table4[[#This Row],[StartMP]], ClosureLocation!$B$6 &lt;= Table4[[#This Row],[EndMP]]), "Yes", "")</f>
        <v/>
      </c>
      <c r="Q2277" s="1" t="str">
        <f>IF( AND( Table4[[#This Row],[Route]]=ClosureLocation!$B$3, ClosureLocation!$B$6 &lt;= Table4[[#This Row],[StartMP]], ClosureLocation!$B$6 &gt;= Table4[[#This Row],[EndMP]]), "Yes", "")</f>
        <v/>
      </c>
      <c r="R2277" s="1" t="str">
        <f>IF( OR( Table4[[#This Row],[PrimaryMatch]]="Yes", Table4[[#This Row],[SecondaryMatch]]="Yes"), "Yes", "")</f>
        <v/>
      </c>
    </row>
    <row r="2278" spans="1:18" hidden="1" x14ac:dyDescent="0.25">
      <c r="A2278" t="s">
        <v>917</v>
      </c>
      <c r="B2278" t="s">
        <v>3209</v>
      </c>
      <c r="C2278" t="s">
        <v>3226</v>
      </c>
      <c r="D2278" t="s">
        <v>3840</v>
      </c>
      <c r="E2278" s="1">
        <v>9.7710000000000008</v>
      </c>
      <c r="F2278" s="1">
        <v>7.8659999999999997</v>
      </c>
      <c r="G2278">
        <v>17</v>
      </c>
      <c r="H2278">
        <v>39</v>
      </c>
      <c r="I2278" t="s">
        <v>2742</v>
      </c>
      <c r="J2278" t="s">
        <v>1694</v>
      </c>
      <c r="K2278" s="39">
        <v>3.3082340000000001</v>
      </c>
      <c r="L2278" s="1">
        <v>0.80702099999999999</v>
      </c>
      <c r="M2278" s="1" t="s">
        <v>4986</v>
      </c>
      <c r="N2278" s="1">
        <v>990.22900000000004</v>
      </c>
      <c r="O2278" s="1">
        <f>ABS(Table4[[#This Row],[EndMP]]-Table4[[#This Row],[StartMP]])</f>
        <v>1.9050000000000011</v>
      </c>
      <c r="P2278" s="1" t="str">
        <f>IF( AND( Table4[[#This Row],[Route]]=ClosureLocation!$B$3, ClosureLocation!$B$6 &gt;= Table4[[#This Row],[StartMP]], ClosureLocation!$B$6 &lt;= Table4[[#This Row],[EndMP]]), "Yes", "")</f>
        <v/>
      </c>
      <c r="Q2278" s="1" t="str">
        <f>IF( AND( Table4[[#This Row],[Route]]=ClosureLocation!$B$3, ClosureLocation!$B$6 &lt;= Table4[[#This Row],[StartMP]], ClosureLocation!$B$6 &gt;= Table4[[#This Row],[EndMP]]), "Yes", "")</f>
        <v/>
      </c>
      <c r="R2278" s="1" t="str">
        <f>IF( OR( Table4[[#This Row],[PrimaryMatch]]="Yes", Table4[[#This Row],[SecondaryMatch]]="Yes"), "Yes", "")</f>
        <v/>
      </c>
    </row>
    <row r="2279" spans="1:18" hidden="1" x14ac:dyDescent="0.25">
      <c r="A2279" t="s">
        <v>776</v>
      </c>
      <c r="B2279" t="s">
        <v>3205</v>
      </c>
      <c r="C2279" t="s">
        <v>3222</v>
      </c>
      <c r="D2279" t="s">
        <v>3748</v>
      </c>
      <c r="E2279" s="1">
        <v>258.875</v>
      </c>
      <c r="F2279" s="1">
        <v>259.21899999999999</v>
      </c>
      <c r="G2279">
        <v>30</v>
      </c>
      <c r="H2279">
        <v>30</v>
      </c>
      <c r="I2279" t="s">
        <v>2575</v>
      </c>
      <c r="J2279" t="s">
        <v>1694</v>
      </c>
      <c r="K2279" s="39">
        <v>3.2945799999999998</v>
      </c>
      <c r="L2279" s="1">
        <v>0.66067299999999995</v>
      </c>
      <c r="M2279" s="1" t="s">
        <v>4477</v>
      </c>
      <c r="N2279" s="1">
        <v>258.875</v>
      </c>
      <c r="O2279" s="1">
        <f>ABS(Table4[[#This Row],[EndMP]]-Table4[[#This Row],[StartMP]])</f>
        <v>0.34399999999999409</v>
      </c>
      <c r="P2279" s="1" t="str">
        <f>IF( AND( Table4[[#This Row],[Route]]=ClosureLocation!$B$3, ClosureLocation!$B$6 &gt;= Table4[[#This Row],[StartMP]], ClosureLocation!$B$6 &lt;= Table4[[#This Row],[EndMP]]), "Yes", "")</f>
        <v/>
      </c>
      <c r="Q2279" s="1" t="str">
        <f>IF( AND( Table4[[#This Row],[Route]]=ClosureLocation!$B$3, ClosureLocation!$B$6 &lt;= Table4[[#This Row],[StartMP]], ClosureLocation!$B$6 &gt;= Table4[[#This Row],[EndMP]]), "Yes", "")</f>
        <v/>
      </c>
      <c r="R2279" s="1" t="str">
        <f>IF( OR( Table4[[#This Row],[PrimaryMatch]]="Yes", Table4[[#This Row],[SecondaryMatch]]="Yes"), "Yes", "")</f>
        <v/>
      </c>
    </row>
    <row r="2280" spans="1:18" hidden="1" x14ac:dyDescent="0.25">
      <c r="A2280" t="s">
        <v>1374</v>
      </c>
      <c r="B2280" t="s">
        <v>3209</v>
      </c>
      <c r="C2280" t="s">
        <v>3226</v>
      </c>
      <c r="D2280" t="s">
        <v>4163</v>
      </c>
      <c r="E2280" s="1">
        <v>36.795999999999999</v>
      </c>
      <c r="F2280" s="1">
        <v>0</v>
      </c>
      <c r="G2280">
        <v>1</v>
      </c>
      <c r="H2280">
        <v>2</v>
      </c>
      <c r="I2280" t="s">
        <v>2997</v>
      </c>
      <c r="J2280" t="s">
        <v>1693</v>
      </c>
      <c r="K2280" s="39">
        <v>3.2933490000000001</v>
      </c>
      <c r="L2280" s="1">
        <v>23.976009999999999</v>
      </c>
      <c r="M2280" s="1" t="s">
        <v>4164</v>
      </c>
      <c r="N2280" s="1">
        <v>963.20399999999995</v>
      </c>
      <c r="O2280" s="1">
        <f>ABS(Table4[[#This Row],[EndMP]]-Table4[[#This Row],[StartMP]])</f>
        <v>36.795999999999999</v>
      </c>
      <c r="P2280" s="1" t="str">
        <f>IF( AND( Table4[[#This Row],[Route]]=ClosureLocation!$B$3, ClosureLocation!$B$6 &gt;= Table4[[#This Row],[StartMP]], ClosureLocation!$B$6 &lt;= Table4[[#This Row],[EndMP]]), "Yes", "")</f>
        <v/>
      </c>
      <c r="Q2280" s="1" t="str">
        <f>IF( AND( Table4[[#This Row],[Route]]=ClosureLocation!$B$3, ClosureLocation!$B$6 &lt;= Table4[[#This Row],[StartMP]], ClosureLocation!$B$6 &gt;= Table4[[#This Row],[EndMP]]), "Yes", "")</f>
        <v/>
      </c>
      <c r="R2280" s="1" t="str">
        <f>IF( OR( Table4[[#This Row],[PrimaryMatch]]="Yes", Table4[[#This Row],[SecondaryMatch]]="Yes"), "Yes", "")</f>
        <v/>
      </c>
    </row>
    <row r="2281" spans="1:18" hidden="1" x14ac:dyDescent="0.25">
      <c r="A2281" t="s">
        <v>665</v>
      </c>
      <c r="B2281" t="s">
        <v>3209</v>
      </c>
      <c r="C2281" t="s">
        <v>3226</v>
      </c>
      <c r="D2281" t="s">
        <v>3645</v>
      </c>
      <c r="E2281" s="1">
        <v>16.948</v>
      </c>
      <c r="F2281" s="1">
        <v>9.4489999999999998</v>
      </c>
      <c r="G2281">
        <v>1</v>
      </c>
      <c r="H2281">
        <v>2</v>
      </c>
      <c r="I2281" t="s">
        <v>2476</v>
      </c>
      <c r="J2281" t="s">
        <v>1700</v>
      </c>
      <c r="K2281" s="39">
        <v>3.2789739999999998</v>
      </c>
      <c r="L2281" s="1">
        <v>2.5534910000000002</v>
      </c>
      <c r="M2281" s="1" t="s">
        <v>3646</v>
      </c>
      <c r="N2281" s="1">
        <v>983.05200000000002</v>
      </c>
      <c r="O2281" s="1">
        <f>ABS(Table4[[#This Row],[EndMP]]-Table4[[#This Row],[StartMP]])</f>
        <v>7.4990000000000006</v>
      </c>
      <c r="P2281" s="1" t="str">
        <f>IF( AND( Table4[[#This Row],[Route]]=ClosureLocation!$B$3, ClosureLocation!$B$6 &gt;= Table4[[#This Row],[StartMP]], ClosureLocation!$B$6 &lt;= Table4[[#This Row],[EndMP]]), "Yes", "")</f>
        <v/>
      </c>
      <c r="Q2281" s="1" t="str">
        <f>IF( AND( Table4[[#This Row],[Route]]=ClosureLocation!$B$3, ClosureLocation!$B$6 &lt;= Table4[[#This Row],[StartMP]], ClosureLocation!$B$6 &gt;= Table4[[#This Row],[EndMP]]), "Yes", "")</f>
        <v/>
      </c>
      <c r="R2281" s="1" t="str">
        <f>IF( OR( Table4[[#This Row],[PrimaryMatch]]="Yes", Table4[[#This Row],[SecondaryMatch]]="Yes"), "Yes", "")</f>
        <v/>
      </c>
    </row>
    <row r="2282" spans="1:18" hidden="1" x14ac:dyDescent="0.25">
      <c r="A2282" t="s">
        <v>665</v>
      </c>
      <c r="B2282" t="s">
        <v>3205</v>
      </c>
      <c r="C2282" t="s">
        <v>3222</v>
      </c>
      <c r="D2282" t="s">
        <v>3641</v>
      </c>
      <c r="E2282" s="1">
        <v>9.4489999999999998</v>
      </c>
      <c r="F2282" s="1">
        <v>16.948</v>
      </c>
      <c r="G2282">
        <v>3</v>
      </c>
      <c r="H2282">
        <v>1</v>
      </c>
      <c r="I2282" t="s">
        <v>2475</v>
      </c>
      <c r="J2282" t="s">
        <v>1700</v>
      </c>
      <c r="K2282" s="39">
        <v>3.2786</v>
      </c>
      <c r="L2282" s="1">
        <v>2.5534910000000002</v>
      </c>
      <c r="M2282" s="1" t="s">
        <v>3644</v>
      </c>
      <c r="N2282" s="1">
        <v>9.4489999999999998</v>
      </c>
      <c r="O2282" s="1">
        <f>ABS(Table4[[#This Row],[EndMP]]-Table4[[#This Row],[StartMP]])</f>
        <v>7.4990000000000006</v>
      </c>
      <c r="P2282" s="1" t="str">
        <f>IF( AND( Table4[[#This Row],[Route]]=ClosureLocation!$B$3, ClosureLocation!$B$6 &gt;= Table4[[#This Row],[StartMP]], ClosureLocation!$B$6 &lt;= Table4[[#This Row],[EndMP]]), "Yes", "")</f>
        <v/>
      </c>
      <c r="Q2282" s="1" t="str">
        <f>IF( AND( Table4[[#This Row],[Route]]=ClosureLocation!$B$3, ClosureLocation!$B$6 &lt;= Table4[[#This Row],[StartMP]], ClosureLocation!$B$6 &gt;= Table4[[#This Row],[EndMP]]), "Yes", "")</f>
        <v/>
      </c>
      <c r="R2282" s="1" t="str">
        <f>IF( OR( Table4[[#This Row],[PrimaryMatch]]="Yes", Table4[[#This Row],[SecondaryMatch]]="Yes"), "Yes", "")</f>
        <v/>
      </c>
    </row>
    <row r="2283" spans="1:18" hidden="1" x14ac:dyDescent="0.25">
      <c r="A2283" t="s">
        <v>430</v>
      </c>
      <c r="B2283" t="s">
        <v>3209</v>
      </c>
      <c r="C2283" t="s">
        <v>3226</v>
      </c>
      <c r="D2283" t="s">
        <v>3508</v>
      </c>
      <c r="E2283" s="1">
        <v>10.194000000000001</v>
      </c>
      <c r="F2283" s="1">
        <v>1</v>
      </c>
      <c r="H2283">
        <v>1</v>
      </c>
      <c r="I2283" t="s">
        <v>2320</v>
      </c>
      <c r="J2283" t="s">
        <v>1702</v>
      </c>
      <c r="K2283" s="39">
        <v>3.2663489999999999</v>
      </c>
      <c r="L2283" s="1">
        <v>3.8975710000000001</v>
      </c>
      <c r="M2283" s="1" t="s">
        <v>3511</v>
      </c>
      <c r="N2283" s="1">
        <v>989.80600000000004</v>
      </c>
      <c r="O2283" s="1">
        <f>ABS(Table4[[#This Row],[EndMP]]-Table4[[#This Row],[StartMP]])</f>
        <v>9.1940000000000008</v>
      </c>
      <c r="P2283" s="1" t="str">
        <f>IF( AND( Table4[[#This Row],[Route]]=ClosureLocation!$B$3, ClosureLocation!$B$6 &gt;= Table4[[#This Row],[StartMP]], ClosureLocation!$B$6 &lt;= Table4[[#This Row],[EndMP]]), "Yes", "")</f>
        <v/>
      </c>
      <c r="Q2283" s="1" t="str">
        <f>IF( AND( Table4[[#This Row],[Route]]=ClosureLocation!$B$3, ClosureLocation!$B$6 &lt;= Table4[[#This Row],[StartMP]], ClosureLocation!$B$6 &gt;= Table4[[#This Row],[EndMP]]), "Yes", "")</f>
        <v/>
      </c>
      <c r="R2283" s="1" t="str">
        <f>IF( OR( Table4[[#This Row],[PrimaryMatch]]="Yes", Table4[[#This Row],[SecondaryMatch]]="Yes"), "Yes", "")</f>
        <v/>
      </c>
    </row>
    <row r="2284" spans="1:18" hidden="1" x14ac:dyDescent="0.25">
      <c r="A2284" t="s">
        <v>535</v>
      </c>
      <c r="B2284" t="s">
        <v>3205</v>
      </c>
      <c r="C2284" t="s">
        <v>3222</v>
      </c>
      <c r="D2284" t="s">
        <v>3569</v>
      </c>
      <c r="E2284" s="1">
        <v>269.44099999999997</v>
      </c>
      <c r="F2284" s="1">
        <v>271.48899999999998</v>
      </c>
      <c r="G2284">
        <v>1</v>
      </c>
      <c r="H2284">
        <v>1</v>
      </c>
      <c r="I2284" t="s">
        <v>2371</v>
      </c>
      <c r="J2284" t="s">
        <v>1702</v>
      </c>
      <c r="K2284" s="39">
        <v>3.2652209999999999</v>
      </c>
      <c r="L2284" s="1">
        <v>3.6769240000000001</v>
      </c>
      <c r="M2284" s="1" t="s">
        <v>3570</v>
      </c>
      <c r="N2284" s="1">
        <v>269.44099999999997</v>
      </c>
      <c r="O2284" s="1">
        <f>ABS(Table4[[#This Row],[EndMP]]-Table4[[#This Row],[StartMP]])</f>
        <v>2.0480000000000018</v>
      </c>
      <c r="P2284" s="1" t="str">
        <f>IF( AND( Table4[[#This Row],[Route]]=ClosureLocation!$B$3, ClosureLocation!$B$6 &gt;= Table4[[#This Row],[StartMP]], ClosureLocation!$B$6 &lt;= Table4[[#This Row],[EndMP]]), "Yes", "")</f>
        <v/>
      </c>
      <c r="Q2284" s="1" t="str">
        <f>IF( AND( Table4[[#This Row],[Route]]=ClosureLocation!$B$3, ClosureLocation!$B$6 &lt;= Table4[[#This Row],[StartMP]], ClosureLocation!$B$6 &gt;= Table4[[#This Row],[EndMP]]), "Yes", "")</f>
        <v/>
      </c>
      <c r="R2284" s="1" t="str">
        <f>IF( OR( Table4[[#This Row],[PrimaryMatch]]="Yes", Table4[[#This Row],[SecondaryMatch]]="Yes"), "Yes", "")</f>
        <v/>
      </c>
    </row>
    <row r="2285" spans="1:18" hidden="1" x14ac:dyDescent="0.25">
      <c r="A2285" t="s">
        <v>1014</v>
      </c>
      <c r="B2285" t="s">
        <v>3209</v>
      </c>
      <c r="C2285" t="s">
        <v>3210</v>
      </c>
      <c r="D2285" t="s">
        <v>3909</v>
      </c>
      <c r="E2285" s="1">
        <v>267.178</v>
      </c>
      <c r="F2285" s="1">
        <v>266.33199999999999</v>
      </c>
      <c r="G2285">
        <v>3</v>
      </c>
      <c r="H2285">
        <v>7</v>
      </c>
      <c r="I2285" t="s">
        <v>2802</v>
      </c>
      <c r="J2285" t="s">
        <v>1694</v>
      </c>
      <c r="K2285" s="39">
        <v>3.2555619999999998</v>
      </c>
      <c r="L2285" s="1">
        <v>1.408388</v>
      </c>
      <c r="M2285" s="1" t="s">
        <v>4997</v>
      </c>
      <c r="N2285" s="1">
        <v>732.822</v>
      </c>
      <c r="O2285" s="1">
        <f>ABS(Table4[[#This Row],[EndMP]]-Table4[[#This Row],[StartMP]])</f>
        <v>0.84600000000000364</v>
      </c>
      <c r="P2285" s="1" t="str">
        <f>IF( AND( Table4[[#This Row],[Route]]=ClosureLocation!$B$3, ClosureLocation!$B$6 &gt;= Table4[[#This Row],[StartMP]], ClosureLocation!$B$6 &lt;= Table4[[#This Row],[EndMP]]), "Yes", "")</f>
        <v/>
      </c>
      <c r="Q2285" s="1" t="str">
        <f>IF( AND( Table4[[#This Row],[Route]]=ClosureLocation!$B$3, ClosureLocation!$B$6 &lt;= Table4[[#This Row],[StartMP]], ClosureLocation!$B$6 &gt;= Table4[[#This Row],[EndMP]]), "Yes", "")</f>
        <v/>
      </c>
      <c r="R2285" s="1" t="str">
        <f>IF( OR( Table4[[#This Row],[PrimaryMatch]]="Yes", Table4[[#This Row],[SecondaryMatch]]="Yes"), "Yes", "")</f>
        <v/>
      </c>
    </row>
    <row r="2286" spans="1:18" hidden="1" x14ac:dyDescent="0.25">
      <c r="A2286" t="s">
        <v>776</v>
      </c>
      <c r="B2286" t="s">
        <v>3209</v>
      </c>
      <c r="C2286" t="s">
        <v>3226</v>
      </c>
      <c r="D2286" t="s">
        <v>3749</v>
      </c>
      <c r="E2286" s="1">
        <v>268.79700000000003</v>
      </c>
      <c r="F2286" s="1">
        <v>262.93</v>
      </c>
      <c r="G2286">
        <v>22</v>
      </c>
      <c r="H2286">
        <v>75</v>
      </c>
      <c r="I2286" t="s">
        <v>2621</v>
      </c>
      <c r="J2286" t="s">
        <v>1694</v>
      </c>
      <c r="K2286" s="39">
        <v>3.2278560000000001</v>
      </c>
      <c r="L2286" s="1">
        <v>0.54356800000000005</v>
      </c>
      <c r="M2286" s="1" t="s">
        <v>4398</v>
      </c>
      <c r="N2286" s="1">
        <v>731.20299999999997</v>
      </c>
      <c r="O2286" s="1">
        <f>ABS(Table4[[#This Row],[EndMP]]-Table4[[#This Row],[StartMP]])</f>
        <v>5.8670000000000186</v>
      </c>
      <c r="P2286" s="1" t="str">
        <f>IF( AND( Table4[[#This Row],[Route]]=ClosureLocation!$B$3, ClosureLocation!$B$6 &gt;= Table4[[#This Row],[StartMP]], ClosureLocation!$B$6 &lt;= Table4[[#This Row],[EndMP]]), "Yes", "")</f>
        <v/>
      </c>
      <c r="Q2286" s="1" t="str">
        <f>IF( AND( Table4[[#This Row],[Route]]=ClosureLocation!$B$3, ClosureLocation!$B$6 &lt;= Table4[[#This Row],[StartMP]], ClosureLocation!$B$6 &gt;= Table4[[#This Row],[EndMP]]), "Yes", "")</f>
        <v/>
      </c>
      <c r="R2286" s="1" t="str">
        <f>IF( OR( Table4[[#This Row],[PrimaryMatch]]="Yes", Table4[[#This Row],[SecondaryMatch]]="Yes"), "Yes", "")</f>
        <v/>
      </c>
    </row>
    <row r="2287" spans="1:18" hidden="1" x14ac:dyDescent="0.25">
      <c r="A2287" t="s">
        <v>485</v>
      </c>
      <c r="B2287" t="s">
        <v>3209</v>
      </c>
      <c r="C2287" t="s">
        <v>3226</v>
      </c>
      <c r="D2287" t="s">
        <v>3548</v>
      </c>
      <c r="E2287" s="1">
        <v>95.233999999999995</v>
      </c>
      <c r="F2287" s="1">
        <v>91.335999999999999</v>
      </c>
      <c r="H2287">
        <v>2</v>
      </c>
      <c r="I2287" t="s">
        <v>2350</v>
      </c>
      <c r="J2287" t="s">
        <v>1707</v>
      </c>
      <c r="K2287" s="39">
        <v>3.215859</v>
      </c>
      <c r="L2287" s="1">
        <v>4.7339869999999999</v>
      </c>
      <c r="M2287" s="1" t="s">
        <v>3551</v>
      </c>
      <c r="N2287" s="1">
        <v>904.76599999999996</v>
      </c>
      <c r="O2287" s="1">
        <f>ABS(Table4[[#This Row],[EndMP]]-Table4[[#This Row],[StartMP]])</f>
        <v>3.8979999999999961</v>
      </c>
      <c r="P2287" s="1" t="str">
        <f>IF( AND( Table4[[#This Row],[Route]]=ClosureLocation!$B$3, ClosureLocation!$B$6 &gt;= Table4[[#This Row],[StartMP]], ClosureLocation!$B$6 &lt;= Table4[[#This Row],[EndMP]]), "Yes", "")</f>
        <v/>
      </c>
      <c r="Q2287" s="1" t="str">
        <f>IF( AND( Table4[[#This Row],[Route]]=ClosureLocation!$B$3, ClosureLocation!$B$6 &lt;= Table4[[#This Row],[StartMP]], ClosureLocation!$B$6 &gt;= Table4[[#This Row],[EndMP]]), "Yes", "")</f>
        <v/>
      </c>
      <c r="R2287" s="1" t="str">
        <f>IF( OR( Table4[[#This Row],[PrimaryMatch]]="Yes", Table4[[#This Row],[SecondaryMatch]]="Yes"), "Yes", "")</f>
        <v/>
      </c>
    </row>
    <row r="2288" spans="1:18" hidden="1" x14ac:dyDescent="0.25">
      <c r="A2288" t="s">
        <v>413</v>
      </c>
      <c r="B2288" t="s">
        <v>3209</v>
      </c>
      <c r="C2288" t="s">
        <v>3226</v>
      </c>
      <c r="D2288" t="s">
        <v>3498</v>
      </c>
      <c r="E2288" s="1">
        <v>173.852</v>
      </c>
      <c r="F2288" s="1">
        <v>172.41399999999999</v>
      </c>
      <c r="G2288">
        <v>2</v>
      </c>
      <c r="H2288">
        <v>4</v>
      </c>
      <c r="I2288" t="s">
        <v>2311</v>
      </c>
      <c r="J2288" t="s">
        <v>1707</v>
      </c>
      <c r="K2288" s="39">
        <v>3.202709</v>
      </c>
      <c r="L2288" s="1">
        <v>2.9365480000000002</v>
      </c>
      <c r="M2288" s="1" t="s">
        <v>4913</v>
      </c>
      <c r="N2288" s="1">
        <v>826.14800000000002</v>
      </c>
      <c r="O2288" s="1">
        <f>ABS(Table4[[#This Row],[EndMP]]-Table4[[#This Row],[StartMP]])</f>
        <v>1.4380000000000166</v>
      </c>
      <c r="P2288" s="1" t="str">
        <f>IF( AND( Table4[[#This Row],[Route]]=ClosureLocation!$B$3, ClosureLocation!$B$6 &gt;= Table4[[#This Row],[StartMP]], ClosureLocation!$B$6 &lt;= Table4[[#This Row],[EndMP]]), "Yes", "")</f>
        <v/>
      </c>
      <c r="Q2288" s="1" t="str">
        <f>IF( AND( Table4[[#This Row],[Route]]=ClosureLocation!$B$3, ClosureLocation!$B$6 &lt;= Table4[[#This Row],[StartMP]], ClosureLocation!$B$6 &gt;= Table4[[#This Row],[EndMP]]), "Yes", "")</f>
        <v/>
      </c>
      <c r="R2288" s="1" t="str">
        <f>IF( OR( Table4[[#This Row],[PrimaryMatch]]="Yes", Table4[[#This Row],[SecondaryMatch]]="Yes"), "Yes", "")</f>
        <v/>
      </c>
    </row>
    <row r="2289" spans="1:18" hidden="1" x14ac:dyDescent="0.25">
      <c r="A2289" t="s">
        <v>1654</v>
      </c>
      <c r="B2289" t="s">
        <v>3209</v>
      </c>
      <c r="C2289" t="s">
        <v>3210</v>
      </c>
      <c r="D2289" t="s">
        <v>4401</v>
      </c>
      <c r="E2289" s="1">
        <v>16.061</v>
      </c>
      <c r="F2289" s="1">
        <v>13.757</v>
      </c>
      <c r="G2289">
        <v>2</v>
      </c>
      <c r="H2289">
        <v>4</v>
      </c>
      <c r="I2289" t="s">
        <v>3184</v>
      </c>
      <c r="J2289" t="s">
        <v>1691</v>
      </c>
      <c r="K2289" s="39">
        <v>3.1971270000000001</v>
      </c>
      <c r="L2289" s="1">
        <v>0.76733499999999999</v>
      </c>
      <c r="M2289" s="1" t="s">
        <v>4402</v>
      </c>
      <c r="N2289" s="1">
        <v>983.93899999999996</v>
      </c>
      <c r="O2289" s="1">
        <f>ABS(Table4[[#This Row],[EndMP]]-Table4[[#This Row],[StartMP]])</f>
        <v>2.3040000000000003</v>
      </c>
      <c r="P2289" s="1" t="str">
        <f>IF( AND( Table4[[#This Row],[Route]]=ClosureLocation!$B$3, ClosureLocation!$B$6 &gt;= Table4[[#This Row],[StartMP]], ClosureLocation!$B$6 &lt;= Table4[[#This Row],[EndMP]]), "Yes", "")</f>
        <v/>
      </c>
      <c r="Q2289" s="1" t="str">
        <f>IF( AND( Table4[[#This Row],[Route]]=ClosureLocation!$B$3, ClosureLocation!$B$6 &lt;= Table4[[#This Row],[StartMP]], ClosureLocation!$B$6 &gt;= Table4[[#This Row],[EndMP]]), "Yes", "")</f>
        <v/>
      </c>
      <c r="R2289" s="1" t="str">
        <f>IF( OR( Table4[[#This Row],[PrimaryMatch]]="Yes", Table4[[#This Row],[SecondaryMatch]]="Yes"), "Yes", "")</f>
        <v/>
      </c>
    </row>
    <row r="2290" spans="1:18" hidden="1" x14ac:dyDescent="0.25">
      <c r="A2290" t="s">
        <v>1140</v>
      </c>
      <c r="B2290" t="s">
        <v>3205</v>
      </c>
      <c r="C2290" t="s">
        <v>3206</v>
      </c>
      <c r="D2290" t="s">
        <v>4008</v>
      </c>
      <c r="E2290" s="1">
        <v>8.9849999999999994</v>
      </c>
      <c r="F2290" s="1">
        <v>13.911</v>
      </c>
      <c r="H2290">
        <v>1</v>
      </c>
      <c r="I2290" t="s">
        <v>2871</v>
      </c>
      <c r="J2290" t="s">
        <v>1702</v>
      </c>
      <c r="K2290" s="39">
        <v>3.1920700000000002</v>
      </c>
      <c r="L2290" s="1">
        <v>3.063237</v>
      </c>
      <c r="M2290" s="1" t="s">
        <v>4009</v>
      </c>
      <c r="N2290" s="1">
        <v>8.9849999999999994</v>
      </c>
      <c r="O2290" s="1">
        <f>ABS(Table4[[#This Row],[EndMP]]-Table4[[#This Row],[StartMP]])</f>
        <v>4.9260000000000002</v>
      </c>
      <c r="P2290" s="1" t="str">
        <f>IF( AND( Table4[[#This Row],[Route]]=ClosureLocation!$B$3, ClosureLocation!$B$6 &gt;= Table4[[#This Row],[StartMP]], ClosureLocation!$B$6 &lt;= Table4[[#This Row],[EndMP]]), "Yes", "")</f>
        <v/>
      </c>
      <c r="Q2290" s="1" t="str">
        <f>IF( AND( Table4[[#This Row],[Route]]=ClosureLocation!$B$3, ClosureLocation!$B$6 &lt;= Table4[[#This Row],[StartMP]], ClosureLocation!$B$6 &gt;= Table4[[#This Row],[EndMP]]), "Yes", "")</f>
        <v/>
      </c>
      <c r="R2290" s="1" t="str">
        <f>IF( OR( Table4[[#This Row],[PrimaryMatch]]="Yes", Table4[[#This Row],[SecondaryMatch]]="Yes"), "Yes", "")</f>
        <v/>
      </c>
    </row>
    <row r="2291" spans="1:18" hidden="1" x14ac:dyDescent="0.25">
      <c r="A2291" t="s">
        <v>149</v>
      </c>
      <c r="B2291" t="s">
        <v>3205</v>
      </c>
      <c r="C2291" t="s">
        <v>3222</v>
      </c>
      <c r="D2291" t="s">
        <v>3291</v>
      </c>
      <c r="E2291" s="1">
        <v>2.1579999999999999</v>
      </c>
      <c r="F2291" s="1">
        <v>2.7839999999999998</v>
      </c>
      <c r="G2291">
        <v>2</v>
      </c>
      <c r="H2291">
        <v>1</v>
      </c>
      <c r="I2291" t="s">
        <v>2114</v>
      </c>
      <c r="J2291" t="s">
        <v>1705</v>
      </c>
      <c r="K2291" s="39">
        <v>3.1830699999999998</v>
      </c>
      <c r="L2291" s="1">
        <v>3.8858090000000001</v>
      </c>
      <c r="M2291" s="1" t="s">
        <v>3293</v>
      </c>
      <c r="N2291" s="1">
        <v>2.1579999999999999</v>
      </c>
      <c r="O2291" s="1">
        <f>ABS(Table4[[#This Row],[EndMP]]-Table4[[#This Row],[StartMP]])</f>
        <v>0.62599999999999989</v>
      </c>
      <c r="P2291" s="1" t="str">
        <f>IF( AND( Table4[[#This Row],[Route]]=ClosureLocation!$B$3, ClosureLocation!$B$6 &gt;= Table4[[#This Row],[StartMP]], ClosureLocation!$B$6 &lt;= Table4[[#This Row],[EndMP]]), "Yes", "")</f>
        <v/>
      </c>
      <c r="Q2291" s="1" t="str">
        <f>IF( AND( Table4[[#This Row],[Route]]=ClosureLocation!$B$3, ClosureLocation!$B$6 &lt;= Table4[[#This Row],[StartMP]], ClosureLocation!$B$6 &gt;= Table4[[#This Row],[EndMP]]), "Yes", "")</f>
        <v/>
      </c>
      <c r="R2291" s="1" t="str">
        <f>IF( OR( Table4[[#This Row],[PrimaryMatch]]="Yes", Table4[[#This Row],[SecondaryMatch]]="Yes"), "Yes", "")</f>
        <v/>
      </c>
    </row>
    <row r="2292" spans="1:18" hidden="1" x14ac:dyDescent="0.25">
      <c r="A2292" t="s">
        <v>917</v>
      </c>
      <c r="B2292" t="s">
        <v>3205</v>
      </c>
      <c r="C2292" t="s">
        <v>3222</v>
      </c>
      <c r="D2292" t="s">
        <v>3837</v>
      </c>
      <c r="E2292" s="1">
        <v>63.762</v>
      </c>
      <c r="F2292" s="1">
        <v>65.944000000000003</v>
      </c>
      <c r="G2292">
        <v>11</v>
      </c>
      <c r="H2292">
        <v>11</v>
      </c>
      <c r="I2292" t="s">
        <v>2714</v>
      </c>
      <c r="J2292" t="s">
        <v>1694</v>
      </c>
      <c r="K2292" s="39">
        <v>3.1766359999999998</v>
      </c>
      <c r="L2292" s="1">
        <v>6.2834000000000001E-2</v>
      </c>
      <c r="M2292" s="1" t="s">
        <v>89</v>
      </c>
      <c r="N2292" s="1">
        <v>63.762</v>
      </c>
      <c r="O2292" s="1">
        <f>ABS(Table4[[#This Row],[EndMP]]-Table4[[#This Row],[StartMP]])</f>
        <v>2.1820000000000022</v>
      </c>
      <c r="P2292" s="1" t="str">
        <f>IF( AND( Table4[[#This Row],[Route]]=ClosureLocation!$B$3, ClosureLocation!$B$6 &gt;= Table4[[#This Row],[StartMP]], ClosureLocation!$B$6 &lt;= Table4[[#This Row],[EndMP]]), "Yes", "")</f>
        <v/>
      </c>
      <c r="Q2292" s="1" t="str">
        <f>IF( AND( Table4[[#This Row],[Route]]=ClosureLocation!$B$3, ClosureLocation!$B$6 &lt;= Table4[[#This Row],[StartMP]], ClosureLocation!$B$6 &gt;= Table4[[#This Row],[EndMP]]), "Yes", "")</f>
        <v/>
      </c>
      <c r="R2292" s="1" t="str">
        <f>IF( OR( Table4[[#This Row],[PrimaryMatch]]="Yes", Table4[[#This Row],[SecondaryMatch]]="Yes"), "Yes", "")</f>
        <v/>
      </c>
    </row>
    <row r="2293" spans="1:18" hidden="1" x14ac:dyDescent="0.25">
      <c r="A2293" t="s">
        <v>745</v>
      </c>
      <c r="B2293" t="s">
        <v>3205</v>
      </c>
      <c r="C2293" t="s">
        <v>3222</v>
      </c>
      <c r="D2293" t="s">
        <v>3726</v>
      </c>
      <c r="E2293" s="1">
        <v>51.235999999999997</v>
      </c>
      <c r="F2293" s="1">
        <v>51.386000000000003</v>
      </c>
      <c r="G2293">
        <v>4</v>
      </c>
      <c r="H2293">
        <v>4</v>
      </c>
      <c r="I2293" t="s">
        <v>2535</v>
      </c>
      <c r="J2293" t="s">
        <v>1693</v>
      </c>
      <c r="K2293" s="39">
        <v>3.1493530000000001</v>
      </c>
      <c r="L2293" s="1">
        <v>2.4415200000000001</v>
      </c>
      <c r="M2293" s="1" t="s">
        <v>3730</v>
      </c>
      <c r="N2293" s="1">
        <v>51.235999999999997</v>
      </c>
      <c r="O2293" s="1">
        <f>ABS(Table4[[#This Row],[EndMP]]-Table4[[#This Row],[StartMP]])</f>
        <v>0.15000000000000568</v>
      </c>
      <c r="P2293" s="1" t="str">
        <f>IF( AND( Table4[[#This Row],[Route]]=ClosureLocation!$B$3, ClosureLocation!$B$6 &gt;= Table4[[#This Row],[StartMP]], ClosureLocation!$B$6 &lt;= Table4[[#This Row],[EndMP]]), "Yes", "")</f>
        <v/>
      </c>
      <c r="Q2293" s="1" t="str">
        <f>IF( AND( Table4[[#This Row],[Route]]=ClosureLocation!$B$3, ClosureLocation!$B$6 &lt;= Table4[[#This Row],[StartMP]], ClosureLocation!$B$6 &gt;= Table4[[#This Row],[EndMP]]), "Yes", "")</f>
        <v/>
      </c>
      <c r="R2293" s="1" t="str">
        <f>IF( OR( Table4[[#This Row],[PrimaryMatch]]="Yes", Table4[[#This Row],[SecondaryMatch]]="Yes"), "Yes", "")</f>
        <v/>
      </c>
    </row>
    <row r="2294" spans="1:18" hidden="1" x14ac:dyDescent="0.25">
      <c r="A2294" t="s">
        <v>745</v>
      </c>
      <c r="B2294" t="s">
        <v>3209</v>
      </c>
      <c r="C2294" t="s">
        <v>3226</v>
      </c>
      <c r="D2294" t="s">
        <v>3731</v>
      </c>
      <c r="E2294" s="1">
        <v>51.386000000000003</v>
      </c>
      <c r="F2294" s="1">
        <v>51.235999999999997</v>
      </c>
      <c r="G2294">
        <v>1</v>
      </c>
      <c r="H2294">
        <v>5</v>
      </c>
      <c r="I2294" t="s">
        <v>2536</v>
      </c>
      <c r="J2294" t="s">
        <v>1693</v>
      </c>
      <c r="K2294" s="39">
        <v>3.149133</v>
      </c>
      <c r="L2294" s="1">
        <v>2.4415200000000001</v>
      </c>
      <c r="M2294" s="1" t="s">
        <v>3732</v>
      </c>
      <c r="N2294" s="1">
        <v>948.61400000000003</v>
      </c>
      <c r="O2294" s="1">
        <f>ABS(Table4[[#This Row],[EndMP]]-Table4[[#This Row],[StartMP]])</f>
        <v>0.15000000000000568</v>
      </c>
      <c r="P2294" s="1" t="str">
        <f>IF( AND( Table4[[#This Row],[Route]]=ClosureLocation!$B$3, ClosureLocation!$B$6 &gt;= Table4[[#This Row],[StartMP]], ClosureLocation!$B$6 &lt;= Table4[[#This Row],[EndMP]]), "Yes", "")</f>
        <v/>
      </c>
      <c r="Q2294" s="1" t="str">
        <f>IF( AND( Table4[[#This Row],[Route]]=ClosureLocation!$B$3, ClosureLocation!$B$6 &lt;= Table4[[#This Row],[StartMP]], ClosureLocation!$B$6 &gt;= Table4[[#This Row],[EndMP]]), "Yes", "")</f>
        <v/>
      </c>
      <c r="R2294" s="1" t="str">
        <f>IF( OR( Table4[[#This Row],[PrimaryMatch]]="Yes", Table4[[#This Row],[SecondaryMatch]]="Yes"), "Yes", "")</f>
        <v/>
      </c>
    </row>
    <row r="2295" spans="1:18" hidden="1" x14ac:dyDescent="0.25">
      <c r="A2295" t="s">
        <v>1140</v>
      </c>
      <c r="B2295" t="s">
        <v>3209</v>
      </c>
      <c r="C2295" t="s">
        <v>3210</v>
      </c>
      <c r="D2295" t="s">
        <v>4011</v>
      </c>
      <c r="E2295" s="1">
        <v>13.911</v>
      </c>
      <c r="F2295" s="1">
        <v>8.9849999999999994</v>
      </c>
      <c r="H2295">
        <v>4</v>
      </c>
      <c r="I2295" t="s">
        <v>2874</v>
      </c>
      <c r="J2295" t="s">
        <v>1702</v>
      </c>
      <c r="K2295" s="39">
        <v>3.1461160000000001</v>
      </c>
      <c r="L2295" s="1">
        <v>3.0097230000000001</v>
      </c>
      <c r="M2295" s="1" t="s">
        <v>4013</v>
      </c>
      <c r="N2295" s="1">
        <v>986.08900000000006</v>
      </c>
      <c r="O2295" s="1">
        <f>ABS(Table4[[#This Row],[EndMP]]-Table4[[#This Row],[StartMP]])</f>
        <v>4.9260000000000002</v>
      </c>
      <c r="P2295" s="1" t="str">
        <f>IF( AND( Table4[[#This Row],[Route]]=ClosureLocation!$B$3, ClosureLocation!$B$6 &gt;= Table4[[#This Row],[StartMP]], ClosureLocation!$B$6 &lt;= Table4[[#This Row],[EndMP]]), "Yes", "")</f>
        <v/>
      </c>
      <c r="Q2295" s="1" t="str">
        <f>IF( AND( Table4[[#This Row],[Route]]=ClosureLocation!$B$3, ClosureLocation!$B$6 &lt;= Table4[[#This Row],[StartMP]], ClosureLocation!$B$6 &gt;= Table4[[#This Row],[EndMP]]), "Yes", "")</f>
        <v/>
      </c>
      <c r="R2295" s="1" t="str">
        <f>IF( OR( Table4[[#This Row],[PrimaryMatch]]="Yes", Table4[[#This Row],[SecondaryMatch]]="Yes"), "Yes", "")</f>
        <v/>
      </c>
    </row>
    <row r="2296" spans="1:18" hidden="1" x14ac:dyDescent="0.25">
      <c r="A2296" t="s">
        <v>1464</v>
      </c>
      <c r="B2296" t="s">
        <v>3205</v>
      </c>
      <c r="C2296" t="s">
        <v>3222</v>
      </c>
      <c r="D2296" t="s">
        <v>4689</v>
      </c>
      <c r="E2296" s="1">
        <v>0.22600000000000001</v>
      </c>
      <c r="F2296" s="1">
        <v>2.11</v>
      </c>
      <c r="G2296">
        <v>6</v>
      </c>
      <c r="H2296">
        <v>2</v>
      </c>
      <c r="I2296" t="s">
        <v>3041</v>
      </c>
      <c r="J2296" t="s">
        <v>1704</v>
      </c>
      <c r="K2296" s="39">
        <v>3.1422659999999998</v>
      </c>
      <c r="L2296" s="1">
        <v>2.378333</v>
      </c>
      <c r="M2296" s="1" t="s">
        <v>4230</v>
      </c>
      <c r="N2296" s="1">
        <v>0.17699999999999999</v>
      </c>
      <c r="O2296" s="1">
        <f>ABS(Table4[[#This Row],[EndMP]]-Table4[[#This Row],[StartMP]])</f>
        <v>1.8839999999999999</v>
      </c>
      <c r="P2296" s="1" t="str">
        <f>IF( AND( Table4[[#This Row],[Route]]=ClosureLocation!$B$3, ClosureLocation!$B$6 &gt;= Table4[[#This Row],[StartMP]], ClosureLocation!$B$6 &lt;= Table4[[#This Row],[EndMP]]), "Yes", "")</f>
        <v/>
      </c>
      <c r="Q2296" s="1" t="str">
        <f>IF( AND( Table4[[#This Row],[Route]]=ClosureLocation!$B$3, ClosureLocation!$B$6 &lt;= Table4[[#This Row],[StartMP]], ClosureLocation!$B$6 &gt;= Table4[[#This Row],[EndMP]]), "Yes", "")</f>
        <v/>
      </c>
      <c r="R2296" s="1" t="str">
        <f>IF( OR( Table4[[#This Row],[PrimaryMatch]]="Yes", Table4[[#This Row],[SecondaryMatch]]="Yes"), "Yes", "")</f>
        <v/>
      </c>
    </row>
    <row r="2297" spans="1:18" hidden="1" x14ac:dyDescent="0.25">
      <c r="A2297" t="s">
        <v>1467</v>
      </c>
      <c r="B2297" t="s">
        <v>3205</v>
      </c>
      <c r="C2297" t="s">
        <v>3222</v>
      </c>
      <c r="D2297" t="s">
        <v>4691</v>
      </c>
      <c r="E2297" s="1">
        <v>0.17699999999999999</v>
      </c>
      <c r="F2297" s="1">
        <v>0.52200000000000002</v>
      </c>
      <c r="G2297">
        <v>6</v>
      </c>
      <c r="H2297">
        <v>2</v>
      </c>
      <c r="I2297" t="s">
        <v>3041</v>
      </c>
      <c r="J2297" t="s">
        <v>1704</v>
      </c>
      <c r="K2297" s="39">
        <v>3.1422659999999998</v>
      </c>
      <c r="L2297" s="1">
        <v>2.378333</v>
      </c>
      <c r="M2297" s="1" t="s">
        <v>4230</v>
      </c>
      <c r="N2297" s="1">
        <v>0.17699999999999999</v>
      </c>
      <c r="O2297" s="1">
        <f>ABS(Table4[[#This Row],[EndMP]]-Table4[[#This Row],[StartMP]])</f>
        <v>0.34500000000000003</v>
      </c>
      <c r="P2297" s="1" t="str">
        <f>IF( AND( Table4[[#This Row],[Route]]=ClosureLocation!$B$3, ClosureLocation!$B$6 &gt;= Table4[[#This Row],[StartMP]], ClosureLocation!$B$6 &lt;= Table4[[#This Row],[EndMP]]), "Yes", "")</f>
        <v/>
      </c>
      <c r="Q2297" s="1" t="str">
        <f>IF( AND( Table4[[#This Row],[Route]]=ClosureLocation!$B$3, ClosureLocation!$B$6 &lt;= Table4[[#This Row],[StartMP]], ClosureLocation!$B$6 &gt;= Table4[[#This Row],[EndMP]]), "Yes", "")</f>
        <v/>
      </c>
      <c r="R2297" s="1" t="str">
        <f>IF( OR( Table4[[#This Row],[PrimaryMatch]]="Yes", Table4[[#This Row],[SecondaryMatch]]="Yes"), "Yes", "")</f>
        <v/>
      </c>
    </row>
    <row r="2298" spans="1:18" hidden="1" x14ac:dyDescent="0.25">
      <c r="A2298" t="s">
        <v>917</v>
      </c>
      <c r="B2298" t="s">
        <v>3209</v>
      </c>
      <c r="C2298" t="s">
        <v>3226</v>
      </c>
      <c r="D2298" t="s">
        <v>3840</v>
      </c>
      <c r="E2298" s="1">
        <v>5.3129999999999997</v>
      </c>
      <c r="F2298" s="1">
        <v>3.6139999999999999</v>
      </c>
      <c r="G2298">
        <v>20</v>
      </c>
      <c r="H2298">
        <v>42</v>
      </c>
      <c r="I2298" t="s">
        <v>2745</v>
      </c>
      <c r="J2298" t="s">
        <v>1694</v>
      </c>
      <c r="K2298" s="39">
        <v>3.1300439999999998</v>
      </c>
      <c r="L2298" s="1">
        <v>1.8641890000000001</v>
      </c>
      <c r="M2298" s="1" t="s">
        <v>4989</v>
      </c>
      <c r="N2298" s="1">
        <v>994.68700000000001</v>
      </c>
      <c r="O2298" s="1">
        <f>ABS(Table4[[#This Row],[EndMP]]-Table4[[#This Row],[StartMP]])</f>
        <v>1.6989999999999998</v>
      </c>
      <c r="P2298" s="1" t="str">
        <f>IF( AND( Table4[[#This Row],[Route]]=ClosureLocation!$B$3, ClosureLocation!$B$6 &gt;= Table4[[#This Row],[StartMP]], ClosureLocation!$B$6 &lt;= Table4[[#This Row],[EndMP]]), "Yes", "")</f>
        <v/>
      </c>
      <c r="Q2298" s="1" t="str">
        <f>IF( AND( Table4[[#This Row],[Route]]=ClosureLocation!$B$3, ClosureLocation!$B$6 &lt;= Table4[[#This Row],[StartMP]], ClosureLocation!$B$6 &gt;= Table4[[#This Row],[EndMP]]), "Yes", "")</f>
        <v/>
      </c>
      <c r="R2298" s="1" t="str">
        <f>IF( OR( Table4[[#This Row],[PrimaryMatch]]="Yes", Table4[[#This Row],[SecondaryMatch]]="Yes"), "Yes", "")</f>
        <v/>
      </c>
    </row>
    <row r="2299" spans="1:18" hidden="1" x14ac:dyDescent="0.25">
      <c r="A2299" t="s">
        <v>310</v>
      </c>
      <c r="B2299" t="s">
        <v>3209</v>
      </c>
      <c r="C2299" t="s">
        <v>3210</v>
      </c>
      <c r="D2299" t="s">
        <v>3444</v>
      </c>
      <c r="E2299" s="1">
        <v>49.868000000000002</v>
      </c>
      <c r="F2299" s="1">
        <v>49.267000000000003</v>
      </c>
      <c r="G2299">
        <v>33</v>
      </c>
      <c r="H2299">
        <v>6</v>
      </c>
      <c r="I2299" t="s">
        <v>2272</v>
      </c>
      <c r="J2299" t="s">
        <v>1700</v>
      </c>
      <c r="K2299" s="39">
        <v>3.1282459999999999</v>
      </c>
      <c r="L2299" s="1">
        <v>1.5531029999999999</v>
      </c>
      <c r="M2299" s="1" t="s">
        <v>4908</v>
      </c>
      <c r="N2299" s="1">
        <v>950.13199999999995</v>
      </c>
      <c r="O2299" s="1">
        <f>ABS(Table4[[#This Row],[EndMP]]-Table4[[#This Row],[StartMP]])</f>
        <v>0.60099999999999909</v>
      </c>
      <c r="P2299" s="1" t="str">
        <f>IF( AND( Table4[[#This Row],[Route]]=ClosureLocation!$B$3, ClosureLocation!$B$6 &gt;= Table4[[#This Row],[StartMP]], ClosureLocation!$B$6 &lt;= Table4[[#This Row],[EndMP]]), "Yes", "")</f>
        <v/>
      </c>
      <c r="Q2299" s="1" t="str">
        <f>IF( AND( Table4[[#This Row],[Route]]=ClosureLocation!$B$3, ClosureLocation!$B$6 &lt;= Table4[[#This Row],[StartMP]], ClosureLocation!$B$6 &gt;= Table4[[#This Row],[EndMP]]), "Yes", "")</f>
        <v/>
      </c>
      <c r="R2299" s="1" t="str">
        <f>IF( OR( Table4[[#This Row],[PrimaryMatch]]="Yes", Table4[[#This Row],[SecondaryMatch]]="Yes"), "Yes", "")</f>
        <v/>
      </c>
    </row>
    <row r="2300" spans="1:18" hidden="1" x14ac:dyDescent="0.25">
      <c r="A2300" t="s">
        <v>593</v>
      </c>
      <c r="B2300" t="s">
        <v>3209</v>
      </c>
      <c r="C2300" t="s">
        <v>3210</v>
      </c>
      <c r="D2300" t="s">
        <v>3606</v>
      </c>
      <c r="E2300" s="1">
        <v>4.734</v>
      </c>
      <c r="F2300" s="1">
        <v>0.16</v>
      </c>
      <c r="G2300">
        <v>2</v>
      </c>
      <c r="H2300">
        <v>2</v>
      </c>
      <c r="I2300" t="s">
        <v>2405</v>
      </c>
      <c r="J2300" t="s">
        <v>1707</v>
      </c>
      <c r="K2300" s="39">
        <v>3.1183779999999999</v>
      </c>
      <c r="L2300" s="1">
        <v>2.614614</v>
      </c>
      <c r="M2300" s="1" t="s">
        <v>3608</v>
      </c>
      <c r="N2300" s="1">
        <v>995.26599999999996</v>
      </c>
      <c r="O2300" s="1">
        <f>ABS(Table4[[#This Row],[EndMP]]-Table4[[#This Row],[StartMP]])</f>
        <v>4.5739999999999998</v>
      </c>
      <c r="P2300" s="1" t="str">
        <f>IF( AND( Table4[[#This Row],[Route]]=ClosureLocation!$B$3, ClosureLocation!$B$6 &gt;= Table4[[#This Row],[StartMP]], ClosureLocation!$B$6 &lt;= Table4[[#This Row],[EndMP]]), "Yes", "")</f>
        <v/>
      </c>
      <c r="Q2300" s="1" t="str">
        <f>IF( AND( Table4[[#This Row],[Route]]=ClosureLocation!$B$3, ClosureLocation!$B$6 &lt;= Table4[[#This Row],[StartMP]], ClosureLocation!$B$6 &gt;= Table4[[#This Row],[EndMP]]), "Yes", "")</f>
        <v/>
      </c>
      <c r="R2300" s="1" t="str">
        <f>IF( OR( Table4[[#This Row],[PrimaryMatch]]="Yes", Table4[[#This Row],[SecondaryMatch]]="Yes"), "Yes", "")</f>
        <v/>
      </c>
    </row>
    <row r="2301" spans="1:18" hidden="1" x14ac:dyDescent="0.25">
      <c r="A2301" t="s">
        <v>776</v>
      </c>
      <c r="B2301" t="s">
        <v>3209</v>
      </c>
      <c r="C2301" t="s">
        <v>3226</v>
      </c>
      <c r="D2301" t="s">
        <v>3749</v>
      </c>
      <c r="E2301" s="1">
        <v>259.56599999999997</v>
      </c>
      <c r="F2301" s="1">
        <v>258.96899999999999</v>
      </c>
      <c r="G2301">
        <v>25</v>
      </c>
      <c r="H2301">
        <v>78</v>
      </c>
      <c r="I2301" t="s">
        <v>2624</v>
      </c>
      <c r="J2301" t="s">
        <v>1694</v>
      </c>
      <c r="K2301" s="39">
        <v>3.0968140000000002</v>
      </c>
      <c r="L2301" s="1">
        <v>0.591534</v>
      </c>
      <c r="M2301" s="1" t="s">
        <v>4517</v>
      </c>
      <c r="N2301" s="1">
        <v>740.43399999999997</v>
      </c>
      <c r="O2301" s="1">
        <f>ABS(Table4[[#This Row],[EndMP]]-Table4[[#This Row],[StartMP]])</f>
        <v>0.59699999999997999</v>
      </c>
      <c r="P2301" s="1" t="str">
        <f>IF( AND( Table4[[#This Row],[Route]]=ClosureLocation!$B$3, ClosureLocation!$B$6 &gt;= Table4[[#This Row],[StartMP]], ClosureLocation!$B$6 &lt;= Table4[[#This Row],[EndMP]]), "Yes", "")</f>
        <v/>
      </c>
      <c r="Q2301" s="1" t="str">
        <f>IF( AND( Table4[[#This Row],[Route]]=ClosureLocation!$B$3, ClosureLocation!$B$6 &lt;= Table4[[#This Row],[StartMP]], ClosureLocation!$B$6 &gt;= Table4[[#This Row],[EndMP]]), "Yes", "")</f>
        <v/>
      </c>
      <c r="R2301" s="1" t="str">
        <f>IF( OR( Table4[[#This Row],[PrimaryMatch]]="Yes", Table4[[#This Row],[SecondaryMatch]]="Yes"), "Yes", "")</f>
        <v/>
      </c>
    </row>
    <row r="2302" spans="1:18" hidden="1" x14ac:dyDescent="0.25">
      <c r="A2302" t="s">
        <v>385</v>
      </c>
      <c r="B2302" t="s">
        <v>3205</v>
      </c>
      <c r="C2302" t="s">
        <v>3222</v>
      </c>
      <c r="D2302" t="s">
        <v>3471</v>
      </c>
      <c r="E2302" s="1">
        <v>10.032</v>
      </c>
      <c r="F2302" s="1">
        <v>17.314</v>
      </c>
      <c r="H2302">
        <v>1</v>
      </c>
      <c r="I2302" t="s">
        <v>2284</v>
      </c>
      <c r="J2302" t="s">
        <v>2040</v>
      </c>
      <c r="K2302" s="39">
        <v>3.0879110000000001</v>
      </c>
      <c r="L2302" s="1">
        <v>3.767474</v>
      </c>
      <c r="M2302" s="1" t="s">
        <v>3473</v>
      </c>
      <c r="N2302" s="1">
        <v>10.032</v>
      </c>
      <c r="O2302" s="1">
        <f>ABS(Table4[[#This Row],[EndMP]]-Table4[[#This Row],[StartMP]])</f>
        <v>7.282</v>
      </c>
      <c r="P2302" s="1" t="str">
        <f>IF( AND( Table4[[#This Row],[Route]]=ClosureLocation!$B$3, ClosureLocation!$B$6 &gt;= Table4[[#This Row],[StartMP]], ClosureLocation!$B$6 &lt;= Table4[[#This Row],[EndMP]]), "Yes", "")</f>
        <v/>
      </c>
      <c r="Q2302" s="1" t="str">
        <f>IF( AND( Table4[[#This Row],[Route]]=ClosureLocation!$B$3, ClosureLocation!$B$6 &lt;= Table4[[#This Row],[StartMP]], ClosureLocation!$B$6 &gt;= Table4[[#This Row],[EndMP]]), "Yes", "")</f>
        <v/>
      </c>
      <c r="R2302" s="1" t="str">
        <f>IF( OR( Table4[[#This Row],[PrimaryMatch]]="Yes", Table4[[#This Row],[SecondaryMatch]]="Yes"), "Yes", "")</f>
        <v/>
      </c>
    </row>
    <row r="2303" spans="1:18" hidden="1" x14ac:dyDescent="0.25">
      <c r="A2303" t="s">
        <v>1605</v>
      </c>
      <c r="B2303" t="s">
        <v>3205</v>
      </c>
      <c r="C2303" t="s">
        <v>3206</v>
      </c>
      <c r="D2303" t="s">
        <v>4346</v>
      </c>
      <c r="E2303" s="1">
        <v>187.46299999999999</v>
      </c>
      <c r="F2303" s="1">
        <v>187.886</v>
      </c>
      <c r="G2303">
        <v>2</v>
      </c>
      <c r="H2303">
        <v>2</v>
      </c>
      <c r="I2303" t="s">
        <v>3142</v>
      </c>
      <c r="J2303" t="s">
        <v>1708</v>
      </c>
      <c r="K2303" s="39">
        <v>3.085887</v>
      </c>
      <c r="L2303" s="1">
        <v>2.2831950000000001</v>
      </c>
      <c r="M2303" s="1" t="s">
        <v>4348</v>
      </c>
      <c r="N2303" s="1">
        <v>187.46299999999999</v>
      </c>
      <c r="O2303" s="1">
        <f>ABS(Table4[[#This Row],[EndMP]]-Table4[[#This Row],[StartMP]])</f>
        <v>0.42300000000000182</v>
      </c>
      <c r="P2303" s="1" t="str">
        <f>IF( AND( Table4[[#This Row],[Route]]=ClosureLocation!$B$3, ClosureLocation!$B$6 &gt;= Table4[[#This Row],[StartMP]], ClosureLocation!$B$6 &lt;= Table4[[#This Row],[EndMP]]), "Yes", "")</f>
        <v/>
      </c>
      <c r="Q2303" s="1" t="str">
        <f>IF( AND( Table4[[#This Row],[Route]]=ClosureLocation!$B$3, ClosureLocation!$B$6 &lt;= Table4[[#This Row],[StartMP]], ClosureLocation!$B$6 &gt;= Table4[[#This Row],[EndMP]]), "Yes", "")</f>
        <v/>
      </c>
      <c r="R2303" s="1" t="str">
        <f>IF( OR( Table4[[#This Row],[PrimaryMatch]]="Yes", Table4[[#This Row],[SecondaryMatch]]="Yes"), "Yes", "")</f>
        <v/>
      </c>
    </row>
    <row r="2304" spans="1:18" hidden="1" x14ac:dyDescent="0.25">
      <c r="A2304" t="s">
        <v>385</v>
      </c>
      <c r="B2304" t="s">
        <v>3205</v>
      </c>
      <c r="C2304" t="s">
        <v>3222</v>
      </c>
      <c r="D2304" t="s">
        <v>3471</v>
      </c>
      <c r="E2304" s="1">
        <v>8.3000000000000004E-2</v>
      </c>
      <c r="F2304" s="1">
        <v>3.831</v>
      </c>
      <c r="H2304">
        <v>1</v>
      </c>
      <c r="I2304" t="s">
        <v>2283</v>
      </c>
      <c r="J2304" t="s">
        <v>1705</v>
      </c>
      <c r="K2304" s="39">
        <v>3.08568</v>
      </c>
      <c r="L2304" s="1">
        <v>3.309456</v>
      </c>
      <c r="M2304" s="1" t="s">
        <v>3472</v>
      </c>
      <c r="N2304" s="1">
        <v>8.3000000000000004E-2</v>
      </c>
      <c r="O2304" s="1">
        <f>ABS(Table4[[#This Row],[EndMP]]-Table4[[#This Row],[StartMP]])</f>
        <v>3.7479999999999998</v>
      </c>
      <c r="P2304" s="1" t="str">
        <f>IF( AND( Table4[[#This Row],[Route]]=ClosureLocation!$B$3, ClosureLocation!$B$6 &gt;= Table4[[#This Row],[StartMP]], ClosureLocation!$B$6 &lt;= Table4[[#This Row],[EndMP]]), "Yes", "")</f>
        <v/>
      </c>
      <c r="Q2304" s="1" t="str">
        <f>IF( AND( Table4[[#This Row],[Route]]=ClosureLocation!$B$3, ClosureLocation!$B$6 &lt;= Table4[[#This Row],[StartMP]], ClosureLocation!$B$6 &gt;= Table4[[#This Row],[EndMP]]), "Yes", "")</f>
        <v/>
      </c>
      <c r="R2304" s="1" t="str">
        <f>IF( OR( Table4[[#This Row],[PrimaryMatch]]="Yes", Table4[[#This Row],[SecondaryMatch]]="Yes"), "Yes", "")</f>
        <v/>
      </c>
    </row>
    <row r="2305" spans="1:18" hidden="1" x14ac:dyDescent="0.25">
      <c r="A2305" t="s">
        <v>385</v>
      </c>
      <c r="B2305" t="s">
        <v>3209</v>
      </c>
      <c r="C2305" t="s">
        <v>3226</v>
      </c>
      <c r="D2305" t="s">
        <v>3474</v>
      </c>
      <c r="E2305" s="1">
        <v>17.314</v>
      </c>
      <c r="F2305" s="1">
        <v>10.032</v>
      </c>
      <c r="H2305">
        <v>2</v>
      </c>
      <c r="I2305" t="s">
        <v>2285</v>
      </c>
      <c r="J2305" t="s">
        <v>2040</v>
      </c>
      <c r="K2305" s="39">
        <v>3.0647579999999999</v>
      </c>
      <c r="L2305" s="1">
        <v>3.678601</v>
      </c>
      <c r="M2305" s="1" t="s">
        <v>3475</v>
      </c>
      <c r="N2305" s="1">
        <v>982.68600000000004</v>
      </c>
      <c r="O2305" s="1">
        <f>ABS(Table4[[#This Row],[EndMP]]-Table4[[#This Row],[StartMP]])</f>
        <v>7.282</v>
      </c>
      <c r="P2305" s="1" t="str">
        <f>IF( AND( Table4[[#This Row],[Route]]=ClosureLocation!$B$3, ClosureLocation!$B$6 &gt;= Table4[[#This Row],[StartMP]], ClosureLocation!$B$6 &lt;= Table4[[#This Row],[EndMP]]), "Yes", "")</f>
        <v/>
      </c>
      <c r="Q2305" s="1" t="str">
        <f>IF( AND( Table4[[#This Row],[Route]]=ClosureLocation!$B$3, ClosureLocation!$B$6 &lt;= Table4[[#This Row],[StartMP]], ClosureLocation!$B$6 &gt;= Table4[[#This Row],[EndMP]]), "Yes", "")</f>
        <v/>
      </c>
      <c r="R2305" s="1" t="str">
        <f>IF( OR( Table4[[#This Row],[PrimaryMatch]]="Yes", Table4[[#This Row],[SecondaryMatch]]="Yes"), "Yes", "")</f>
        <v/>
      </c>
    </row>
    <row r="2306" spans="1:18" hidden="1" x14ac:dyDescent="0.25">
      <c r="A2306" t="s">
        <v>1464</v>
      </c>
      <c r="B2306" t="s">
        <v>3209</v>
      </c>
      <c r="C2306" t="s">
        <v>3226</v>
      </c>
      <c r="D2306" t="s">
        <v>4690</v>
      </c>
      <c r="E2306" s="1">
        <v>2.11</v>
      </c>
      <c r="F2306" s="1">
        <v>0.17699999999999999</v>
      </c>
      <c r="G2306">
        <v>3</v>
      </c>
      <c r="H2306">
        <v>7</v>
      </c>
      <c r="I2306" t="s">
        <v>3046</v>
      </c>
      <c r="J2306" t="s">
        <v>1704</v>
      </c>
      <c r="K2306" s="39">
        <v>3.0528330000000001</v>
      </c>
      <c r="L2306" s="1">
        <v>2.2603240000000002</v>
      </c>
      <c r="M2306" s="1" t="s">
        <v>4235</v>
      </c>
      <c r="N2306" s="1">
        <v>997.89</v>
      </c>
      <c r="O2306" s="1">
        <f>ABS(Table4[[#This Row],[EndMP]]-Table4[[#This Row],[StartMP]])</f>
        <v>1.9329999999999998</v>
      </c>
      <c r="P2306" s="1" t="str">
        <f>IF( AND( Table4[[#This Row],[Route]]=ClosureLocation!$B$3, ClosureLocation!$B$6 &gt;= Table4[[#This Row],[StartMP]], ClosureLocation!$B$6 &lt;= Table4[[#This Row],[EndMP]]), "Yes", "")</f>
        <v/>
      </c>
      <c r="Q2306" s="1" t="str">
        <f>IF( AND( Table4[[#This Row],[Route]]=ClosureLocation!$B$3, ClosureLocation!$B$6 &lt;= Table4[[#This Row],[StartMP]], ClosureLocation!$B$6 &gt;= Table4[[#This Row],[EndMP]]), "Yes", "")</f>
        <v/>
      </c>
      <c r="R2306" s="1" t="str">
        <f>IF( OR( Table4[[#This Row],[PrimaryMatch]]="Yes", Table4[[#This Row],[SecondaryMatch]]="Yes"), "Yes", "")</f>
        <v/>
      </c>
    </row>
    <row r="2307" spans="1:18" hidden="1" x14ac:dyDescent="0.25">
      <c r="A2307" t="s">
        <v>1467</v>
      </c>
      <c r="B2307" t="s">
        <v>3209</v>
      </c>
      <c r="C2307" t="s">
        <v>3226</v>
      </c>
      <c r="D2307" t="s">
        <v>4692</v>
      </c>
      <c r="E2307" s="1">
        <v>0.98599999999999999</v>
      </c>
      <c r="F2307" s="1">
        <v>0.17699999999999999</v>
      </c>
      <c r="G2307">
        <v>3</v>
      </c>
      <c r="H2307">
        <v>7</v>
      </c>
      <c r="I2307" t="s">
        <v>3046</v>
      </c>
      <c r="J2307" t="s">
        <v>1704</v>
      </c>
      <c r="K2307" s="39">
        <v>3.0528330000000001</v>
      </c>
      <c r="L2307" s="1">
        <v>2.2603240000000002</v>
      </c>
      <c r="M2307" s="1" t="s">
        <v>4235</v>
      </c>
      <c r="N2307" s="1">
        <f>1000 - 0.986</f>
        <v>999.01400000000001</v>
      </c>
      <c r="O2307" s="1">
        <f>ABS(Table4[[#This Row],[EndMP]]-Table4[[#This Row],[StartMP]])</f>
        <v>0.80899999999999994</v>
      </c>
      <c r="P2307" s="1" t="str">
        <f>IF( AND( Table4[[#This Row],[Route]]=ClosureLocation!$B$3, ClosureLocation!$B$6 &gt;= Table4[[#This Row],[StartMP]], ClosureLocation!$B$6 &lt;= Table4[[#This Row],[EndMP]]), "Yes", "")</f>
        <v/>
      </c>
      <c r="Q2307" s="1" t="str">
        <f>IF( AND( Table4[[#This Row],[Route]]=ClosureLocation!$B$3, ClosureLocation!$B$6 &lt;= Table4[[#This Row],[StartMP]], ClosureLocation!$B$6 &gt;= Table4[[#This Row],[EndMP]]), "Yes", "")</f>
        <v/>
      </c>
      <c r="R2307" s="1" t="str">
        <f>IF( OR( Table4[[#This Row],[PrimaryMatch]]="Yes", Table4[[#This Row],[SecondaryMatch]]="Yes"), "Yes", "")</f>
        <v/>
      </c>
    </row>
    <row r="2308" spans="1:18" hidden="1" x14ac:dyDescent="0.25">
      <c r="A2308" t="s">
        <v>776</v>
      </c>
      <c r="B2308" t="s">
        <v>3205</v>
      </c>
      <c r="C2308" t="s">
        <v>3222</v>
      </c>
      <c r="D2308" t="s">
        <v>3748</v>
      </c>
      <c r="E2308" s="1">
        <v>262.81200000000001</v>
      </c>
      <c r="F2308" s="1">
        <v>268.73399999999998</v>
      </c>
      <c r="G2308">
        <v>33</v>
      </c>
      <c r="H2308">
        <v>33</v>
      </c>
      <c r="I2308" t="s">
        <v>2578</v>
      </c>
      <c r="J2308" t="s">
        <v>1694</v>
      </c>
      <c r="K2308" s="39">
        <v>3.0210940000000002</v>
      </c>
      <c r="L2308" s="1">
        <v>0.53136099999999997</v>
      </c>
      <c r="M2308" s="1" t="s">
        <v>4397</v>
      </c>
      <c r="N2308" s="1">
        <v>262.81200000000001</v>
      </c>
      <c r="O2308" s="1">
        <f>ABS(Table4[[#This Row],[EndMP]]-Table4[[#This Row],[StartMP]])</f>
        <v>5.9219999999999686</v>
      </c>
      <c r="P2308" s="1" t="str">
        <f>IF( AND( Table4[[#This Row],[Route]]=ClosureLocation!$B$3, ClosureLocation!$B$6 &gt;= Table4[[#This Row],[StartMP]], ClosureLocation!$B$6 &lt;= Table4[[#This Row],[EndMP]]), "Yes", "")</f>
        <v/>
      </c>
      <c r="Q2308" s="1" t="str">
        <f>IF( AND( Table4[[#This Row],[Route]]=ClosureLocation!$B$3, ClosureLocation!$B$6 &lt;= Table4[[#This Row],[StartMP]], ClosureLocation!$B$6 &gt;= Table4[[#This Row],[EndMP]]), "Yes", "")</f>
        <v/>
      </c>
      <c r="R2308" s="1" t="str">
        <f>IF( OR( Table4[[#This Row],[PrimaryMatch]]="Yes", Table4[[#This Row],[SecondaryMatch]]="Yes"), "Yes", "")</f>
        <v/>
      </c>
    </row>
    <row r="2309" spans="1:18" hidden="1" x14ac:dyDescent="0.25">
      <c r="A2309" t="s">
        <v>9</v>
      </c>
      <c r="B2309" t="s">
        <v>3205</v>
      </c>
      <c r="C2309" t="s">
        <v>3206</v>
      </c>
      <c r="D2309" t="s">
        <v>3207</v>
      </c>
      <c r="E2309" s="1">
        <v>0</v>
      </c>
      <c r="F2309" s="1">
        <v>9.8859999999999992</v>
      </c>
      <c r="G2309">
        <v>1</v>
      </c>
      <c r="H2309">
        <v>1</v>
      </c>
      <c r="I2309" t="s">
        <v>2048</v>
      </c>
      <c r="J2309" t="s">
        <v>1696</v>
      </c>
      <c r="K2309" s="39">
        <v>3.005099</v>
      </c>
      <c r="L2309" s="1">
        <v>4.6316490000000003</v>
      </c>
      <c r="M2309" s="1" t="s">
        <v>3208</v>
      </c>
      <c r="N2309" s="1">
        <v>0</v>
      </c>
      <c r="O2309" s="1">
        <f>ABS(Table4[[#This Row],[EndMP]]-Table4[[#This Row],[StartMP]])</f>
        <v>9.8859999999999992</v>
      </c>
      <c r="P2309" s="1" t="str">
        <f>IF( AND( Table4[[#This Row],[Route]]=ClosureLocation!$B$3, ClosureLocation!$B$6 &gt;= Table4[[#This Row],[StartMP]], ClosureLocation!$B$6 &lt;= Table4[[#This Row],[EndMP]]), "Yes", "")</f>
        <v/>
      </c>
      <c r="Q2309" s="1" t="str">
        <f>IF( AND( Table4[[#This Row],[Route]]=ClosureLocation!$B$3, ClosureLocation!$B$6 &lt;= Table4[[#This Row],[StartMP]], ClosureLocation!$B$6 &gt;= Table4[[#This Row],[EndMP]]), "Yes", "")</f>
        <v/>
      </c>
      <c r="R2309" s="1" t="str">
        <f>IF( OR( Table4[[#This Row],[PrimaryMatch]]="Yes", Table4[[#This Row],[SecondaryMatch]]="Yes"), "Yes", "")</f>
        <v/>
      </c>
    </row>
    <row r="2310" spans="1:18" hidden="1" x14ac:dyDescent="0.25">
      <c r="A2310" t="s">
        <v>917</v>
      </c>
      <c r="B2310" t="s">
        <v>3209</v>
      </c>
      <c r="C2310" t="s">
        <v>3226</v>
      </c>
      <c r="D2310" t="s">
        <v>3840</v>
      </c>
      <c r="E2310" s="1">
        <v>184.13499999999999</v>
      </c>
      <c r="F2310" s="1">
        <v>180.47900000000001</v>
      </c>
      <c r="G2310">
        <v>1</v>
      </c>
      <c r="H2310">
        <v>23</v>
      </c>
      <c r="I2310" t="s">
        <v>2726</v>
      </c>
      <c r="J2310" t="s">
        <v>1694</v>
      </c>
      <c r="K2310" s="39">
        <v>2.9893429999999999</v>
      </c>
      <c r="L2310" s="1">
        <v>1.4961439999999999</v>
      </c>
      <c r="M2310" s="58" t="s">
        <v>3841</v>
      </c>
      <c r="N2310" s="1">
        <v>815.86500000000001</v>
      </c>
      <c r="O2310" s="1">
        <f>ABS(Table4[[#This Row],[EndMP]]-Table4[[#This Row],[StartMP]])</f>
        <v>3.6559999999999775</v>
      </c>
      <c r="P2310" s="1" t="str">
        <f>IF( AND( Table4[[#This Row],[Route]]=ClosureLocation!$B$3, ClosureLocation!$B$6 &gt;= Table4[[#This Row],[StartMP]], ClosureLocation!$B$6 &lt;= Table4[[#This Row],[EndMP]]), "Yes", "")</f>
        <v/>
      </c>
      <c r="Q2310" s="1" t="str">
        <f>IF( AND( Table4[[#This Row],[Route]]=ClosureLocation!$B$3, ClosureLocation!$B$6 &lt;= Table4[[#This Row],[StartMP]], ClosureLocation!$B$6 &gt;= Table4[[#This Row],[EndMP]]), "Yes", "")</f>
        <v/>
      </c>
      <c r="R2310" s="1" t="str">
        <f>IF( OR( Table4[[#This Row],[PrimaryMatch]]="Yes", Table4[[#This Row],[SecondaryMatch]]="Yes"), "Yes", "")</f>
        <v/>
      </c>
    </row>
    <row r="2311" spans="1:18" hidden="1" x14ac:dyDescent="0.25">
      <c r="A2311" t="s">
        <v>1180</v>
      </c>
      <c r="B2311" t="s">
        <v>3205</v>
      </c>
      <c r="C2311" t="s">
        <v>3206</v>
      </c>
      <c r="D2311" t="s">
        <v>4038</v>
      </c>
      <c r="E2311" s="1">
        <v>7.7220000000000004</v>
      </c>
      <c r="F2311" s="1">
        <v>9.0619999999999994</v>
      </c>
      <c r="G2311">
        <v>2</v>
      </c>
      <c r="H2311">
        <v>2</v>
      </c>
      <c r="I2311" t="s">
        <v>2895</v>
      </c>
      <c r="J2311" t="s">
        <v>1708</v>
      </c>
      <c r="K2311" s="39">
        <v>2.974399</v>
      </c>
      <c r="L2311" s="1">
        <v>5.6177159999999997</v>
      </c>
      <c r="M2311" s="1" t="s">
        <v>4039</v>
      </c>
      <c r="N2311" s="1">
        <v>7.7220000000000004</v>
      </c>
      <c r="O2311" s="1">
        <f>ABS(Table4[[#This Row],[EndMP]]-Table4[[#This Row],[StartMP]])</f>
        <v>1.339999999999999</v>
      </c>
      <c r="P2311" s="1" t="str">
        <f>IF( AND( Table4[[#This Row],[Route]]=ClosureLocation!$B$3, ClosureLocation!$B$6 &gt;= Table4[[#This Row],[StartMP]], ClosureLocation!$B$6 &lt;= Table4[[#This Row],[EndMP]]), "Yes", "")</f>
        <v/>
      </c>
      <c r="Q2311" s="1" t="str">
        <f>IF( AND( Table4[[#This Row],[Route]]=ClosureLocation!$B$3, ClosureLocation!$B$6 &lt;= Table4[[#This Row],[StartMP]], ClosureLocation!$B$6 &gt;= Table4[[#This Row],[EndMP]]), "Yes", "")</f>
        <v/>
      </c>
      <c r="R2311" s="1" t="str">
        <f>IF( OR( Table4[[#This Row],[PrimaryMatch]]="Yes", Table4[[#This Row],[SecondaryMatch]]="Yes"), "Yes", "")</f>
        <v/>
      </c>
    </row>
    <row r="2312" spans="1:18" hidden="1" x14ac:dyDescent="0.25">
      <c r="A2312" t="s">
        <v>1645</v>
      </c>
      <c r="B2312" t="s">
        <v>3209</v>
      </c>
      <c r="C2312" t="s">
        <v>3226</v>
      </c>
      <c r="D2312" t="s">
        <v>4694</v>
      </c>
      <c r="E2312" s="1">
        <v>25.731999999999999</v>
      </c>
      <c r="F2312" s="1">
        <v>0.47099999999999997</v>
      </c>
      <c r="G2312">
        <v>1</v>
      </c>
      <c r="H2312">
        <v>2</v>
      </c>
      <c r="I2312" t="s">
        <v>3180</v>
      </c>
      <c r="J2312" t="s">
        <v>1708</v>
      </c>
      <c r="K2312" s="39">
        <v>2.9632969999999998</v>
      </c>
      <c r="L2312" s="1">
        <v>-2.2452390000000002</v>
      </c>
      <c r="M2312" s="1" t="s">
        <v>4398</v>
      </c>
      <c r="N2312" s="1">
        <v>974.26800000000003</v>
      </c>
      <c r="O2312" s="1">
        <f>ABS(Table4[[#This Row],[EndMP]]-Table4[[#This Row],[StartMP]])</f>
        <v>25.260999999999999</v>
      </c>
      <c r="P2312" s="1" t="str">
        <f>IF( AND( Table4[[#This Row],[Route]]=ClosureLocation!$B$3, ClosureLocation!$B$6 &gt;= Table4[[#This Row],[StartMP]], ClosureLocation!$B$6 &lt;= Table4[[#This Row],[EndMP]]), "Yes", "")</f>
        <v/>
      </c>
      <c r="Q2312" s="1" t="str">
        <f>IF( AND( Table4[[#This Row],[Route]]=ClosureLocation!$B$3, ClosureLocation!$B$6 &lt;= Table4[[#This Row],[StartMP]], ClosureLocation!$B$6 &gt;= Table4[[#This Row],[EndMP]]), "Yes", "")</f>
        <v/>
      </c>
      <c r="R2312" s="1" t="str">
        <f>IF( OR( Table4[[#This Row],[PrimaryMatch]]="Yes", Table4[[#This Row],[SecondaryMatch]]="Yes"), "Yes", "")</f>
        <v/>
      </c>
    </row>
    <row r="2313" spans="1:18" hidden="1" x14ac:dyDescent="0.25">
      <c r="A2313" t="s">
        <v>1665</v>
      </c>
      <c r="B2313" t="s">
        <v>3209</v>
      </c>
      <c r="C2313" t="s">
        <v>3222</v>
      </c>
      <c r="D2313" t="s">
        <v>4696</v>
      </c>
      <c r="E2313" s="1">
        <v>0.60899999999999999</v>
      </c>
      <c r="F2313" s="1">
        <v>0.33300000000000002</v>
      </c>
      <c r="G2313">
        <v>1</v>
      </c>
      <c r="H2313">
        <v>2</v>
      </c>
      <c r="I2313" t="s">
        <v>3180</v>
      </c>
      <c r="J2313" t="s">
        <v>1708</v>
      </c>
      <c r="K2313" s="39">
        <v>2.9632969999999998</v>
      </c>
      <c r="L2313" s="1">
        <v>-2.2452390000000002</v>
      </c>
      <c r="M2313" s="1" t="s">
        <v>4398</v>
      </c>
      <c r="N2313" s="1">
        <v>974.26800000000003</v>
      </c>
      <c r="O2313" s="1">
        <f>ABS(Table4[[#This Row],[EndMP]]-Table4[[#This Row],[StartMP]])</f>
        <v>0.27599999999999997</v>
      </c>
      <c r="P2313" s="1" t="str">
        <f>IF( AND( Table4[[#This Row],[Route]]=ClosureLocation!$B$3, ClosureLocation!$B$6 &gt;= Table4[[#This Row],[StartMP]], ClosureLocation!$B$6 &lt;= Table4[[#This Row],[EndMP]]), "Yes", "")</f>
        <v/>
      </c>
      <c r="Q2313" s="1" t="str">
        <f>IF( AND( Table4[[#This Row],[Route]]=ClosureLocation!$B$3, ClosureLocation!$B$6 &lt;= Table4[[#This Row],[StartMP]], ClosureLocation!$B$6 &gt;= Table4[[#This Row],[EndMP]]), "Yes", "")</f>
        <v/>
      </c>
      <c r="R2313" s="1" t="str">
        <f>IF( OR( Table4[[#This Row],[PrimaryMatch]]="Yes", Table4[[#This Row],[SecondaryMatch]]="Yes"), "Yes", "")</f>
        <v/>
      </c>
    </row>
    <row r="2314" spans="1:18" hidden="1" x14ac:dyDescent="0.25">
      <c r="A2314" t="s">
        <v>776</v>
      </c>
      <c r="B2314" t="s">
        <v>3209</v>
      </c>
      <c r="C2314" t="s">
        <v>3226</v>
      </c>
      <c r="D2314" t="s">
        <v>3749</v>
      </c>
      <c r="E2314" s="1">
        <v>361.55599999999998</v>
      </c>
      <c r="F2314" s="1">
        <v>359.81599999999997</v>
      </c>
      <c r="G2314">
        <v>9</v>
      </c>
      <c r="H2314">
        <v>62</v>
      </c>
      <c r="I2314" t="s">
        <v>2608</v>
      </c>
      <c r="J2314" t="s">
        <v>1694</v>
      </c>
      <c r="K2314" s="39">
        <v>2.9542320000000002</v>
      </c>
      <c r="L2314" s="1">
        <v>0.54818999999999996</v>
      </c>
      <c r="M2314" s="1" t="s">
        <v>4503</v>
      </c>
      <c r="N2314" s="1">
        <v>638.44399999999996</v>
      </c>
      <c r="O2314" s="1">
        <f>ABS(Table4[[#This Row],[EndMP]]-Table4[[#This Row],[StartMP]])</f>
        <v>1.7400000000000091</v>
      </c>
      <c r="P2314" s="1" t="str">
        <f>IF( AND( Table4[[#This Row],[Route]]=ClosureLocation!$B$3, ClosureLocation!$B$6 &gt;= Table4[[#This Row],[StartMP]], ClosureLocation!$B$6 &lt;= Table4[[#This Row],[EndMP]]), "Yes", "")</f>
        <v/>
      </c>
      <c r="Q2314" s="1" t="str">
        <f>IF( AND( Table4[[#This Row],[Route]]=ClosureLocation!$B$3, ClosureLocation!$B$6 &lt;= Table4[[#This Row],[StartMP]], ClosureLocation!$B$6 &gt;= Table4[[#This Row],[EndMP]]), "Yes", "")</f>
        <v/>
      </c>
      <c r="R2314" s="1" t="str">
        <f>IF( OR( Table4[[#This Row],[PrimaryMatch]]="Yes", Table4[[#This Row],[SecondaryMatch]]="Yes"), "Yes", "")</f>
        <v/>
      </c>
    </row>
    <row r="2315" spans="1:18" hidden="1" x14ac:dyDescent="0.25">
      <c r="A2315" t="s">
        <v>394</v>
      </c>
      <c r="B2315" t="s">
        <v>3209</v>
      </c>
      <c r="C2315" t="s">
        <v>3226</v>
      </c>
      <c r="D2315" t="s">
        <v>3487</v>
      </c>
      <c r="E2315" s="1">
        <v>60.965000000000003</v>
      </c>
      <c r="F2315" s="1">
        <v>53.758000000000003</v>
      </c>
      <c r="G2315">
        <v>10</v>
      </c>
      <c r="H2315">
        <v>2</v>
      </c>
      <c r="I2315" t="s">
        <v>2306</v>
      </c>
      <c r="J2315" t="s">
        <v>1702</v>
      </c>
      <c r="K2315" s="39">
        <v>2.940725</v>
      </c>
      <c r="L2315" s="1">
        <v>1.4854019999999999</v>
      </c>
      <c r="M2315" s="1" t="s">
        <v>3495</v>
      </c>
      <c r="N2315" s="1">
        <v>939.03499999999997</v>
      </c>
      <c r="O2315" s="1">
        <f>ABS(Table4[[#This Row],[EndMP]]-Table4[[#This Row],[StartMP]])</f>
        <v>7.2070000000000007</v>
      </c>
      <c r="P2315" s="1" t="str">
        <f>IF( AND( Table4[[#This Row],[Route]]=ClosureLocation!$B$3, ClosureLocation!$B$6 &gt;= Table4[[#This Row],[StartMP]], ClosureLocation!$B$6 &lt;= Table4[[#This Row],[EndMP]]), "Yes", "")</f>
        <v/>
      </c>
      <c r="Q2315" s="1" t="str">
        <f>IF( AND( Table4[[#This Row],[Route]]=ClosureLocation!$B$3, ClosureLocation!$B$6 &lt;= Table4[[#This Row],[StartMP]], ClosureLocation!$B$6 &gt;= Table4[[#This Row],[EndMP]]), "Yes", "")</f>
        <v/>
      </c>
      <c r="R2315" s="1" t="str">
        <f>IF( OR( Table4[[#This Row],[PrimaryMatch]]="Yes", Table4[[#This Row],[SecondaryMatch]]="Yes"), "Yes", "")</f>
        <v/>
      </c>
    </row>
    <row r="2316" spans="1:18" hidden="1" x14ac:dyDescent="0.25">
      <c r="A2316" t="s">
        <v>1014</v>
      </c>
      <c r="B2316" t="s">
        <v>3205</v>
      </c>
      <c r="C2316" t="s">
        <v>3206</v>
      </c>
      <c r="D2316" t="s">
        <v>3907</v>
      </c>
      <c r="E2316" s="1">
        <v>266.33199999999999</v>
      </c>
      <c r="F2316" s="1">
        <v>266.654</v>
      </c>
      <c r="G2316">
        <v>1</v>
      </c>
      <c r="H2316">
        <v>1</v>
      </c>
      <c r="I2316" t="s">
        <v>2797</v>
      </c>
      <c r="J2316" t="s">
        <v>1694</v>
      </c>
      <c r="K2316" s="39">
        <v>2.939759</v>
      </c>
      <c r="L2316" s="1">
        <v>1.4974829999999999</v>
      </c>
      <c r="M2316" s="1" t="s">
        <v>4993</v>
      </c>
      <c r="N2316" s="1">
        <v>266.33199999999999</v>
      </c>
      <c r="O2316" s="1">
        <f>ABS(Table4[[#This Row],[EndMP]]-Table4[[#This Row],[StartMP]])</f>
        <v>0.32200000000000273</v>
      </c>
      <c r="P2316" s="1" t="str">
        <f>IF( AND( Table4[[#This Row],[Route]]=ClosureLocation!$B$3, ClosureLocation!$B$6 &gt;= Table4[[#This Row],[StartMP]], ClosureLocation!$B$6 &lt;= Table4[[#This Row],[EndMP]]), "Yes", "")</f>
        <v/>
      </c>
      <c r="Q2316" s="1" t="str">
        <f>IF( AND( Table4[[#This Row],[Route]]=ClosureLocation!$B$3, ClosureLocation!$B$6 &lt;= Table4[[#This Row],[StartMP]], ClosureLocation!$B$6 &gt;= Table4[[#This Row],[EndMP]]), "Yes", "")</f>
        <v/>
      </c>
      <c r="R2316" s="1" t="str">
        <f>IF( OR( Table4[[#This Row],[PrimaryMatch]]="Yes", Table4[[#This Row],[SecondaryMatch]]="Yes"), "Yes", "")</f>
        <v/>
      </c>
    </row>
    <row r="2317" spans="1:18" hidden="1" x14ac:dyDescent="0.25">
      <c r="A2317" t="s">
        <v>1516</v>
      </c>
      <c r="B2317" t="s">
        <v>3205</v>
      </c>
      <c r="C2317" t="s">
        <v>3206</v>
      </c>
      <c r="D2317" t="s">
        <v>4285</v>
      </c>
      <c r="E2317" s="1">
        <v>294.71100000000001</v>
      </c>
      <c r="F2317" s="1">
        <v>298.08199999999999</v>
      </c>
      <c r="G2317">
        <v>3</v>
      </c>
      <c r="H2317">
        <v>1</v>
      </c>
      <c r="I2317" t="s">
        <v>3099</v>
      </c>
      <c r="J2317" t="s">
        <v>1700</v>
      </c>
      <c r="K2317" s="39">
        <v>2.9231739999999999</v>
      </c>
      <c r="L2317" s="1">
        <v>6.1650790000000004</v>
      </c>
      <c r="M2317" s="1" t="s">
        <v>4288</v>
      </c>
      <c r="N2317" s="1">
        <v>294.71100000000001</v>
      </c>
      <c r="O2317" s="1">
        <f>ABS(Table4[[#This Row],[EndMP]]-Table4[[#This Row],[StartMP]])</f>
        <v>3.3709999999999809</v>
      </c>
      <c r="P2317" s="1" t="str">
        <f>IF( AND( Table4[[#This Row],[Route]]=ClosureLocation!$B$3, ClosureLocation!$B$6 &gt;= Table4[[#This Row],[StartMP]], ClosureLocation!$B$6 &lt;= Table4[[#This Row],[EndMP]]), "Yes", "")</f>
        <v/>
      </c>
      <c r="Q2317" s="1" t="str">
        <f>IF( AND( Table4[[#This Row],[Route]]=ClosureLocation!$B$3, ClosureLocation!$B$6 &lt;= Table4[[#This Row],[StartMP]], ClosureLocation!$B$6 &gt;= Table4[[#This Row],[EndMP]]), "Yes", "")</f>
        <v/>
      </c>
      <c r="R2317" s="1" t="str">
        <f>IF( OR( Table4[[#This Row],[PrimaryMatch]]="Yes", Table4[[#This Row],[SecondaryMatch]]="Yes"), "Yes", "")</f>
        <v/>
      </c>
    </row>
    <row r="2318" spans="1:18" hidden="1" x14ac:dyDescent="0.25">
      <c r="A2318" t="s">
        <v>394</v>
      </c>
      <c r="B2318" t="s">
        <v>3205</v>
      </c>
      <c r="C2318" t="s">
        <v>3222</v>
      </c>
      <c r="D2318" t="s">
        <v>3477</v>
      </c>
      <c r="E2318" s="1">
        <v>53.758000000000003</v>
      </c>
      <c r="F2318" s="1">
        <v>60.965000000000003</v>
      </c>
      <c r="G2318">
        <v>2</v>
      </c>
      <c r="H2318">
        <v>1</v>
      </c>
      <c r="I2318" t="s">
        <v>2288</v>
      </c>
      <c r="J2318" t="s">
        <v>1702</v>
      </c>
      <c r="K2318" s="39">
        <v>2.9177620000000002</v>
      </c>
      <c r="L2318" s="1">
        <v>1.4854019999999999</v>
      </c>
      <c r="M2318" s="1" t="s">
        <v>3479</v>
      </c>
      <c r="N2318" s="1">
        <v>53.758000000000003</v>
      </c>
      <c r="O2318" s="1">
        <f>ABS(Table4[[#This Row],[EndMP]]-Table4[[#This Row],[StartMP]])</f>
        <v>7.2070000000000007</v>
      </c>
      <c r="P2318" s="1" t="str">
        <f>IF( AND( Table4[[#This Row],[Route]]=ClosureLocation!$B$3, ClosureLocation!$B$6 &gt;= Table4[[#This Row],[StartMP]], ClosureLocation!$B$6 &lt;= Table4[[#This Row],[EndMP]]), "Yes", "")</f>
        <v/>
      </c>
      <c r="Q2318" s="1" t="str">
        <f>IF( AND( Table4[[#This Row],[Route]]=ClosureLocation!$B$3, ClosureLocation!$B$6 &lt;= Table4[[#This Row],[StartMP]], ClosureLocation!$B$6 &gt;= Table4[[#This Row],[EndMP]]), "Yes", "")</f>
        <v/>
      </c>
      <c r="R2318" s="1" t="str">
        <f>IF( OR( Table4[[#This Row],[PrimaryMatch]]="Yes", Table4[[#This Row],[SecondaryMatch]]="Yes"), "Yes", "")</f>
        <v/>
      </c>
    </row>
    <row r="2319" spans="1:18" hidden="1" x14ac:dyDescent="0.25">
      <c r="A2319" t="s">
        <v>1236</v>
      </c>
      <c r="B2319" t="s">
        <v>3205</v>
      </c>
      <c r="C2319" t="s">
        <v>3222</v>
      </c>
      <c r="D2319" t="s">
        <v>4085</v>
      </c>
      <c r="E2319" s="1">
        <v>43.412999999999997</v>
      </c>
      <c r="F2319" s="1">
        <v>54.81</v>
      </c>
      <c r="H2319">
        <v>1</v>
      </c>
      <c r="I2319" t="s">
        <v>2932</v>
      </c>
      <c r="J2319" t="s">
        <v>1708</v>
      </c>
      <c r="K2319" s="39">
        <v>2.8959199999999998</v>
      </c>
      <c r="L2319" s="1">
        <v>12.076646</v>
      </c>
      <c r="M2319" s="1" t="s">
        <v>4088</v>
      </c>
      <c r="N2319" s="1">
        <v>43.412999999999997</v>
      </c>
      <c r="O2319" s="1">
        <f>ABS(Table4[[#This Row],[EndMP]]-Table4[[#This Row],[StartMP]])</f>
        <v>11.397000000000006</v>
      </c>
      <c r="P2319" s="1" t="str">
        <f>IF( AND( Table4[[#This Row],[Route]]=ClosureLocation!$B$3, ClosureLocation!$B$6 &gt;= Table4[[#This Row],[StartMP]], ClosureLocation!$B$6 &lt;= Table4[[#This Row],[EndMP]]), "Yes", "")</f>
        <v/>
      </c>
      <c r="Q2319" s="1" t="str">
        <f>IF( AND( Table4[[#This Row],[Route]]=ClosureLocation!$B$3, ClosureLocation!$B$6 &lt;= Table4[[#This Row],[StartMP]], ClosureLocation!$B$6 &gt;= Table4[[#This Row],[EndMP]]), "Yes", "")</f>
        <v/>
      </c>
      <c r="R2319" s="1" t="str">
        <f>IF( OR( Table4[[#This Row],[PrimaryMatch]]="Yes", Table4[[#This Row],[SecondaryMatch]]="Yes"), "Yes", "")</f>
        <v/>
      </c>
    </row>
    <row r="2320" spans="1:18" hidden="1" x14ac:dyDescent="0.25">
      <c r="A2320" t="s">
        <v>640</v>
      </c>
      <c r="B2320" t="s">
        <v>3205</v>
      </c>
      <c r="C2320" t="s">
        <v>3222</v>
      </c>
      <c r="D2320" t="s">
        <v>3638</v>
      </c>
      <c r="E2320" s="1">
        <v>329.334</v>
      </c>
      <c r="F2320" s="1">
        <v>335.76400000000001</v>
      </c>
      <c r="G2320">
        <v>4</v>
      </c>
      <c r="H2320">
        <v>18</v>
      </c>
      <c r="I2320" t="s">
        <v>2448</v>
      </c>
      <c r="J2320" t="s">
        <v>1694</v>
      </c>
      <c r="K2320" s="39">
        <v>2.8928970000000001</v>
      </c>
      <c r="L2320" s="1">
        <v>1.136636</v>
      </c>
      <c r="M2320" s="1" t="s">
        <v>4927</v>
      </c>
      <c r="N2320" s="1">
        <v>329.334</v>
      </c>
      <c r="O2320" s="1">
        <f>ABS(Table4[[#This Row],[EndMP]]-Table4[[#This Row],[StartMP]])</f>
        <v>6.4300000000000068</v>
      </c>
      <c r="P2320" s="1" t="str">
        <f>IF( AND( Table4[[#This Row],[Route]]=ClosureLocation!$B$3, ClosureLocation!$B$6 &gt;= Table4[[#This Row],[StartMP]], ClosureLocation!$B$6 &lt;= Table4[[#This Row],[EndMP]]), "Yes", "")</f>
        <v/>
      </c>
      <c r="Q2320" s="1" t="str">
        <f>IF( AND( Table4[[#This Row],[Route]]=ClosureLocation!$B$3, ClosureLocation!$B$6 &lt;= Table4[[#This Row],[StartMP]], ClosureLocation!$B$6 &gt;= Table4[[#This Row],[EndMP]]), "Yes", "")</f>
        <v/>
      </c>
      <c r="R2320" s="1" t="str">
        <f>IF( OR( Table4[[#This Row],[PrimaryMatch]]="Yes", Table4[[#This Row],[SecondaryMatch]]="Yes"), "Yes", "")</f>
        <v/>
      </c>
    </row>
    <row r="2321" spans="1:18" hidden="1" x14ac:dyDescent="0.25">
      <c r="A2321" t="s">
        <v>640</v>
      </c>
      <c r="B2321" t="s">
        <v>3209</v>
      </c>
      <c r="C2321" t="s">
        <v>3226</v>
      </c>
      <c r="D2321" t="s">
        <v>3640</v>
      </c>
      <c r="E2321" s="1">
        <v>335.76400000000001</v>
      </c>
      <c r="F2321" s="1">
        <v>329.334</v>
      </c>
      <c r="G2321">
        <v>11</v>
      </c>
      <c r="H2321">
        <v>11</v>
      </c>
      <c r="I2321" t="s">
        <v>2469</v>
      </c>
      <c r="J2321" t="s">
        <v>1694</v>
      </c>
      <c r="K2321" s="39">
        <v>2.8928159999999998</v>
      </c>
      <c r="L2321" s="1">
        <v>1.136636</v>
      </c>
      <c r="M2321" s="1" t="s">
        <v>4948</v>
      </c>
      <c r="N2321" s="1">
        <v>664.23599999999999</v>
      </c>
      <c r="O2321" s="1">
        <f>ABS(Table4[[#This Row],[EndMP]]-Table4[[#This Row],[StartMP]])</f>
        <v>6.4300000000000068</v>
      </c>
      <c r="P2321" s="1" t="str">
        <f>IF( AND( Table4[[#This Row],[Route]]=ClosureLocation!$B$3, ClosureLocation!$B$6 &gt;= Table4[[#This Row],[StartMP]], ClosureLocation!$B$6 &lt;= Table4[[#This Row],[EndMP]]), "Yes", "")</f>
        <v/>
      </c>
      <c r="Q2321" s="1" t="str">
        <f>IF( AND( Table4[[#This Row],[Route]]=ClosureLocation!$B$3, ClosureLocation!$B$6 &lt;= Table4[[#This Row],[StartMP]], ClosureLocation!$B$6 &gt;= Table4[[#This Row],[EndMP]]), "Yes", "")</f>
        <v/>
      </c>
      <c r="R2321" s="1" t="str">
        <f>IF( OR( Table4[[#This Row],[PrimaryMatch]]="Yes", Table4[[#This Row],[SecondaryMatch]]="Yes"), "Yes", "")</f>
        <v/>
      </c>
    </row>
    <row r="2322" spans="1:18" hidden="1" x14ac:dyDescent="0.25">
      <c r="A2322" t="s">
        <v>1516</v>
      </c>
      <c r="B2322" t="s">
        <v>3205</v>
      </c>
      <c r="C2322" t="s">
        <v>3206</v>
      </c>
      <c r="D2322" t="s">
        <v>4285</v>
      </c>
      <c r="E2322" s="1">
        <v>298.29399999999998</v>
      </c>
      <c r="F2322" s="1">
        <v>300.84699999999998</v>
      </c>
      <c r="G2322">
        <v>4</v>
      </c>
      <c r="H2322">
        <v>2</v>
      </c>
      <c r="I2322" t="s">
        <v>3100</v>
      </c>
      <c r="J2322" t="s">
        <v>1700</v>
      </c>
      <c r="K2322" s="39">
        <v>2.8898670000000002</v>
      </c>
      <c r="L2322" s="1">
        <v>3.079799</v>
      </c>
      <c r="M2322" s="1" t="s">
        <v>4289</v>
      </c>
      <c r="N2322" s="1">
        <v>298.29399999999998</v>
      </c>
      <c r="O2322" s="1">
        <f>ABS(Table4[[#This Row],[EndMP]]-Table4[[#This Row],[StartMP]])</f>
        <v>2.5529999999999973</v>
      </c>
      <c r="P2322" s="1" t="str">
        <f>IF( AND( Table4[[#This Row],[Route]]=ClosureLocation!$B$3, ClosureLocation!$B$6 &gt;= Table4[[#This Row],[StartMP]], ClosureLocation!$B$6 &lt;= Table4[[#This Row],[EndMP]]), "Yes", "")</f>
        <v/>
      </c>
      <c r="Q2322" s="1" t="str">
        <f>IF( AND( Table4[[#This Row],[Route]]=ClosureLocation!$B$3, ClosureLocation!$B$6 &lt;= Table4[[#This Row],[StartMP]], ClosureLocation!$B$6 &gt;= Table4[[#This Row],[EndMP]]), "Yes", "")</f>
        <v/>
      </c>
      <c r="R2322" s="1" t="str">
        <f>IF( OR( Table4[[#This Row],[PrimaryMatch]]="Yes", Table4[[#This Row],[SecondaryMatch]]="Yes"), "Yes", "")</f>
        <v/>
      </c>
    </row>
    <row r="2323" spans="1:18" hidden="1" x14ac:dyDescent="0.25">
      <c r="A2323" t="s">
        <v>1605</v>
      </c>
      <c r="B2323" t="s">
        <v>3209</v>
      </c>
      <c r="C2323" t="s">
        <v>3210</v>
      </c>
      <c r="D2323" t="s">
        <v>4350</v>
      </c>
      <c r="E2323" s="1">
        <v>187.886</v>
      </c>
      <c r="F2323" s="1">
        <v>187.46299999999999</v>
      </c>
      <c r="G2323">
        <v>3</v>
      </c>
      <c r="H2323">
        <v>3</v>
      </c>
      <c r="I2323" t="s">
        <v>3147</v>
      </c>
      <c r="J2323" t="s">
        <v>1708</v>
      </c>
      <c r="K2323" s="39">
        <v>2.8420359999999998</v>
      </c>
      <c r="L2323" s="1">
        <v>2.1668790000000002</v>
      </c>
      <c r="M2323" s="1" t="s">
        <v>4352</v>
      </c>
      <c r="N2323" s="1">
        <v>812.11400000000003</v>
      </c>
      <c r="O2323" s="1">
        <f>ABS(Table4[[#This Row],[EndMP]]-Table4[[#This Row],[StartMP]])</f>
        <v>0.42300000000000182</v>
      </c>
      <c r="P2323" s="1" t="str">
        <f>IF( AND( Table4[[#This Row],[Route]]=ClosureLocation!$B$3, ClosureLocation!$B$6 &gt;= Table4[[#This Row],[StartMP]], ClosureLocation!$B$6 &lt;= Table4[[#This Row],[EndMP]]), "Yes", "")</f>
        <v/>
      </c>
      <c r="Q2323" s="1" t="str">
        <f>IF( AND( Table4[[#This Row],[Route]]=ClosureLocation!$B$3, ClosureLocation!$B$6 &lt;= Table4[[#This Row],[StartMP]], ClosureLocation!$B$6 &gt;= Table4[[#This Row],[EndMP]]), "Yes", "")</f>
        <v/>
      </c>
      <c r="R2323" s="1" t="str">
        <f>IF( OR( Table4[[#This Row],[PrimaryMatch]]="Yes", Table4[[#This Row],[SecondaryMatch]]="Yes"), "Yes", "")</f>
        <v/>
      </c>
    </row>
    <row r="2324" spans="1:18" hidden="1" x14ac:dyDescent="0.25">
      <c r="A2324" t="s">
        <v>1462</v>
      </c>
      <c r="B2324" t="s">
        <v>3209</v>
      </c>
      <c r="C2324" t="s">
        <v>3226</v>
      </c>
      <c r="D2324" t="s">
        <v>4227</v>
      </c>
      <c r="E2324" s="1">
        <v>0.06</v>
      </c>
      <c r="F2324" s="1">
        <v>0</v>
      </c>
      <c r="G2324">
        <v>2</v>
      </c>
      <c r="H2324">
        <v>4</v>
      </c>
      <c r="I2324" t="s">
        <v>3038</v>
      </c>
      <c r="J2324" t="s">
        <v>1691</v>
      </c>
      <c r="K2324" s="39">
        <v>2.8113579999999998</v>
      </c>
      <c r="L2324" s="1">
        <v>1.684823</v>
      </c>
      <c r="M2324" s="1" t="s">
        <v>4229</v>
      </c>
      <c r="N2324" s="1">
        <v>999.94</v>
      </c>
      <c r="O2324" s="1">
        <f>ABS(Table4[[#This Row],[EndMP]]-Table4[[#This Row],[StartMP]])</f>
        <v>0.06</v>
      </c>
      <c r="P2324" s="1" t="str">
        <f>IF( AND( Table4[[#This Row],[Route]]=ClosureLocation!$B$3, ClosureLocation!$B$6 &gt;= Table4[[#This Row],[StartMP]], ClosureLocation!$B$6 &lt;= Table4[[#This Row],[EndMP]]), "Yes", "")</f>
        <v/>
      </c>
      <c r="Q2324" s="1" t="str">
        <f>IF( AND( Table4[[#This Row],[Route]]=ClosureLocation!$B$3, ClosureLocation!$B$6 &lt;= Table4[[#This Row],[StartMP]], ClosureLocation!$B$6 &gt;= Table4[[#This Row],[EndMP]]), "Yes", "")</f>
        <v/>
      </c>
      <c r="R2324" s="1" t="str">
        <f>IF( OR( Table4[[#This Row],[PrimaryMatch]]="Yes", Table4[[#This Row],[SecondaryMatch]]="Yes"), "Yes", "")</f>
        <v/>
      </c>
    </row>
    <row r="2325" spans="1:18" hidden="1" x14ac:dyDescent="0.25">
      <c r="A2325" t="s">
        <v>9</v>
      </c>
      <c r="B2325" t="s">
        <v>3209</v>
      </c>
      <c r="C2325" t="s">
        <v>3210</v>
      </c>
      <c r="D2325" t="s">
        <v>3211</v>
      </c>
      <c r="E2325" s="1">
        <v>9.8859999999999992</v>
      </c>
      <c r="F2325" s="1">
        <v>0</v>
      </c>
      <c r="G2325">
        <v>1</v>
      </c>
      <c r="H2325">
        <v>2</v>
      </c>
      <c r="I2325" t="s">
        <v>2049</v>
      </c>
      <c r="J2325" t="s">
        <v>1696</v>
      </c>
      <c r="K2325" s="39">
        <v>2.79739</v>
      </c>
      <c r="L2325" s="1">
        <v>4.4177499999999998</v>
      </c>
      <c r="M2325" s="1" t="s">
        <v>3212</v>
      </c>
      <c r="N2325" s="1">
        <v>990.11400000000003</v>
      </c>
      <c r="O2325" s="1">
        <f>ABS(Table4[[#This Row],[EndMP]]-Table4[[#This Row],[StartMP]])</f>
        <v>9.8859999999999992</v>
      </c>
      <c r="P2325" s="1" t="str">
        <f>IF( AND( Table4[[#This Row],[Route]]=ClosureLocation!$B$3, ClosureLocation!$B$6 &gt;= Table4[[#This Row],[StartMP]], ClosureLocation!$B$6 &lt;= Table4[[#This Row],[EndMP]]), "Yes", "")</f>
        <v/>
      </c>
      <c r="Q2325" s="1" t="str">
        <f>IF( AND( Table4[[#This Row],[Route]]=ClosureLocation!$B$3, ClosureLocation!$B$6 &lt;= Table4[[#This Row],[StartMP]], ClosureLocation!$B$6 &gt;= Table4[[#This Row],[EndMP]]), "Yes", "")</f>
        <v/>
      </c>
      <c r="R2325" s="1" t="str">
        <f>IF( OR( Table4[[#This Row],[PrimaryMatch]]="Yes", Table4[[#This Row],[SecondaryMatch]]="Yes"), "Yes", "")</f>
        <v/>
      </c>
    </row>
    <row r="2326" spans="1:18" hidden="1" x14ac:dyDescent="0.25">
      <c r="A2326" t="s">
        <v>1654</v>
      </c>
      <c r="B2326" t="s">
        <v>3205</v>
      </c>
      <c r="C2326" t="s">
        <v>3206</v>
      </c>
      <c r="D2326" t="s">
        <v>4399</v>
      </c>
      <c r="E2326" s="1">
        <v>13.598000000000001</v>
      </c>
      <c r="F2326" s="1">
        <v>16.061</v>
      </c>
      <c r="G2326">
        <v>2</v>
      </c>
      <c r="H2326">
        <v>2</v>
      </c>
      <c r="I2326" t="s">
        <v>3182</v>
      </c>
      <c r="J2326" t="s">
        <v>1691</v>
      </c>
      <c r="K2326" s="39">
        <v>2.758454</v>
      </c>
      <c r="L2326" s="1">
        <v>0.541242</v>
      </c>
      <c r="M2326" s="1" t="s">
        <v>4400</v>
      </c>
      <c r="N2326" s="1">
        <v>13.598000000000001</v>
      </c>
      <c r="O2326" s="1">
        <f>ABS(Table4[[#This Row],[EndMP]]-Table4[[#This Row],[StartMP]])</f>
        <v>2.4629999999999992</v>
      </c>
      <c r="P2326" s="1" t="str">
        <f>IF( AND( Table4[[#This Row],[Route]]=ClosureLocation!$B$3, ClosureLocation!$B$6 &gt;= Table4[[#This Row],[StartMP]], ClosureLocation!$B$6 &lt;= Table4[[#This Row],[EndMP]]), "Yes", "")</f>
        <v/>
      </c>
      <c r="Q2326" s="1" t="str">
        <f>IF( AND( Table4[[#This Row],[Route]]=ClosureLocation!$B$3, ClosureLocation!$B$6 &lt;= Table4[[#This Row],[StartMP]], ClosureLocation!$B$6 &gt;= Table4[[#This Row],[EndMP]]), "Yes", "")</f>
        <v/>
      </c>
      <c r="R2326" s="1" t="str">
        <f>IF( OR( Table4[[#This Row],[PrimaryMatch]]="Yes", Table4[[#This Row],[SecondaryMatch]]="Yes"), "Yes", "")</f>
        <v/>
      </c>
    </row>
    <row r="2327" spans="1:18" hidden="1" x14ac:dyDescent="0.25">
      <c r="A2327" t="s">
        <v>1180</v>
      </c>
      <c r="B2327" t="s">
        <v>3209</v>
      </c>
      <c r="C2327" t="s">
        <v>3210</v>
      </c>
      <c r="D2327" t="s">
        <v>4044</v>
      </c>
      <c r="E2327" s="1">
        <v>9.0619999999999994</v>
      </c>
      <c r="F2327" s="1">
        <v>7.7220000000000004</v>
      </c>
      <c r="G2327">
        <v>5</v>
      </c>
      <c r="H2327">
        <v>3</v>
      </c>
      <c r="I2327" t="s">
        <v>2904</v>
      </c>
      <c r="J2327" t="s">
        <v>1708</v>
      </c>
      <c r="K2327" s="39">
        <v>2.743268</v>
      </c>
      <c r="L2327" s="1">
        <v>6.0380130000000003</v>
      </c>
      <c r="M2327" s="1" t="s">
        <v>4049</v>
      </c>
      <c r="N2327" s="1">
        <v>990.93799999999999</v>
      </c>
      <c r="O2327" s="1">
        <f>ABS(Table4[[#This Row],[EndMP]]-Table4[[#This Row],[StartMP]])</f>
        <v>1.339999999999999</v>
      </c>
      <c r="P2327" s="1" t="str">
        <f>IF( AND( Table4[[#This Row],[Route]]=ClosureLocation!$B$3, ClosureLocation!$B$6 &gt;= Table4[[#This Row],[StartMP]], ClosureLocation!$B$6 &lt;= Table4[[#This Row],[EndMP]]), "Yes", "")</f>
        <v/>
      </c>
      <c r="Q2327" s="1" t="str">
        <f>IF( AND( Table4[[#This Row],[Route]]=ClosureLocation!$B$3, ClosureLocation!$B$6 &lt;= Table4[[#This Row],[StartMP]], ClosureLocation!$B$6 &gt;= Table4[[#This Row],[EndMP]]), "Yes", "")</f>
        <v/>
      </c>
      <c r="R2327" s="1" t="str">
        <f>IF( OR( Table4[[#This Row],[PrimaryMatch]]="Yes", Table4[[#This Row],[SecondaryMatch]]="Yes"), "Yes", "")</f>
        <v/>
      </c>
    </row>
    <row r="2328" spans="1:18" hidden="1" x14ac:dyDescent="0.25">
      <c r="A2328" t="s">
        <v>684</v>
      </c>
      <c r="B2328" t="s">
        <v>3205</v>
      </c>
      <c r="C2328" t="s">
        <v>3222</v>
      </c>
      <c r="D2328" t="s">
        <v>3649</v>
      </c>
      <c r="E2328" s="1">
        <v>19.986999999999998</v>
      </c>
      <c r="F2328" s="1">
        <v>20.452000000000002</v>
      </c>
      <c r="G2328">
        <v>3</v>
      </c>
      <c r="H2328">
        <v>3</v>
      </c>
      <c r="I2328" t="s">
        <v>2481</v>
      </c>
      <c r="J2328" t="s">
        <v>1702</v>
      </c>
      <c r="K2328" s="39">
        <v>2.7392050000000001</v>
      </c>
      <c r="L2328" s="1">
        <v>2.1582669999999999</v>
      </c>
      <c r="M2328" s="1" t="s">
        <v>3652</v>
      </c>
      <c r="N2328" s="1">
        <v>19.986999999999998</v>
      </c>
      <c r="O2328" s="1">
        <f>ABS(Table4[[#This Row],[EndMP]]-Table4[[#This Row],[StartMP]])</f>
        <v>0.46500000000000341</v>
      </c>
      <c r="P2328" s="1" t="str">
        <f>IF( AND( Table4[[#This Row],[Route]]=ClosureLocation!$B$3, ClosureLocation!$B$6 &gt;= Table4[[#This Row],[StartMP]], ClosureLocation!$B$6 &lt;= Table4[[#This Row],[EndMP]]), "Yes", "")</f>
        <v/>
      </c>
      <c r="Q2328" s="1" t="str">
        <f>IF( AND( Table4[[#This Row],[Route]]=ClosureLocation!$B$3, ClosureLocation!$B$6 &lt;= Table4[[#This Row],[StartMP]], ClosureLocation!$B$6 &gt;= Table4[[#This Row],[EndMP]]), "Yes", "")</f>
        <v/>
      </c>
      <c r="R2328" s="1" t="str">
        <f>IF( OR( Table4[[#This Row],[PrimaryMatch]]="Yes", Table4[[#This Row],[SecondaryMatch]]="Yes"), "Yes", "")</f>
        <v/>
      </c>
    </row>
    <row r="2329" spans="1:18" hidden="1" x14ac:dyDescent="0.25">
      <c r="A2329" t="s">
        <v>12</v>
      </c>
      <c r="B2329" t="s">
        <v>3205</v>
      </c>
      <c r="C2329" t="s">
        <v>3206</v>
      </c>
      <c r="D2329" t="s">
        <v>3213</v>
      </c>
      <c r="E2329" s="1">
        <v>2.1739999999999999</v>
      </c>
      <c r="F2329" s="1">
        <v>8.59</v>
      </c>
      <c r="G2329">
        <v>3</v>
      </c>
      <c r="H2329">
        <v>3</v>
      </c>
      <c r="I2329" t="s">
        <v>2051</v>
      </c>
      <c r="J2329" t="s">
        <v>1696</v>
      </c>
      <c r="K2329" s="39">
        <v>2.7385290000000002</v>
      </c>
      <c r="L2329" s="1">
        <v>5.2495770000000004</v>
      </c>
      <c r="M2329" s="1" t="s">
        <v>3216</v>
      </c>
      <c r="N2329" s="1">
        <v>2.1739999999999999</v>
      </c>
      <c r="O2329" s="1">
        <f>ABS(Table4[[#This Row],[EndMP]]-Table4[[#This Row],[StartMP]])</f>
        <v>6.4160000000000004</v>
      </c>
      <c r="P2329" s="1" t="str">
        <f>IF( AND( Table4[[#This Row],[Route]]=ClosureLocation!$B$3, ClosureLocation!$B$6 &gt;= Table4[[#This Row],[StartMP]], ClosureLocation!$B$6 &lt;= Table4[[#This Row],[EndMP]]), "Yes", "")</f>
        <v/>
      </c>
      <c r="Q2329" s="1" t="str">
        <f>IF( AND( Table4[[#This Row],[Route]]=ClosureLocation!$B$3, ClosureLocation!$B$6 &lt;= Table4[[#This Row],[StartMP]], ClosureLocation!$B$6 &gt;= Table4[[#This Row],[EndMP]]), "Yes", "")</f>
        <v/>
      </c>
      <c r="R2329" s="1" t="str">
        <f>IF( OR( Table4[[#This Row],[PrimaryMatch]]="Yes", Table4[[#This Row],[SecondaryMatch]]="Yes"), "Yes", "")</f>
        <v/>
      </c>
    </row>
    <row r="2330" spans="1:18" hidden="1" x14ac:dyDescent="0.25">
      <c r="A2330" t="s">
        <v>917</v>
      </c>
      <c r="B2330" t="s">
        <v>3209</v>
      </c>
      <c r="C2330" t="s">
        <v>3226</v>
      </c>
      <c r="D2330" t="s">
        <v>3840</v>
      </c>
      <c r="E2330" s="1">
        <v>65.944000000000003</v>
      </c>
      <c r="F2330" s="1">
        <v>63.686999999999998</v>
      </c>
      <c r="G2330">
        <v>12</v>
      </c>
      <c r="H2330">
        <v>34</v>
      </c>
      <c r="I2330" t="s">
        <v>2737</v>
      </c>
      <c r="J2330" t="s">
        <v>1694</v>
      </c>
      <c r="K2330" s="39">
        <v>2.7312379999999998</v>
      </c>
      <c r="L2330" s="1">
        <v>0.34297800000000001</v>
      </c>
      <c r="M2330" s="1" t="s">
        <v>4983</v>
      </c>
      <c r="N2330" s="1">
        <v>934.05600000000004</v>
      </c>
      <c r="O2330" s="1">
        <f>ABS(Table4[[#This Row],[EndMP]]-Table4[[#This Row],[StartMP]])</f>
        <v>2.257000000000005</v>
      </c>
      <c r="P2330" s="1" t="str">
        <f>IF( AND( Table4[[#This Row],[Route]]=ClosureLocation!$B$3, ClosureLocation!$B$6 &gt;= Table4[[#This Row],[StartMP]], ClosureLocation!$B$6 &lt;= Table4[[#This Row],[EndMP]]), "Yes", "")</f>
        <v/>
      </c>
      <c r="Q2330" s="1" t="str">
        <f>IF( AND( Table4[[#This Row],[Route]]=ClosureLocation!$B$3, ClosureLocation!$B$6 &lt;= Table4[[#This Row],[StartMP]], ClosureLocation!$B$6 &gt;= Table4[[#This Row],[EndMP]]), "Yes", "")</f>
        <v/>
      </c>
      <c r="R2330" s="1" t="str">
        <f>IF( OR( Table4[[#This Row],[PrimaryMatch]]="Yes", Table4[[#This Row],[SecondaryMatch]]="Yes"), "Yes", "")</f>
        <v/>
      </c>
    </row>
    <row r="2331" spans="1:18" hidden="1" x14ac:dyDescent="0.25">
      <c r="A2331" t="s">
        <v>1645</v>
      </c>
      <c r="B2331" t="s">
        <v>3205</v>
      </c>
      <c r="C2331" t="s">
        <v>3222</v>
      </c>
      <c r="D2331" t="s">
        <v>4693</v>
      </c>
      <c r="E2331" s="1">
        <v>0.41899999999999998</v>
      </c>
      <c r="F2331" s="1">
        <v>25.806000000000001</v>
      </c>
      <c r="G2331">
        <v>1</v>
      </c>
      <c r="H2331">
        <v>1</v>
      </c>
      <c r="I2331" t="s">
        <v>3179</v>
      </c>
      <c r="J2331" t="s">
        <v>1708</v>
      </c>
      <c r="K2331" s="39">
        <v>2.7276359999999999</v>
      </c>
      <c r="L2331" s="1">
        <v>-2.4112749999999998</v>
      </c>
      <c r="M2331" s="1" t="s">
        <v>4397</v>
      </c>
      <c r="N2331" s="1">
        <v>0.33300000000000002</v>
      </c>
      <c r="O2331" s="1">
        <f>ABS(Table4[[#This Row],[EndMP]]-Table4[[#This Row],[StartMP]])</f>
        <v>25.387</v>
      </c>
      <c r="P2331" s="1" t="str">
        <f>IF( AND( Table4[[#This Row],[Route]]=ClosureLocation!$B$3, ClosureLocation!$B$6 &gt;= Table4[[#This Row],[StartMP]], ClosureLocation!$B$6 &lt;= Table4[[#This Row],[EndMP]]), "Yes", "")</f>
        <v/>
      </c>
      <c r="Q2331" s="1" t="str">
        <f>IF( AND( Table4[[#This Row],[Route]]=ClosureLocation!$B$3, ClosureLocation!$B$6 &lt;= Table4[[#This Row],[StartMP]], ClosureLocation!$B$6 &gt;= Table4[[#This Row],[EndMP]]), "Yes", "")</f>
        <v/>
      </c>
      <c r="R2331" s="1" t="str">
        <f>IF( OR( Table4[[#This Row],[PrimaryMatch]]="Yes", Table4[[#This Row],[SecondaryMatch]]="Yes"), "Yes", "")</f>
        <v/>
      </c>
    </row>
    <row r="2332" spans="1:18" hidden="1" x14ac:dyDescent="0.25">
      <c r="A2332" t="s">
        <v>1665</v>
      </c>
      <c r="B2332" t="s">
        <v>3205</v>
      </c>
      <c r="C2332" t="s">
        <v>3226</v>
      </c>
      <c r="D2332" t="s">
        <v>4695</v>
      </c>
      <c r="E2332" s="1">
        <v>0.14099999999999999</v>
      </c>
      <c r="F2332" s="1">
        <v>0.60899999999999999</v>
      </c>
      <c r="G2332">
        <v>1</v>
      </c>
      <c r="H2332">
        <v>1</v>
      </c>
      <c r="I2332" t="s">
        <v>3179</v>
      </c>
      <c r="J2332" t="s">
        <v>1708</v>
      </c>
      <c r="K2332" s="39">
        <v>2.7276359999999999</v>
      </c>
      <c r="L2332" s="1">
        <v>-2.4112749999999998</v>
      </c>
      <c r="M2332" s="1" t="s">
        <v>4397</v>
      </c>
      <c r="N2332" s="1">
        <v>0.33300000000000002</v>
      </c>
      <c r="O2332" s="1">
        <f>ABS(Table4[[#This Row],[EndMP]]-Table4[[#This Row],[StartMP]])</f>
        <v>0.46799999999999997</v>
      </c>
      <c r="P2332" s="1" t="str">
        <f>IF( AND( Table4[[#This Row],[Route]]=ClosureLocation!$B$3, ClosureLocation!$B$6 &gt;= Table4[[#This Row],[StartMP]], ClosureLocation!$B$6 &lt;= Table4[[#This Row],[EndMP]]), "Yes", "")</f>
        <v/>
      </c>
      <c r="Q2332" s="1" t="str">
        <f>IF( AND( Table4[[#This Row],[Route]]=ClosureLocation!$B$3, ClosureLocation!$B$6 &lt;= Table4[[#This Row],[StartMP]], ClosureLocation!$B$6 &gt;= Table4[[#This Row],[EndMP]]), "Yes", "")</f>
        <v/>
      </c>
      <c r="R2332" s="1" t="str">
        <f>IF( OR( Table4[[#This Row],[PrimaryMatch]]="Yes", Table4[[#This Row],[SecondaryMatch]]="Yes"), "Yes", "")</f>
        <v/>
      </c>
    </row>
    <row r="2333" spans="1:18" hidden="1" x14ac:dyDescent="0.25">
      <c r="A2333" t="s">
        <v>1401</v>
      </c>
      <c r="B2333" t="s">
        <v>3205</v>
      </c>
      <c r="C2333" t="s">
        <v>3222</v>
      </c>
      <c r="D2333" t="s">
        <v>4184</v>
      </c>
      <c r="E2333" s="1">
        <v>26.457999999999998</v>
      </c>
      <c r="F2333" s="1">
        <v>26.599</v>
      </c>
      <c r="H2333">
        <v>1</v>
      </c>
      <c r="I2333" t="s">
        <v>3010</v>
      </c>
      <c r="J2333" t="s">
        <v>1708</v>
      </c>
      <c r="K2333" s="39">
        <v>2.7220970000000002</v>
      </c>
      <c r="L2333" s="1">
        <v>1.913894</v>
      </c>
      <c r="M2333" s="1" t="s">
        <v>4185</v>
      </c>
      <c r="N2333" s="1">
        <v>26.457999999999998</v>
      </c>
      <c r="O2333" s="1">
        <f>ABS(Table4[[#This Row],[EndMP]]-Table4[[#This Row],[StartMP]])</f>
        <v>0.14100000000000179</v>
      </c>
      <c r="P2333" s="1" t="str">
        <f>IF( AND( Table4[[#This Row],[Route]]=ClosureLocation!$B$3, ClosureLocation!$B$6 &gt;= Table4[[#This Row],[StartMP]], ClosureLocation!$B$6 &lt;= Table4[[#This Row],[EndMP]]), "Yes", "")</f>
        <v/>
      </c>
      <c r="Q2333" s="1" t="str">
        <f>IF( AND( Table4[[#This Row],[Route]]=ClosureLocation!$B$3, ClosureLocation!$B$6 &lt;= Table4[[#This Row],[StartMP]], ClosureLocation!$B$6 &gt;= Table4[[#This Row],[EndMP]]), "Yes", "")</f>
        <v/>
      </c>
      <c r="R2333" s="1" t="str">
        <f>IF( OR( Table4[[#This Row],[PrimaryMatch]]="Yes", Table4[[#This Row],[SecondaryMatch]]="Yes"), "Yes", "")</f>
        <v/>
      </c>
    </row>
    <row r="2334" spans="1:18" hidden="1" x14ac:dyDescent="0.25">
      <c r="A2334" t="s">
        <v>1401</v>
      </c>
      <c r="B2334" t="s">
        <v>3209</v>
      </c>
      <c r="C2334" t="s">
        <v>3226</v>
      </c>
      <c r="D2334" t="s">
        <v>4186</v>
      </c>
      <c r="E2334" s="1">
        <v>26.599</v>
      </c>
      <c r="F2334" s="1">
        <v>26.457999999999998</v>
      </c>
      <c r="G2334">
        <v>1</v>
      </c>
      <c r="H2334">
        <v>2</v>
      </c>
      <c r="I2334" t="s">
        <v>3011</v>
      </c>
      <c r="J2334" t="s">
        <v>1708</v>
      </c>
      <c r="K2334" s="39">
        <v>2.7210040000000002</v>
      </c>
      <c r="L2334" s="1">
        <v>1.913894</v>
      </c>
      <c r="M2334" s="1" t="s">
        <v>4187</v>
      </c>
      <c r="N2334" s="1">
        <v>973.40099999999995</v>
      </c>
      <c r="O2334" s="1">
        <f>ABS(Table4[[#This Row],[EndMP]]-Table4[[#This Row],[StartMP]])</f>
        <v>0.14100000000000179</v>
      </c>
      <c r="P2334" s="1" t="str">
        <f>IF( AND( Table4[[#This Row],[Route]]=ClosureLocation!$B$3, ClosureLocation!$B$6 &gt;= Table4[[#This Row],[StartMP]], ClosureLocation!$B$6 &lt;= Table4[[#This Row],[EndMP]]), "Yes", "")</f>
        <v/>
      </c>
      <c r="Q2334" s="1" t="str">
        <f>IF( AND( Table4[[#This Row],[Route]]=ClosureLocation!$B$3, ClosureLocation!$B$6 &lt;= Table4[[#This Row],[StartMP]], ClosureLocation!$B$6 &gt;= Table4[[#This Row],[EndMP]]), "Yes", "")</f>
        <v/>
      </c>
      <c r="R2334" s="1" t="str">
        <f>IF( OR( Table4[[#This Row],[PrimaryMatch]]="Yes", Table4[[#This Row],[SecondaryMatch]]="Yes"), "Yes", "")</f>
        <v/>
      </c>
    </row>
    <row r="2335" spans="1:18" hidden="1" x14ac:dyDescent="0.25">
      <c r="A2335" t="s">
        <v>776</v>
      </c>
      <c r="B2335" t="s">
        <v>3205</v>
      </c>
      <c r="C2335" t="s">
        <v>3222</v>
      </c>
      <c r="D2335" t="s">
        <v>3748</v>
      </c>
      <c r="E2335" s="1">
        <v>359.798</v>
      </c>
      <c r="F2335" s="1">
        <v>361.55599999999998</v>
      </c>
      <c r="G2335">
        <v>45</v>
      </c>
      <c r="H2335">
        <v>45</v>
      </c>
      <c r="I2335" t="s">
        <v>2590</v>
      </c>
      <c r="J2335" t="s">
        <v>1694</v>
      </c>
      <c r="K2335" s="39">
        <v>2.679125</v>
      </c>
      <c r="L2335" s="1">
        <v>0.38717600000000002</v>
      </c>
      <c r="M2335" s="1" t="s">
        <v>4489</v>
      </c>
      <c r="N2335" s="1">
        <v>359.798</v>
      </c>
      <c r="O2335" s="1">
        <f>ABS(Table4[[#This Row],[EndMP]]-Table4[[#This Row],[StartMP]])</f>
        <v>1.7579999999999814</v>
      </c>
      <c r="P2335" s="1" t="str">
        <f>IF( AND( Table4[[#This Row],[Route]]=ClosureLocation!$B$3, ClosureLocation!$B$6 &gt;= Table4[[#This Row],[StartMP]], ClosureLocation!$B$6 &lt;= Table4[[#This Row],[EndMP]]), "Yes", "")</f>
        <v/>
      </c>
      <c r="Q2335" s="1" t="str">
        <f>IF( AND( Table4[[#This Row],[Route]]=ClosureLocation!$B$3, ClosureLocation!$B$6 &lt;= Table4[[#This Row],[StartMP]], ClosureLocation!$B$6 &gt;= Table4[[#This Row],[EndMP]]), "Yes", "")</f>
        <v/>
      </c>
      <c r="R2335" s="1" t="str">
        <f>IF( OR( Table4[[#This Row],[PrimaryMatch]]="Yes", Table4[[#This Row],[SecondaryMatch]]="Yes"), "Yes", "")</f>
        <v/>
      </c>
    </row>
    <row r="2336" spans="1:18" hidden="1" x14ac:dyDescent="0.25">
      <c r="A2336" t="s">
        <v>1516</v>
      </c>
      <c r="B2336" t="s">
        <v>3209</v>
      </c>
      <c r="C2336" t="s">
        <v>3210</v>
      </c>
      <c r="D2336" t="s">
        <v>4296</v>
      </c>
      <c r="E2336" s="1">
        <v>300.84699999999998</v>
      </c>
      <c r="F2336" s="1">
        <v>294.71100000000001</v>
      </c>
      <c r="G2336">
        <v>8</v>
      </c>
      <c r="H2336">
        <v>7</v>
      </c>
      <c r="I2336" t="s">
        <v>3116</v>
      </c>
      <c r="J2336" t="s">
        <v>1700</v>
      </c>
      <c r="K2336" s="39">
        <v>2.6740689999999998</v>
      </c>
      <c r="L2336" s="1">
        <v>5.9953139999999996</v>
      </c>
      <c r="M2336" s="1" t="s">
        <v>4303</v>
      </c>
      <c r="N2336" s="1">
        <v>699.15300000000002</v>
      </c>
      <c r="O2336" s="1">
        <f>ABS(Table4[[#This Row],[EndMP]]-Table4[[#This Row],[StartMP]])</f>
        <v>6.1359999999999673</v>
      </c>
      <c r="P2336" s="1" t="str">
        <f>IF( AND( Table4[[#This Row],[Route]]=ClosureLocation!$B$3, ClosureLocation!$B$6 &gt;= Table4[[#This Row],[StartMP]], ClosureLocation!$B$6 &lt;= Table4[[#This Row],[EndMP]]), "Yes", "")</f>
        <v/>
      </c>
      <c r="Q2336" s="1" t="str">
        <f>IF( AND( Table4[[#This Row],[Route]]=ClosureLocation!$B$3, ClosureLocation!$B$6 &lt;= Table4[[#This Row],[StartMP]], ClosureLocation!$B$6 &gt;= Table4[[#This Row],[EndMP]]), "Yes", "")</f>
        <v/>
      </c>
      <c r="R2336" s="1" t="str">
        <f>IF( OR( Table4[[#This Row],[PrimaryMatch]]="Yes", Table4[[#This Row],[SecondaryMatch]]="Yes"), "Yes", "")</f>
        <v/>
      </c>
    </row>
    <row r="2337" spans="1:18" hidden="1" x14ac:dyDescent="0.25">
      <c r="A2337" t="s">
        <v>12</v>
      </c>
      <c r="B2337" t="s">
        <v>3205</v>
      </c>
      <c r="C2337" t="s">
        <v>3206</v>
      </c>
      <c r="D2337" t="s">
        <v>3213</v>
      </c>
      <c r="E2337" s="1">
        <v>0</v>
      </c>
      <c r="F2337" s="1">
        <v>1.9419999999999999</v>
      </c>
      <c r="G2337">
        <v>1</v>
      </c>
      <c r="H2337">
        <v>1</v>
      </c>
      <c r="I2337" t="s">
        <v>2050</v>
      </c>
      <c r="J2337" t="s">
        <v>1696</v>
      </c>
      <c r="K2337" s="39">
        <v>2.6739989999999998</v>
      </c>
      <c r="L2337" s="1">
        <v>1.580756</v>
      </c>
      <c r="M2337" s="1" t="s">
        <v>3214</v>
      </c>
      <c r="N2337" s="1">
        <v>0</v>
      </c>
      <c r="O2337" s="1">
        <f>ABS(Table4[[#This Row],[EndMP]]-Table4[[#This Row],[StartMP]])</f>
        <v>1.9419999999999999</v>
      </c>
      <c r="P2337" s="1" t="str">
        <f>IF( AND( Table4[[#This Row],[Route]]=ClosureLocation!$B$3, ClosureLocation!$B$6 &gt;= Table4[[#This Row],[StartMP]], ClosureLocation!$B$6 &lt;= Table4[[#This Row],[EndMP]]), "Yes", "")</f>
        <v/>
      </c>
      <c r="Q2337" s="1" t="str">
        <f>IF( AND( Table4[[#This Row],[Route]]=ClosureLocation!$B$3, ClosureLocation!$B$6 &lt;= Table4[[#This Row],[StartMP]], ClosureLocation!$B$6 &gt;= Table4[[#This Row],[EndMP]]), "Yes", "")</f>
        <v/>
      </c>
      <c r="R2337" s="1" t="str">
        <f>IF( OR( Table4[[#This Row],[PrimaryMatch]]="Yes", Table4[[#This Row],[SecondaryMatch]]="Yes"), "Yes", "")</f>
        <v/>
      </c>
    </row>
    <row r="2338" spans="1:18" hidden="1" x14ac:dyDescent="0.25">
      <c r="A2338" t="s">
        <v>917</v>
      </c>
      <c r="B2338" t="s">
        <v>3205</v>
      </c>
      <c r="C2338" t="s">
        <v>3222</v>
      </c>
      <c r="D2338" t="s">
        <v>3837</v>
      </c>
      <c r="E2338" s="1">
        <v>7.9960000000000004</v>
      </c>
      <c r="F2338" s="1">
        <v>9.6999999999999993</v>
      </c>
      <c r="G2338">
        <v>6</v>
      </c>
      <c r="H2338">
        <v>6</v>
      </c>
      <c r="I2338" t="s">
        <v>2709</v>
      </c>
      <c r="J2338" t="s">
        <v>1694</v>
      </c>
      <c r="K2338" s="39">
        <v>2.672002</v>
      </c>
      <c r="L2338" s="1">
        <v>0.44846900000000001</v>
      </c>
      <c r="M2338" s="1" t="s">
        <v>4957</v>
      </c>
      <c r="N2338" s="1">
        <v>7.9960000000000004</v>
      </c>
      <c r="O2338" s="1">
        <f>ABS(Table4[[#This Row],[EndMP]]-Table4[[#This Row],[StartMP]])</f>
        <v>1.7039999999999988</v>
      </c>
      <c r="P2338" s="1" t="str">
        <f>IF( AND( Table4[[#This Row],[Route]]=ClosureLocation!$B$3, ClosureLocation!$B$6 &gt;= Table4[[#This Row],[StartMP]], ClosureLocation!$B$6 &lt;= Table4[[#This Row],[EndMP]]), "Yes", "")</f>
        <v/>
      </c>
      <c r="Q2338" s="1" t="str">
        <f>IF( AND( Table4[[#This Row],[Route]]=ClosureLocation!$B$3, ClosureLocation!$B$6 &lt;= Table4[[#This Row],[StartMP]], ClosureLocation!$B$6 &gt;= Table4[[#This Row],[EndMP]]), "Yes", "")</f>
        <v/>
      </c>
      <c r="R2338" s="1" t="str">
        <f>IF( OR( Table4[[#This Row],[PrimaryMatch]]="Yes", Table4[[#This Row],[SecondaryMatch]]="Yes"), "Yes", "")</f>
        <v/>
      </c>
    </row>
    <row r="2339" spans="1:18" hidden="1" x14ac:dyDescent="0.25">
      <c r="A2339" t="s">
        <v>1167</v>
      </c>
      <c r="B2339" t="s">
        <v>3209</v>
      </c>
      <c r="C2339" t="s">
        <v>3226</v>
      </c>
      <c r="D2339" t="s">
        <v>4029</v>
      </c>
      <c r="E2339" s="1">
        <v>56.201999999999998</v>
      </c>
      <c r="F2339" s="1">
        <v>49.542999999999999</v>
      </c>
      <c r="G2339">
        <v>2</v>
      </c>
      <c r="H2339">
        <v>6</v>
      </c>
      <c r="I2339" t="s">
        <v>2889</v>
      </c>
      <c r="J2339" t="s">
        <v>1689</v>
      </c>
      <c r="K2339" s="39">
        <v>2.658655</v>
      </c>
      <c r="L2339" s="1">
        <v>2.4972219999999998</v>
      </c>
      <c r="M2339" s="1" t="s">
        <v>4031</v>
      </c>
      <c r="N2339" s="1">
        <v>943.798</v>
      </c>
      <c r="O2339" s="1">
        <f>ABS(Table4[[#This Row],[EndMP]]-Table4[[#This Row],[StartMP]])</f>
        <v>6.6589999999999989</v>
      </c>
      <c r="P2339" s="1" t="str">
        <f>IF( AND( Table4[[#This Row],[Route]]=ClosureLocation!$B$3, ClosureLocation!$B$6 &gt;= Table4[[#This Row],[StartMP]], ClosureLocation!$B$6 &lt;= Table4[[#This Row],[EndMP]]), "Yes", "")</f>
        <v/>
      </c>
      <c r="Q2339" s="1" t="str">
        <f>IF( AND( Table4[[#This Row],[Route]]=ClosureLocation!$B$3, ClosureLocation!$B$6 &lt;= Table4[[#This Row],[StartMP]], ClosureLocation!$B$6 &gt;= Table4[[#This Row],[EndMP]]), "Yes", "")</f>
        <v/>
      </c>
      <c r="R2339" s="1" t="str">
        <f>IF( OR( Table4[[#This Row],[PrimaryMatch]]="Yes", Table4[[#This Row],[SecondaryMatch]]="Yes"), "Yes", "")</f>
        <v/>
      </c>
    </row>
    <row r="2340" spans="1:18" hidden="1" x14ac:dyDescent="0.25">
      <c r="A2340" t="s">
        <v>1167</v>
      </c>
      <c r="B2340" t="s">
        <v>3205</v>
      </c>
      <c r="C2340" t="s">
        <v>3222</v>
      </c>
      <c r="D2340" t="s">
        <v>4024</v>
      </c>
      <c r="E2340" s="1">
        <v>49.542999999999999</v>
      </c>
      <c r="F2340" s="1">
        <v>56.201999999999998</v>
      </c>
      <c r="G2340">
        <v>3</v>
      </c>
      <c r="H2340">
        <v>3</v>
      </c>
      <c r="I2340" t="s">
        <v>2886</v>
      </c>
      <c r="J2340" t="s">
        <v>1689</v>
      </c>
      <c r="K2340" s="39">
        <v>2.6545030000000001</v>
      </c>
      <c r="L2340" s="1">
        <v>2.4972219999999998</v>
      </c>
      <c r="M2340" s="1" t="s">
        <v>4027</v>
      </c>
      <c r="N2340" s="1">
        <v>49.542999999999999</v>
      </c>
      <c r="O2340" s="1">
        <f>ABS(Table4[[#This Row],[EndMP]]-Table4[[#This Row],[StartMP]])</f>
        <v>6.6589999999999989</v>
      </c>
      <c r="P2340" s="1" t="str">
        <f>IF( AND( Table4[[#This Row],[Route]]=ClosureLocation!$B$3, ClosureLocation!$B$6 &gt;= Table4[[#This Row],[StartMP]], ClosureLocation!$B$6 &lt;= Table4[[#This Row],[EndMP]]), "Yes", "")</f>
        <v/>
      </c>
      <c r="Q2340" s="1" t="str">
        <f>IF( AND( Table4[[#This Row],[Route]]=ClosureLocation!$B$3, ClosureLocation!$B$6 &lt;= Table4[[#This Row],[StartMP]], ClosureLocation!$B$6 &gt;= Table4[[#This Row],[EndMP]]), "Yes", "")</f>
        <v/>
      </c>
      <c r="R2340" s="1" t="str">
        <f>IF( OR( Table4[[#This Row],[PrimaryMatch]]="Yes", Table4[[#This Row],[SecondaryMatch]]="Yes"), "Yes", "")</f>
        <v/>
      </c>
    </row>
    <row r="2341" spans="1:18" hidden="1" x14ac:dyDescent="0.25">
      <c r="A2341" t="s">
        <v>684</v>
      </c>
      <c r="B2341" t="s">
        <v>3209</v>
      </c>
      <c r="C2341" t="s">
        <v>3226</v>
      </c>
      <c r="D2341" t="s">
        <v>3655</v>
      </c>
      <c r="E2341" s="1">
        <v>20.452000000000002</v>
      </c>
      <c r="F2341" s="1">
        <v>19.986999999999998</v>
      </c>
      <c r="G2341">
        <v>4</v>
      </c>
      <c r="H2341">
        <v>7</v>
      </c>
      <c r="I2341" t="s">
        <v>2487</v>
      </c>
      <c r="J2341" t="s">
        <v>1702</v>
      </c>
      <c r="K2341" s="39">
        <v>2.6438540000000001</v>
      </c>
      <c r="L2341" s="1">
        <v>2.1049899999999999</v>
      </c>
      <c r="M2341" s="1" t="s">
        <v>3659</v>
      </c>
      <c r="N2341" s="1">
        <v>979.548</v>
      </c>
      <c r="O2341" s="1">
        <f>ABS(Table4[[#This Row],[EndMP]]-Table4[[#This Row],[StartMP]])</f>
        <v>0.46500000000000341</v>
      </c>
      <c r="P2341" s="1" t="str">
        <f>IF( AND( Table4[[#This Row],[Route]]=ClosureLocation!$B$3, ClosureLocation!$B$6 &gt;= Table4[[#This Row],[StartMP]], ClosureLocation!$B$6 &lt;= Table4[[#This Row],[EndMP]]), "Yes", "")</f>
        <v/>
      </c>
      <c r="Q2341" s="1" t="str">
        <f>IF( AND( Table4[[#This Row],[Route]]=ClosureLocation!$B$3, ClosureLocation!$B$6 &lt;= Table4[[#This Row],[StartMP]], ClosureLocation!$B$6 &gt;= Table4[[#This Row],[EndMP]]), "Yes", "")</f>
        <v/>
      </c>
      <c r="R2341" s="1" t="str">
        <f>IF( OR( Table4[[#This Row],[PrimaryMatch]]="Yes", Table4[[#This Row],[SecondaryMatch]]="Yes"), "Yes", "")</f>
        <v/>
      </c>
    </row>
    <row r="2342" spans="1:18" hidden="1" x14ac:dyDescent="0.25">
      <c r="A2342" t="s">
        <v>776</v>
      </c>
      <c r="B2342" t="s">
        <v>3209</v>
      </c>
      <c r="C2342" t="s">
        <v>3226</v>
      </c>
      <c r="D2342" t="s">
        <v>3749</v>
      </c>
      <c r="E2342" s="1">
        <v>279.04300000000001</v>
      </c>
      <c r="F2342" s="1">
        <v>270.709</v>
      </c>
      <c r="G2342">
        <v>20</v>
      </c>
      <c r="H2342">
        <v>73</v>
      </c>
      <c r="I2342" t="s">
        <v>2619</v>
      </c>
      <c r="J2342" t="s">
        <v>1694</v>
      </c>
      <c r="K2342" s="39">
        <v>2.6432669999999998</v>
      </c>
      <c r="L2342" s="1">
        <v>1.8999220000000001</v>
      </c>
      <c r="M2342" s="1" t="s">
        <v>3259</v>
      </c>
      <c r="N2342" s="1">
        <v>720.95699999999999</v>
      </c>
      <c r="O2342" s="1">
        <f>ABS(Table4[[#This Row],[EndMP]]-Table4[[#This Row],[StartMP]])</f>
        <v>8.3340000000000032</v>
      </c>
      <c r="P2342" s="1" t="str">
        <f>IF( AND( Table4[[#This Row],[Route]]=ClosureLocation!$B$3, ClosureLocation!$B$6 &gt;= Table4[[#This Row],[StartMP]], ClosureLocation!$B$6 &lt;= Table4[[#This Row],[EndMP]]), "Yes", "")</f>
        <v/>
      </c>
      <c r="Q2342" s="1" t="str">
        <f>IF( AND( Table4[[#This Row],[Route]]=ClosureLocation!$B$3, ClosureLocation!$B$6 &lt;= Table4[[#This Row],[StartMP]], ClosureLocation!$B$6 &gt;= Table4[[#This Row],[EndMP]]), "Yes", "")</f>
        <v/>
      </c>
      <c r="R2342" s="1" t="str">
        <f>IF( OR( Table4[[#This Row],[PrimaryMatch]]="Yes", Table4[[#This Row],[SecondaryMatch]]="Yes"), "Yes", "")</f>
        <v/>
      </c>
    </row>
    <row r="2343" spans="1:18" hidden="1" x14ac:dyDescent="0.25">
      <c r="A2343" t="s">
        <v>1414</v>
      </c>
      <c r="B2343" t="s">
        <v>3209</v>
      </c>
      <c r="C2343" t="s">
        <v>3222</v>
      </c>
      <c r="D2343" t="s">
        <v>4188</v>
      </c>
      <c r="E2343" s="1">
        <v>0.11</v>
      </c>
      <c r="F2343" s="1">
        <v>0</v>
      </c>
      <c r="H2343">
        <v>1</v>
      </c>
      <c r="I2343" t="s">
        <v>3013</v>
      </c>
      <c r="J2343" t="s">
        <v>1711</v>
      </c>
      <c r="K2343" s="39">
        <v>2.6330490000000002</v>
      </c>
      <c r="L2343" s="1">
        <v>1.61052</v>
      </c>
      <c r="M2343" s="1" t="s">
        <v>4189</v>
      </c>
      <c r="N2343" s="1">
        <v>999.89</v>
      </c>
      <c r="O2343" s="1">
        <f>ABS(Table4[[#This Row],[EndMP]]-Table4[[#This Row],[StartMP]])</f>
        <v>0.11</v>
      </c>
      <c r="P2343" s="1" t="str">
        <f>IF( AND( Table4[[#This Row],[Route]]=ClosureLocation!$B$3, ClosureLocation!$B$6 &gt;= Table4[[#This Row],[StartMP]], ClosureLocation!$B$6 &lt;= Table4[[#This Row],[EndMP]]), "Yes", "")</f>
        <v/>
      </c>
      <c r="Q2343" s="1" t="str">
        <f>IF( AND( Table4[[#This Row],[Route]]=ClosureLocation!$B$3, ClosureLocation!$B$6 &lt;= Table4[[#This Row],[StartMP]], ClosureLocation!$B$6 &gt;= Table4[[#This Row],[EndMP]]), "Yes", "")</f>
        <v/>
      </c>
      <c r="R2343" s="1" t="str">
        <f>IF( OR( Table4[[#This Row],[PrimaryMatch]]="Yes", Table4[[#This Row],[SecondaryMatch]]="Yes"), "Yes", "")</f>
        <v/>
      </c>
    </row>
    <row r="2344" spans="1:18" hidden="1" x14ac:dyDescent="0.25">
      <c r="A2344" t="s">
        <v>12</v>
      </c>
      <c r="B2344" t="s">
        <v>3209</v>
      </c>
      <c r="C2344" t="s">
        <v>3210</v>
      </c>
      <c r="D2344" t="s">
        <v>3218</v>
      </c>
      <c r="E2344" s="1">
        <v>1.9419999999999999</v>
      </c>
      <c r="F2344" s="1">
        <v>0</v>
      </c>
      <c r="G2344">
        <v>3</v>
      </c>
      <c r="H2344">
        <v>7</v>
      </c>
      <c r="I2344" t="s">
        <v>2055</v>
      </c>
      <c r="J2344" t="s">
        <v>1696</v>
      </c>
      <c r="K2344" s="39">
        <v>2.6262940000000001</v>
      </c>
      <c r="L2344" s="1">
        <v>1.719533</v>
      </c>
      <c r="M2344" s="1" t="s">
        <v>3221</v>
      </c>
      <c r="N2344" s="1">
        <v>998.05799999999999</v>
      </c>
      <c r="O2344" s="1">
        <f>ABS(Table4[[#This Row],[EndMP]]-Table4[[#This Row],[StartMP]])</f>
        <v>1.9419999999999999</v>
      </c>
      <c r="P2344" s="1" t="str">
        <f>IF( AND( Table4[[#This Row],[Route]]=ClosureLocation!$B$3, ClosureLocation!$B$6 &gt;= Table4[[#This Row],[StartMP]], ClosureLocation!$B$6 &lt;= Table4[[#This Row],[EndMP]]), "Yes", "")</f>
        <v/>
      </c>
      <c r="Q2344" s="1" t="str">
        <f>IF( AND( Table4[[#This Row],[Route]]=ClosureLocation!$B$3, ClosureLocation!$B$6 &lt;= Table4[[#This Row],[StartMP]], ClosureLocation!$B$6 &gt;= Table4[[#This Row],[EndMP]]), "Yes", "")</f>
        <v/>
      </c>
      <c r="R2344" s="1" t="str">
        <f>IF( OR( Table4[[#This Row],[PrimaryMatch]]="Yes", Table4[[#This Row],[SecondaryMatch]]="Yes"), "Yes", "")</f>
        <v/>
      </c>
    </row>
    <row r="2345" spans="1:18" hidden="1" x14ac:dyDescent="0.25">
      <c r="A2345" t="s">
        <v>430</v>
      </c>
      <c r="B2345" t="s">
        <v>3209</v>
      </c>
      <c r="C2345" t="s">
        <v>3226</v>
      </c>
      <c r="D2345" t="s">
        <v>3508</v>
      </c>
      <c r="E2345" s="1">
        <v>11.643000000000001</v>
      </c>
      <c r="F2345" s="1">
        <v>11.057</v>
      </c>
      <c r="H2345">
        <v>3</v>
      </c>
      <c r="I2345" t="s">
        <v>2318</v>
      </c>
      <c r="J2345" t="s">
        <v>1702</v>
      </c>
      <c r="K2345" s="39">
        <v>2.6102240000000001</v>
      </c>
      <c r="L2345" s="1">
        <v>2.0433370000000002</v>
      </c>
      <c r="M2345" s="1" t="s">
        <v>3509</v>
      </c>
      <c r="N2345" s="1">
        <v>988.35699999999997</v>
      </c>
      <c r="O2345" s="1">
        <f>ABS(Table4[[#This Row],[EndMP]]-Table4[[#This Row],[StartMP]])</f>
        <v>0.5860000000000003</v>
      </c>
      <c r="P2345" s="1" t="str">
        <f>IF( AND( Table4[[#This Row],[Route]]=ClosureLocation!$B$3, ClosureLocation!$B$6 &gt;= Table4[[#This Row],[StartMP]], ClosureLocation!$B$6 &lt;= Table4[[#This Row],[EndMP]]), "Yes", "")</f>
        <v/>
      </c>
      <c r="Q2345" s="1" t="str">
        <f>IF( AND( Table4[[#This Row],[Route]]=ClosureLocation!$B$3, ClosureLocation!$B$6 &lt;= Table4[[#This Row],[StartMP]], ClosureLocation!$B$6 &gt;= Table4[[#This Row],[EndMP]]), "Yes", "")</f>
        <v/>
      </c>
      <c r="R2345" s="1" t="str">
        <f>IF( OR( Table4[[#This Row],[PrimaryMatch]]="Yes", Table4[[#This Row],[SecondaryMatch]]="Yes"), "Yes", "")</f>
        <v/>
      </c>
    </row>
    <row r="2346" spans="1:18" hidden="1" x14ac:dyDescent="0.25">
      <c r="A2346" t="s">
        <v>149</v>
      </c>
      <c r="B2346" t="s">
        <v>3209</v>
      </c>
      <c r="C2346" t="s">
        <v>3226</v>
      </c>
      <c r="D2346" t="s">
        <v>3295</v>
      </c>
      <c r="E2346" s="1">
        <v>2.7839999999999998</v>
      </c>
      <c r="F2346" s="1">
        <v>2.1579999999999999</v>
      </c>
      <c r="G2346">
        <v>2</v>
      </c>
      <c r="H2346">
        <v>4</v>
      </c>
      <c r="I2346" t="s">
        <v>2117</v>
      </c>
      <c r="J2346" t="s">
        <v>1705</v>
      </c>
      <c r="K2346" s="39">
        <v>2.607774</v>
      </c>
      <c r="L2346" s="1">
        <v>3.5288940000000002</v>
      </c>
      <c r="M2346" s="1" t="s">
        <v>3297</v>
      </c>
      <c r="N2346" s="1">
        <v>997.21600000000001</v>
      </c>
      <c r="O2346" s="1">
        <f>ABS(Table4[[#This Row],[EndMP]]-Table4[[#This Row],[StartMP]])</f>
        <v>0.62599999999999989</v>
      </c>
      <c r="P2346" s="1" t="str">
        <f>IF( AND( Table4[[#This Row],[Route]]=ClosureLocation!$B$3, ClosureLocation!$B$6 &gt;= Table4[[#This Row],[StartMP]], ClosureLocation!$B$6 &lt;= Table4[[#This Row],[EndMP]]), "Yes", "")</f>
        <v/>
      </c>
      <c r="Q2346" s="1" t="str">
        <f>IF( AND( Table4[[#This Row],[Route]]=ClosureLocation!$B$3, ClosureLocation!$B$6 &lt;= Table4[[#This Row],[StartMP]], ClosureLocation!$B$6 &gt;= Table4[[#This Row],[EndMP]]), "Yes", "")</f>
        <v/>
      </c>
      <c r="R2346" s="1" t="str">
        <f>IF( OR( Table4[[#This Row],[PrimaryMatch]]="Yes", Table4[[#This Row],[SecondaryMatch]]="Yes"), "Yes", "")</f>
        <v/>
      </c>
    </row>
    <row r="2347" spans="1:18" hidden="1" x14ac:dyDescent="0.25">
      <c r="A2347" t="s">
        <v>385</v>
      </c>
      <c r="B2347" t="s">
        <v>3209</v>
      </c>
      <c r="C2347" t="s">
        <v>3226</v>
      </c>
      <c r="D2347" t="s">
        <v>3474</v>
      </c>
      <c r="E2347" s="1">
        <v>3.831</v>
      </c>
      <c r="F2347" s="1">
        <v>8.3000000000000004E-2</v>
      </c>
      <c r="H2347">
        <v>2</v>
      </c>
      <c r="I2347" t="s">
        <v>2286</v>
      </c>
      <c r="J2347" t="s">
        <v>1705</v>
      </c>
      <c r="K2347" s="39">
        <v>2.605175</v>
      </c>
      <c r="L2347" s="1">
        <v>2.5887319999999998</v>
      </c>
      <c r="M2347" s="1" t="s">
        <v>3476</v>
      </c>
      <c r="N2347" s="1">
        <v>996.16899999999998</v>
      </c>
      <c r="O2347" s="1">
        <f>ABS(Table4[[#This Row],[EndMP]]-Table4[[#This Row],[StartMP]])</f>
        <v>3.7479999999999998</v>
      </c>
      <c r="P2347" s="1" t="str">
        <f>IF( AND( Table4[[#This Row],[Route]]=ClosureLocation!$B$3, ClosureLocation!$B$6 &gt;= Table4[[#This Row],[StartMP]], ClosureLocation!$B$6 &lt;= Table4[[#This Row],[EndMP]]), "Yes", "")</f>
        <v/>
      </c>
      <c r="Q2347" s="1" t="str">
        <f>IF( AND( Table4[[#This Row],[Route]]=ClosureLocation!$B$3, ClosureLocation!$B$6 &lt;= Table4[[#This Row],[StartMP]], ClosureLocation!$B$6 &gt;= Table4[[#This Row],[EndMP]]), "Yes", "")</f>
        <v/>
      </c>
      <c r="R2347" s="1" t="str">
        <f>IF( OR( Table4[[#This Row],[PrimaryMatch]]="Yes", Table4[[#This Row],[SecondaryMatch]]="Yes"), "Yes", "")</f>
        <v/>
      </c>
    </row>
    <row r="2348" spans="1:18" hidden="1" x14ac:dyDescent="0.25">
      <c r="A2348" t="s">
        <v>776</v>
      </c>
      <c r="B2348" t="s">
        <v>3209</v>
      </c>
      <c r="C2348" t="s">
        <v>3226</v>
      </c>
      <c r="D2348" t="s">
        <v>3749</v>
      </c>
      <c r="E2348" s="1">
        <v>246.39599999999999</v>
      </c>
      <c r="F2348" s="1">
        <v>244.56399999999999</v>
      </c>
      <c r="G2348">
        <v>30</v>
      </c>
      <c r="H2348">
        <v>83</v>
      </c>
      <c r="I2348" t="s">
        <v>2629</v>
      </c>
      <c r="J2348" t="s">
        <v>1694</v>
      </c>
      <c r="K2348" s="39">
        <v>2.5769570000000002</v>
      </c>
      <c r="L2348" s="1">
        <v>0.185027</v>
      </c>
      <c r="M2348" s="1" t="s">
        <v>4522</v>
      </c>
      <c r="N2348" s="1">
        <v>753.60400000000004</v>
      </c>
      <c r="O2348" s="1">
        <f>ABS(Table4[[#This Row],[EndMP]]-Table4[[#This Row],[StartMP]])</f>
        <v>1.8319999999999936</v>
      </c>
      <c r="P2348" s="1" t="str">
        <f>IF( AND( Table4[[#This Row],[Route]]=ClosureLocation!$B$3, ClosureLocation!$B$6 &gt;= Table4[[#This Row],[StartMP]], ClosureLocation!$B$6 &lt;= Table4[[#This Row],[EndMP]]), "Yes", "")</f>
        <v/>
      </c>
      <c r="Q2348" s="1" t="str">
        <f>IF( AND( Table4[[#This Row],[Route]]=ClosureLocation!$B$3, ClosureLocation!$B$6 &lt;= Table4[[#This Row],[StartMP]], ClosureLocation!$B$6 &gt;= Table4[[#This Row],[EndMP]]), "Yes", "")</f>
        <v/>
      </c>
      <c r="R2348" s="1" t="str">
        <f>IF( OR( Table4[[#This Row],[PrimaryMatch]]="Yes", Table4[[#This Row],[SecondaryMatch]]="Yes"), "Yes", "")</f>
        <v/>
      </c>
    </row>
    <row r="2349" spans="1:18" hidden="1" x14ac:dyDescent="0.25">
      <c r="A2349" t="s">
        <v>1464</v>
      </c>
      <c r="B2349" t="s">
        <v>3205</v>
      </c>
      <c r="C2349" t="s">
        <v>3222</v>
      </c>
      <c r="D2349" t="s">
        <v>4689</v>
      </c>
      <c r="E2349" s="1">
        <v>2.41</v>
      </c>
      <c r="F2349" s="1">
        <v>4.7149999999999999</v>
      </c>
      <c r="G2349">
        <v>7</v>
      </c>
      <c r="H2349">
        <v>3</v>
      </c>
      <c r="I2349" t="s">
        <v>3042</v>
      </c>
      <c r="J2349" t="s">
        <v>1704</v>
      </c>
      <c r="K2349" s="39">
        <v>2.5682870000000002</v>
      </c>
      <c r="L2349" s="1">
        <v>1.345064</v>
      </c>
      <c r="M2349" s="1" t="s">
        <v>4231</v>
      </c>
      <c r="N2349" s="1">
        <v>2.41</v>
      </c>
      <c r="O2349" s="1">
        <f>ABS(Table4[[#This Row],[EndMP]]-Table4[[#This Row],[StartMP]])</f>
        <v>2.3049999999999997</v>
      </c>
      <c r="P2349" s="1" t="str">
        <f>IF( AND( Table4[[#This Row],[Route]]=ClosureLocation!$B$3, ClosureLocation!$B$6 &gt;= Table4[[#This Row],[StartMP]], ClosureLocation!$B$6 &lt;= Table4[[#This Row],[EndMP]]), "Yes", "")</f>
        <v/>
      </c>
      <c r="Q2349" s="1" t="str">
        <f>IF( AND( Table4[[#This Row],[Route]]=ClosureLocation!$B$3, ClosureLocation!$B$6 &lt;= Table4[[#This Row],[StartMP]], ClosureLocation!$B$6 &gt;= Table4[[#This Row],[EndMP]]), "Yes", "")</f>
        <v/>
      </c>
      <c r="R2349" s="1" t="str">
        <f>IF( OR( Table4[[#This Row],[PrimaryMatch]]="Yes", Table4[[#This Row],[SecondaryMatch]]="Yes"), "Yes", "")</f>
        <v/>
      </c>
    </row>
    <row r="2350" spans="1:18" hidden="1" x14ac:dyDescent="0.25">
      <c r="A2350" t="s">
        <v>1464</v>
      </c>
      <c r="B2350" t="s">
        <v>3209</v>
      </c>
      <c r="C2350" t="s">
        <v>3226</v>
      </c>
      <c r="D2350" t="s">
        <v>4690</v>
      </c>
      <c r="E2350" s="1">
        <v>4.2549999999999999</v>
      </c>
      <c r="F2350" s="1">
        <v>2.5150000000000001</v>
      </c>
      <c r="G2350">
        <v>2</v>
      </c>
      <c r="H2350">
        <v>6</v>
      </c>
      <c r="I2350" t="s">
        <v>3045</v>
      </c>
      <c r="J2350" t="s">
        <v>1704</v>
      </c>
      <c r="K2350" s="39">
        <v>2.5615269999999999</v>
      </c>
      <c r="L2350" s="1">
        <v>1.4518169999999999</v>
      </c>
      <c r="M2350" s="1" t="s">
        <v>4234</v>
      </c>
      <c r="N2350" s="1">
        <v>995.745</v>
      </c>
      <c r="O2350" s="1">
        <f>ABS(Table4[[#This Row],[EndMP]]-Table4[[#This Row],[StartMP]])</f>
        <v>1.7399999999999998</v>
      </c>
      <c r="P2350" s="1" t="str">
        <f>IF( AND( Table4[[#This Row],[Route]]=ClosureLocation!$B$3, ClosureLocation!$B$6 &gt;= Table4[[#This Row],[StartMP]], ClosureLocation!$B$6 &lt;= Table4[[#This Row],[EndMP]]), "Yes", "")</f>
        <v/>
      </c>
      <c r="Q2350" s="1" t="str">
        <f>IF( AND( Table4[[#This Row],[Route]]=ClosureLocation!$B$3, ClosureLocation!$B$6 &lt;= Table4[[#This Row],[StartMP]], ClosureLocation!$B$6 &gt;= Table4[[#This Row],[EndMP]]), "Yes", "")</f>
        <v/>
      </c>
      <c r="R2350" s="1" t="str">
        <f>IF( OR( Table4[[#This Row],[PrimaryMatch]]="Yes", Table4[[#This Row],[SecondaryMatch]]="Yes"), "Yes", "")</f>
        <v/>
      </c>
    </row>
    <row r="2351" spans="1:18" hidden="1" x14ac:dyDescent="0.25">
      <c r="A2351" t="s">
        <v>1180</v>
      </c>
      <c r="B2351" t="s">
        <v>3209</v>
      </c>
      <c r="C2351" t="s">
        <v>3210</v>
      </c>
      <c r="D2351" t="s">
        <v>4044</v>
      </c>
      <c r="E2351" s="1">
        <v>16.617999999999999</v>
      </c>
      <c r="F2351" s="1">
        <v>12.531000000000001</v>
      </c>
      <c r="G2351">
        <v>3</v>
      </c>
      <c r="H2351">
        <v>7</v>
      </c>
      <c r="I2351" t="s">
        <v>2902</v>
      </c>
      <c r="J2351" t="s">
        <v>1708</v>
      </c>
      <c r="K2351" s="39">
        <v>2.5223170000000001</v>
      </c>
      <c r="L2351" s="1">
        <v>1.9785729999999999</v>
      </c>
      <c r="M2351" s="1" t="s">
        <v>4047</v>
      </c>
      <c r="N2351" s="1">
        <v>983.38199999999995</v>
      </c>
      <c r="O2351" s="1">
        <f>ABS(Table4[[#This Row],[EndMP]]-Table4[[#This Row],[StartMP]])</f>
        <v>4.086999999999998</v>
      </c>
      <c r="P2351" s="1" t="str">
        <f>IF( AND( Table4[[#This Row],[Route]]=ClosureLocation!$B$3, ClosureLocation!$B$6 &gt;= Table4[[#This Row],[StartMP]], ClosureLocation!$B$6 &lt;= Table4[[#This Row],[EndMP]]), "Yes", "")</f>
        <v/>
      </c>
      <c r="Q2351" s="1" t="str">
        <f>IF( AND( Table4[[#This Row],[Route]]=ClosureLocation!$B$3, ClosureLocation!$B$6 &lt;= Table4[[#This Row],[StartMP]], ClosureLocation!$B$6 &gt;= Table4[[#This Row],[EndMP]]), "Yes", "")</f>
        <v/>
      </c>
      <c r="R2351" s="1" t="str">
        <f>IF( OR( Table4[[#This Row],[PrimaryMatch]]="Yes", Table4[[#This Row],[SecondaryMatch]]="Yes"), "Yes", "")</f>
        <v/>
      </c>
    </row>
    <row r="2352" spans="1:18" hidden="1" x14ac:dyDescent="0.25">
      <c r="A2352" t="s">
        <v>1025</v>
      </c>
      <c r="B2352" t="s">
        <v>3209</v>
      </c>
      <c r="C2352" t="s">
        <v>3226</v>
      </c>
      <c r="D2352" t="s">
        <v>3923</v>
      </c>
      <c r="E2352" s="1">
        <v>1.054</v>
      </c>
      <c r="F2352" s="1">
        <v>0.16800000000000001</v>
      </c>
      <c r="H2352">
        <v>5</v>
      </c>
      <c r="I2352" t="s">
        <v>2814</v>
      </c>
      <c r="J2352" t="s">
        <v>1707</v>
      </c>
      <c r="K2352" s="39">
        <v>2.519145</v>
      </c>
      <c r="L2352" s="1">
        <v>1.533636</v>
      </c>
      <c r="M2352" s="1" t="s">
        <v>3927</v>
      </c>
      <c r="N2352" s="1">
        <v>998.94600000000003</v>
      </c>
      <c r="O2352" s="1">
        <f>ABS(Table4[[#This Row],[EndMP]]-Table4[[#This Row],[StartMP]])</f>
        <v>0.88600000000000001</v>
      </c>
      <c r="P2352" s="1" t="str">
        <f>IF( AND( Table4[[#This Row],[Route]]=ClosureLocation!$B$3, ClosureLocation!$B$6 &gt;= Table4[[#This Row],[StartMP]], ClosureLocation!$B$6 &lt;= Table4[[#This Row],[EndMP]]), "Yes", "")</f>
        <v/>
      </c>
      <c r="Q2352" s="1" t="str">
        <f>IF( AND( Table4[[#This Row],[Route]]=ClosureLocation!$B$3, ClosureLocation!$B$6 &lt;= Table4[[#This Row],[StartMP]], ClosureLocation!$B$6 &gt;= Table4[[#This Row],[EndMP]]), "Yes", "")</f>
        <v/>
      </c>
      <c r="R2352" s="1" t="str">
        <f>IF( OR( Table4[[#This Row],[PrimaryMatch]]="Yes", Table4[[#This Row],[SecondaryMatch]]="Yes"), "Yes", "")</f>
        <v/>
      </c>
    </row>
    <row r="2353" spans="1:18" hidden="1" x14ac:dyDescent="0.25">
      <c r="A2353" t="s">
        <v>776</v>
      </c>
      <c r="B2353" t="s">
        <v>3205</v>
      </c>
      <c r="C2353" t="s">
        <v>3222</v>
      </c>
      <c r="D2353" t="s">
        <v>3748</v>
      </c>
      <c r="E2353" s="1">
        <v>260.28899999999999</v>
      </c>
      <c r="F2353" s="1">
        <v>261.46100000000001</v>
      </c>
      <c r="G2353">
        <v>31</v>
      </c>
      <c r="H2353">
        <v>31</v>
      </c>
      <c r="I2353" t="s">
        <v>2576</v>
      </c>
      <c r="J2353" t="s">
        <v>1694</v>
      </c>
      <c r="K2353" s="39">
        <v>2.5138180000000001</v>
      </c>
      <c r="L2353" s="1">
        <v>1.0767679999999999</v>
      </c>
      <c r="M2353" s="1" t="s">
        <v>4478</v>
      </c>
      <c r="N2353" s="1">
        <v>260.28899999999999</v>
      </c>
      <c r="O2353" s="1">
        <f>ABS(Table4[[#This Row],[EndMP]]-Table4[[#This Row],[StartMP]])</f>
        <v>1.1720000000000255</v>
      </c>
      <c r="P2353" s="1" t="str">
        <f>IF( AND( Table4[[#This Row],[Route]]=ClosureLocation!$B$3, ClosureLocation!$B$6 &gt;= Table4[[#This Row],[StartMP]], ClosureLocation!$B$6 &lt;= Table4[[#This Row],[EndMP]]), "Yes", "")</f>
        <v/>
      </c>
      <c r="Q2353" s="1" t="str">
        <f>IF( AND( Table4[[#This Row],[Route]]=ClosureLocation!$B$3, ClosureLocation!$B$6 &lt;= Table4[[#This Row],[StartMP]], ClosureLocation!$B$6 &gt;= Table4[[#This Row],[EndMP]]), "Yes", "")</f>
        <v/>
      </c>
      <c r="R2353" s="1" t="str">
        <f>IF( OR( Table4[[#This Row],[PrimaryMatch]]="Yes", Table4[[#This Row],[SecondaryMatch]]="Yes"), "Yes", "")</f>
        <v/>
      </c>
    </row>
    <row r="2354" spans="1:18" hidden="1" x14ac:dyDescent="0.25">
      <c r="A2354" t="s">
        <v>776</v>
      </c>
      <c r="B2354" t="s">
        <v>3205</v>
      </c>
      <c r="C2354" t="s">
        <v>3222</v>
      </c>
      <c r="D2354" t="s">
        <v>3748</v>
      </c>
      <c r="E2354" s="1">
        <v>292.392</v>
      </c>
      <c r="F2354" s="1">
        <v>295</v>
      </c>
      <c r="G2354">
        <v>38</v>
      </c>
      <c r="H2354">
        <v>38</v>
      </c>
      <c r="I2354" t="s">
        <v>2583</v>
      </c>
      <c r="J2354" t="s">
        <v>1694</v>
      </c>
      <c r="K2354" s="39">
        <v>2.500823</v>
      </c>
      <c r="L2354" s="1">
        <v>0.48737399999999997</v>
      </c>
      <c r="M2354" s="1" t="s">
        <v>4482</v>
      </c>
      <c r="N2354" s="1">
        <v>292.392</v>
      </c>
      <c r="O2354" s="1">
        <f>ABS(Table4[[#This Row],[EndMP]]-Table4[[#This Row],[StartMP]])</f>
        <v>2.6080000000000041</v>
      </c>
      <c r="P2354" s="1" t="str">
        <f>IF( AND( Table4[[#This Row],[Route]]=ClosureLocation!$B$3, ClosureLocation!$B$6 &gt;= Table4[[#This Row],[StartMP]], ClosureLocation!$B$6 &lt;= Table4[[#This Row],[EndMP]]), "Yes", "")</f>
        <v/>
      </c>
      <c r="Q2354" s="1" t="str">
        <f>IF( AND( Table4[[#This Row],[Route]]=ClosureLocation!$B$3, ClosureLocation!$B$6 &lt;= Table4[[#This Row],[StartMP]], ClosureLocation!$B$6 &gt;= Table4[[#This Row],[EndMP]]), "Yes", "")</f>
        <v/>
      </c>
      <c r="R2354" s="1" t="str">
        <f>IF( OR( Table4[[#This Row],[PrimaryMatch]]="Yes", Table4[[#This Row],[SecondaryMatch]]="Yes"), "Yes", "")</f>
        <v/>
      </c>
    </row>
    <row r="2355" spans="1:18" hidden="1" x14ac:dyDescent="0.25">
      <c r="A2355" t="s">
        <v>1414</v>
      </c>
      <c r="B2355" t="s">
        <v>3205</v>
      </c>
      <c r="C2355" t="s">
        <v>3226</v>
      </c>
      <c r="D2355" t="s">
        <v>4190</v>
      </c>
      <c r="E2355" s="1">
        <v>0</v>
      </c>
      <c r="F2355" s="1">
        <v>0.11</v>
      </c>
      <c r="G2355">
        <v>1</v>
      </c>
      <c r="H2355">
        <v>2</v>
      </c>
      <c r="I2355" t="s">
        <v>3012</v>
      </c>
      <c r="J2355" t="s">
        <v>1711</v>
      </c>
      <c r="K2355" s="39">
        <v>2.472127</v>
      </c>
      <c r="L2355" s="1">
        <v>2.2074690000000001</v>
      </c>
      <c r="M2355" s="1" t="s">
        <v>4191</v>
      </c>
      <c r="N2355" s="1">
        <v>0</v>
      </c>
      <c r="O2355" s="1">
        <f>ABS(Table4[[#This Row],[EndMP]]-Table4[[#This Row],[StartMP]])</f>
        <v>0.11</v>
      </c>
      <c r="P2355" s="1" t="str">
        <f>IF( AND( Table4[[#This Row],[Route]]=ClosureLocation!$B$3, ClosureLocation!$B$6 &gt;= Table4[[#This Row],[StartMP]], ClosureLocation!$B$6 &lt;= Table4[[#This Row],[EndMP]]), "Yes", "")</f>
        <v/>
      </c>
      <c r="Q2355" s="1" t="str">
        <f>IF( AND( Table4[[#This Row],[Route]]=ClosureLocation!$B$3, ClosureLocation!$B$6 &lt;= Table4[[#This Row],[StartMP]], ClosureLocation!$B$6 &gt;= Table4[[#This Row],[EndMP]]), "Yes", "")</f>
        <v/>
      </c>
      <c r="R2355" s="1" t="str">
        <f>IF( OR( Table4[[#This Row],[PrimaryMatch]]="Yes", Table4[[#This Row],[SecondaryMatch]]="Yes"), "Yes", "")</f>
        <v/>
      </c>
    </row>
    <row r="2356" spans="1:18" hidden="1" x14ac:dyDescent="0.25">
      <c r="A2356" t="s">
        <v>1305</v>
      </c>
      <c r="B2356" t="s">
        <v>3205</v>
      </c>
      <c r="C2356" t="s">
        <v>3206</v>
      </c>
      <c r="D2356" t="s">
        <v>4139</v>
      </c>
      <c r="E2356" s="1">
        <v>2.036</v>
      </c>
      <c r="F2356" s="1">
        <v>3.597</v>
      </c>
      <c r="G2356">
        <v>2</v>
      </c>
      <c r="H2356">
        <v>2</v>
      </c>
      <c r="I2356" t="s">
        <v>2970</v>
      </c>
      <c r="J2356" t="s">
        <v>1692</v>
      </c>
      <c r="K2356" s="39">
        <v>2.4689160000000001</v>
      </c>
      <c r="L2356" s="1">
        <v>1.144909</v>
      </c>
      <c r="M2356" s="1" t="s">
        <v>4141</v>
      </c>
      <c r="N2356" s="1">
        <v>2.036</v>
      </c>
      <c r="O2356" s="1">
        <f>ABS(Table4[[#This Row],[EndMP]]-Table4[[#This Row],[StartMP]])</f>
        <v>1.5609999999999999</v>
      </c>
      <c r="P2356" s="1" t="str">
        <f>IF( AND( Table4[[#This Row],[Route]]=ClosureLocation!$B$3, ClosureLocation!$B$6 &gt;= Table4[[#This Row],[StartMP]], ClosureLocation!$B$6 &lt;= Table4[[#This Row],[EndMP]]), "Yes", "")</f>
        <v/>
      </c>
      <c r="Q2356" s="1" t="str">
        <f>IF( AND( Table4[[#This Row],[Route]]=ClosureLocation!$B$3, ClosureLocation!$B$6 &lt;= Table4[[#This Row],[StartMP]], ClosureLocation!$B$6 &gt;= Table4[[#This Row],[EndMP]]), "Yes", "")</f>
        <v/>
      </c>
      <c r="R2356" s="1" t="str">
        <f>IF( OR( Table4[[#This Row],[PrimaryMatch]]="Yes", Table4[[#This Row],[SecondaryMatch]]="Yes"), "Yes", "")</f>
        <v/>
      </c>
    </row>
    <row r="2357" spans="1:18" hidden="1" x14ac:dyDescent="0.25">
      <c r="A2357" t="s">
        <v>776</v>
      </c>
      <c r="B2357" t="s">
        <v>3209</v>
      </c>
      <c r="C2357" t="s">
        <v>3226</v>
      </c>
      <c r="D2357" t="s">
        <v>3749</v>
      </c>
      <c r="E2357" s="1">
        <v>269.87</v>
      </c>
      <c r="F2357" s="1">
        <v>269.64100000000002</v>
      </c>
      <c r="G2357">
        <v>21</v>
      </c>
      <c r="H2357">
        <v>74</v>
      </c>
      <c r="I2357" t="s">
        <v>2620</v>
      </c>
      <c r="J2357" t="s">
        <v>1694</v>
      </c>
      <c r="K2357" s="39">
        <v>2.4685589999999999</v>
      </c>
      <c r="L2357" s="1">
        <v>0.98757799999999996</v>
      </c>
      <c r="M2357" s="1" t="s">
        <v>4514</v>
      </c>
      <c r="N2357" s="1">
        <v>730.13</v>
      </c>
      <c r="O2357" s="1">
        <f>ABS(Table4[[#This Row],[EndMP]]-Table4[[#This Row],[StartMP]])</f>
        <v>0.22899999999998499</v>
      </c>
      <c r="P2357" s="1" t="str">
        <f>IF( AND( Table4[[#This Row],[Route]]=ClosureLocation!$B$3, ClosureLocation!$B$6 &gt;= Table4[[#This Row],[StartMP]], ClosureLocation!$B$6 &lt;= Table4[[#This Row],[EndMP]]), "Yes", "")</f>
        <v/>
      </c>
      <c r="Q2357" s="1" t="str">
        <f>IF( AND( Table4[[#This Row],[Route]]=ClosureLocation!$B$3, ClosureLocation!$B$6 &lt;= Table4[[#This Row],[StartMP]], ClosureLocation!$B$6 &gt;= Table4[[#This Row],[EndMP]]), "Yes", "")</f>
        <v/>
      </c>
      <c r="R2357" s="1" t="str">
        <f>IF( OR( Table4[[#This Row],[PrimaryMatch]]="Yes", Table4[[#This Row],[SecondaryMatch]]="Yes"), "Yes", "")</f>
        <v/>
      </c>
    </row>
    <row r="2358" spans="1:18" hidden="1" x14ac:dyDescent="0.25">
      <c r="A2358" t="s">
        <v>1014</v>
      </c>
      <c r="B2358" t="s">
        <v>3205</v>
      </c>
      <c r="C2358" t="s">
        <v>3206</v>
      </c>
      <c r="D2358" t="s">
        <v>3907</v>
      </c>
      <c r="E2358" s="1">
        <v>266.654</v>
      </c>
      <c r="F2358" s="1">
        <v>267.178</v>
      </c>
      <c r="H2358">
        <v>2</v>
      </c>
      <c r="I2358" t="s">
        <v>3908</v>
      </c>
      <c r="J2358" t="s">
        <v>1694</v>
      </c>
      <c r="K2358" s="39">
        <v>2.457948</v>
      </c>
      <c r="L2358" s="1">
        <v>1.3274509999999999</v>
      </c>
      <c r="M2358" s="1" t="s">
        <v>4993</v>
      </c>
      <c r="N2358" s="1">
        <v>266.654</v>
      </c>
      <c r="O2358" s="1">
        <f>ABS(Table4[[#This Row],[EndMP]]-Table4[[#This Row],[StartMP]])</f>
        <v>0.52400000000000091</v>
      </c>
      <c r="P2358" s="1" t="str">
        <f>IF( AND( Table4[[#This Row],[Route]]=ClosureLocation!$B$3, ClosureLocation!$B$6 &gt;= Table4[[#This Row],[StartMP]], ClosureLocation!$B$6 &lt;= Table4[[#This Row],[EndMP]]), "Yes", "")</f>
        <v/>
      </c>
      <c r="Q2358" s="1" t="str">
        <f>IF( AND( Table4[[#This Row],[Route]]=ClosureLocation!$B$3, ClosureLocation!$B$6 &lt;= Table4[[#This Row],[StartMP]], ClosureLocation!$B$6 &gt;= Table4[[#This Row],[EndMP]]), "Yes", "")</f>
        <v/>
      </c>
      <c r="R2358" s="1" t="str">
        <f>IF( OR( Table4[[#This Row],[PrimaryMatch]]="Yes", Table4[[#This Row],[SecondaryMatch]]="Yes"), "Yes", "")</f>
        <v/>
      </c>
    </row>
    <row r="2359" spans="1:18" hidden="1" x14ac:dyDescent="0.25">
      <c r="A2359" t="s">
        <v>310</v>
      </c>
      <c r="B2359" t="s">
        <v>3209</v>
      </c>
      <c r="C2359" t="s">
        <v>3210</v>
      </c>
      <c r="D2359" t="s">
        <v>3444</v>
      </c>
      <c r="E2359" s="1">
        <v>215.774</v>
      </c>
      <c r="F2359" s="1">
        <v>215.495</v>
      </c>
      <c r="G2359">
        <v>14</v>
      </c>
      <c r="H2359">
        <v>16</v>
      </c>
      <c r="I2359" t="s">
        <v>2253</v>
      </c>
      <c r="J2359" t="s">
        <v>1701</v>
      </c>
      <c r="K2359" s="39">
        <v>2.413001</v>
      </c>
      <c r="L2359" s="1">
        <v>0.20225000000000001</v>
      </c>
      <c r="M2359" s="1" t="s">
        <v>3452</v>
      </c>
      <c r="N2359" s="1">
        <v>784.226</v>
      </c>
      <c r="O2359" s="1">
        <f>ABS(Table4[[#This Row],[EndMP]]-Table4[[#This Row],[StartMP]])</f>
        <v>0.27899999999999636</v>
      </c>
      <c r="P2359" s="1" t="str">
        <f>IF( AND( Table4[[#This Row],[Route]]=ClosureLocation!$B$3, ClosureLocation!$B$6 &gt;= Table4[[#This Row],[StartMP]], ClosureLocation!$B$6 &lt;= Table4[[#This Row],[EndMP]]), "Yes", "")</f>
        <v/>
      </c>
      <c r="Q2359" s="1" t="str">
        <f>IF( AND( Table4[[#This Row],[Route]]=ClosureLocation!$B$3, ClosureLocation!$B$6 &lt;= Table4[[#This Row],[StartMP]], ClosureLocation!$B$6 &gt;= Table4[[#This Row],[EndMP]]), "Yes", "")</f>
        <v/>
      </c>
      <c r="R2359" s="1" t="str">
        <f>IF( OR( Table4[[#This Row],[PrimaryMatch]]="Yes", Table4[[#This Row],[SecondaryMatch]]="Yes"), "Yes", "")</f>
        <v/>
      </c>
    </row>
    <row r="2360" spans="1:18" hidden="1" x14ac:dyDescent="0.25">
      <c r="A2360" t="s">
        <v>917</v>
      </c>
      <c r="B2360" t="s">
        <v>3209</v>
      </c>
      <c r="C2360" t="s">
        <v>3226</v>
      </c>
      <c r="D2360" t="s">
        <v>3840</v>
      </c>
      <c r="E2360" s="1">
        <v>79.983000000000004</v>
      </c>
      <c r="F2360" s="1">
        <v>79.209999999999994</v>
      </c>
      <c r="G2360">
        <v>9</v>
      </c>
      <c r="H2360">
        <v>31</v>
      </c>
      <c r="I2360" t="s">
        <v>2734</v>
      </c>
      <c r="J2360" t="s">
        <v>1694</v>
      </c>
      <c r="K2360" s="39">
        <v>2.4048440000000002</v>
      </c>
      <c r="L2360" s="1">
        <v>0.83433999999999997</v>
      </c>
      <c r="M2360" s="1" t="s">
        <v>4980</v>
      </c>
      <c r="N2360" s="1">
        <v>920.01700000000005</v>
      </c>
      <c r="O2360" s="1">
        <f>ABS(Table4[[#This Row],[EndMP]]-Table4[[#This Row],[StartMP]])</f>
        <v>0.77300000000001035</v>
      </c>
      <c r="P2360" s="1" t="str">
        <f>IF( AND( Table4[[#This Row],[Route]]=ClosureLocation!$B$3, ClosureLocation!$B$6 &gt;= Table4[[#This Row],[StartMP]], ClosureLocation!$B$6 &lt;= Table4[[#This Row],[EndMP]]), "Yes", "")</f>
        <v/>
      </c>
      <c r="Q2360" s="1" t="str">
        <f>IF( AND( Table4[[#This Row],[Route]]=ClosureLocation!$B$3, ClosureLocation!$B$6 &lt;= Table4[[#This Row],[StartMP]], ClosureLocation!$B$6 &gt;= Table4[[#This Row],[EndMP]]), "Yes", "")</f>
        <v/>
      </c>
      <c r="R2360" s="1" t="str">
        <f>IF( OR( Table4[[#This Row],[PrimaryMatch]]="Yes", Table4[[#This Row],[SecondaryMatch]]="Yes"), "Yes", "")</f>
        <v/>
      </c>
    </row>
    <row r="2361" spans="1:18" hidden="1" x14ac:dyDescent="0.25">
      <c r="A2361" t="s">
        <v>546</v>
      </c>
      <c r="B2361" t="s">
        <v>3205</v>
      </c>
      <c r="C2361" t="s">
        <v>3222</v>
      </c>
      <c r="D2361" t="s">
        <v>3577</v>
      </c>
      <c r="E2361" s="1">
        <v>289</v>
      </c>
      <c r="F2361" s="1">
        <v>291.44400000000002</v>
      </c>
      <c r="H2361">
        <v>2</v>
      </c>
      <c r="I2361" t="s">
        <v>2380</v>
      </c>
      <c r="J2361" t="s">
        <v>1704</v>
      </c>
      <c r="K2361" s="39">
        <v>2.3519929999999998</v>
      </c>
      <c r="L2361" s="1">
        <v>2.8907970000000001</v>
      </c>
      <c r="M2361" s="1" t="s">
        <v>3580</v>
      </c>
      <c r="N2361" s="1">
        <v>289</v>
      </c>
      <c r="O2361" s="1">
        <f>ABS(Table4[[#This Row],[EndMP]]-Table4[[#This Row],[StartMP]])</f>
        <v>2.4440000000000168</v>
      </c>
      <c r="P2361" s="1" t="str">
        <f>IF( AND( Table4[[#This Row],[Route]]=ClosureLocation!$B$3, ClosureLocation!$B$6 &gt;= Table4[[#This Row],[StartMP]], ClosureLocation!$B$6 &lt;= Table4[[#This Row],[EndMP]]), "Yes", "")</f>
        <v/>
      </c>
      <c r="Q2361" s="1" t="str">
        <f>IF( AND( Table4[[#This Row],[Route]]=ClosureLocation!$B$3, ClosureLocation!$B$6 &lt;= Table4[[#This Row],[StartMP]], ClosureLocation!$B$6 &gt;= Table4[[#This Row],[EndMP]]), "Yes", "")</f>
        <v/>
      </c>
      <c r="R2361" s="1" t="str">
        <f>IF( OR( Table4[[#This Row],[PrimaryMatch]]="Yes", Table4[[#This Row],[SecondaryMatch]]="Yes"), "Yes", "")</f>
        <v/>
      </c>
    </row>
    <row r="2362" spans="1:18" hidden="1" x14ac:dyDescent="0.25">
      <c r="A2362" t="s">
        <v>902</v>
      </c>
      <c r="B2362" t="s">
        <v>3205</v>
      </c>
      <c r="C2362" t="s">
        <v>3226</v>
      </c>
      <c r="D2362" t="s">
        <v>3830</v>
      </c>
      <c r="E2362" s="1">
        <v>0.11</v>
      </c>
      <c r="F2362" s="1">
        <v>10.659000000000001</v>
      </c>
      <c r="G2362">
        <v>1</v>
      </c>
      <c r="H2362">
        <v>3</v>
      </c>
      <c r="I2362" t="s">
        <v>2698</v>
      </c>
      <c r="J2362" t="s">
        <v>1693</v>
      </c>
      <c r="K2362" s="39">
        <v>2.3413240000000002</v>
      </c>
      <c r="L2362" s="1">
        <v>3.6878090000000001</v>
      </c>
      <c r="M2362" s="1" t="s">
        <v>3831</v>
      </c>
      <c r="N2362" s="1">
        <v>0.11</v>
      </c>
      <c r="O2362" s="1">
        <f>ABS(Table4[[#This Row],[EndMP]]-Table4[[#This Row],[StartMP]])</f>
        <v>10.549000000000001</v>
      </c>
      <c r="P2362" s="1" t="str">
        <f>IF( AND( Table4[[#This Row],[Route]]=ClosureLocation!$B$3, ClosureLocation!$B$6 &gt;= Table4[[#This Row],[StartMP]], ClosureLocation!$B$6 &lt;= Table4[[#This Row],[EndMP]]), "Yes", "")</f>
        <v/>
      </c>
      <c r="Q2362" s="1" t="str">
        <f>IF( AND( Table4[[#This Row],[Route]]=ClosureLocation!$B$3, ClosureLocation!$B$6 &lt;= Table4[[#This Row],[StartMP]], ClosureLocation!$B$6 &gt;= Table4[[#This Row],[EndMP]]), "Yes", "")</f>
        <v/>
      </c>
      <c r="R2362" s="1" t="str">
        <f>IF( OR( Table4[[#This Row],[PrimaryMatch]]="Yes", Table4[[#This Row],[SecondaryMatch]]="Yes"), "Yes", "")</f>
        <v/>
      </c>
    </row>
    <row r="2363" spans="1:18" hidden="1" x14ac:dyDescent="0.25">
      <c r="A2363" t="s">
        <v>665</v>
      </c>
      <c r="B2363" t="s">
        <v>3205</v>
      </c>
      <c r="C2363" t="s">
        <v>3222</v>
      </c>
      <c r="D2363" t="s">
        <v>3641</v>
      </c>
      <c r="E2363" s="1">
        <v>0.871</v>
      </c>
      <c r="F2363" s="1">
        <v>9.4489999999999998</v>
      </c>
      <c r="G2363">
        <v>2</v>
      </c>
      <c r="H2363">
        <v>1</v>
      </c>
      <c r="I2363" t="s">
        <v>2474</v>
      </c>
      <c r="J2363" t="s">
        <v>1700</v>
      </c>
      <c r="K2363" s="39">
        <v>2.3161619999999998</v>
      </c>
      <c r="L2363" s="1">
        <v>4.2483740000000001</v>
      </c>
      <c r="M2363" s="1" t="s">
        <v>3643</v>
      </c>
      <c r="N2363" s="1">
        <v>0.871</v>
      </c>
      <c r="O2363" s="1">
        <f>ABS(Table4[[#This Row],[EndMP]]-Table4[[#This Row],[StartMP]])</f>
        <v>8.5779999999999994</v>
      </c>
      <c r="P2363" s="1" t="str">
        <f>IF( AND( Table4[[#This Row],[Route]]=ClosureLocation!$B$3, ClosureLocation!$B$6 &gt;= Table4[[#This Row],[StartMP]], ClosureLocation!$B$6 &lt;= Table4[[#This Row],[EndMP]]), "Yes", "")</f>
        <v/>
      </c>
      <c r="Q2363" s="1" t="str">
        <f>IF( AND( Table4[[#This Row],[Route]]=ClosureLocation!$B$3, ClosureLocation!$B$6 &lt;= Table4[[#This Row],[StartMP]], ClosureLocation!$B$6 &gt;= Table4[[#This Row],[EndMP]]), "Yes", "")</f>
        <v/>
      </c>
      <c r="R2363" s="1" t="str">
        <f>IF( OR( Table4[[#This Row],[PrimaryMatch]]="Yes", Table4[[#This Row],[SecondaryMatch]]="Yes"), "Yes", "")</f>
        <v/>
      </c>
    </row>
    <row r="2364" spans="1:18" hidden="1" x14ac:dyDescent="0.25">
      <c r="A2364" t="s">
        <v>1180</v>
      </c>
      <c r="B2364" t="s">
        <v>3205</v>
      </c>
      <c r="C2364" t="s">
        <v>3206</v>
      </c>
      <c r="D2364" t="s">
        <v>4038</v>
      </c>
      <c r="E2364" s="1">
        <v>0.15</v>
      </c>
      <c r="F2364" s="1">
        <v>7.3109999999999999</v>
      </c>
      <c r="G2364">
        <v>1</v>
      </c>
      <c r="H2364">
        <v>1</v>
      </c>
      <c r="I2364" t="s">
        <v>2894</v>
      </c>
      <c r="J2364" t="s">
        <v>1708</v>
      </c>
      <c r="K2364" s="39">
        <v>2.3157199999999998</v>
      </c>
      <c r="L2364" s="1">
        <v>5.9026620000000003</v>
      </c>
      <c r="M2364" s="1" t="s">
        <v>3298</v>
      </c>
      <c r="N2364" s="1">
        <v>0.15</v>
      </c>
      <c r="O2364" s="1">
        <f>ABS(Table4[[#This Row],[EndMP]]-Table4[[#This Row],[StartMP]])</f>
        <v>7.1609999999999996</v>
      </c>
      <c r="P2364" s="1" t="str">
        <f>IF( AND( Table4[[#This Row],[Route]]=ClosureLocation!$B$3, ClosureLocation!$B$6 &gt;= Table4[[#This Row],[StartMP]], ClosureLocation!$B$6 &lt;= Table4[[#This Row],[EndMP]]), "Yes", "")</f>
        <v/>
      </c>
      <c r="Q2364" s="1" t="str">
        <f>IF( AND( Table4[[#This Row],[Route]]=ClosureLocation!$B$3, ClosureLocation!$B$6 &lt;= Table4[[#This Row],[StartMP]], ClosureLocation!$B$6 &gt;= Table4[[#This Row],[EndMP]]), "Yes", "")</f>
        <v/>
      </c>
      <c r="R2364" s="1" t="str">
        <f>IF( OR( Table4[[#This Row],[PrimaryMatch]]="Yes", Table4[[#This Row],[SecondaryMatch]]="Yes"), "Yes", "")</f>
        <v/>
      </c>
    </row>
    <row r="2365" spans="1:18" hidden="1" x14ac:dyDescent="0.25">
      <c r="A2365" t="s">
        <v>1049</v>
      </c>
      <c r="B2365" t="s">
        <v>3205</v>
      </c>
      <c r="C2365" t="s">
        <v>3222</v>
      </c>
      <c r="D2365" t="s">
        <v>3944</v>
      </c>
      <c r="E2365" s="1">
        <v>20.722999999999999</v>
      </c>
      <c r="F2365" s="1">
        <v>73.259</v>
      </c>
      <c r="G2365">
        <v>3</v>
      </c>
      <c r="H2365">
        <v>1</v>
      </c>
      <c r="I2365" t="s">
        <v>2825</v>
      </c>
      <c r="J2365" t="s">
        <v>1708</v>
      </c>
      <c r="K2365" s="39">
        <v>2.2972899999999998</v>
      </c>
      <c r="L2365" s="1">
        <v>28.045477000000002</v>
      </c>
      <c r="M2365" s="1" t="s">
        <v>602</v>
      </c>
      <c r="N2365" s="1">
        <v>20.722999999999999</v>
      </c>
      <c r="O2365" s="1">
        <f>ABS(Table4[[#This Row],[EndMP]]-Table4[[#This Row],[StartMP]])</f>
        <v>52.536000000000001</v>
      </c>
      <c r="P2365" s="1" t="str">
        <f>IF( AND( Table4[[#This Row],[Route]]=ClosureLocation!$B$3, ClosureLocation!$B$6 &gt;= Table4[[#This Row],[StartMP]], ClosureLocation!$B$6 &lt;= Table4[[#This Row],[EndMP]]), "Yes", "")</f>
        <v/>
      </c>
      <c r="Q2365" s="1" t="str">
        <f>IF( AND( Table4[[#This Row],[Route]]=ClosureLocation!$B$3, ClosureLocation!$B$6 &lt;= Table4[[#This Row],[StartMP]], ClosureLocation!$B$6 &gt;= Table4[[#This Row],[EndMP]]), "Yes", "")</f>
        <v/>
      </c>
      <c r="R2365" s="1" t="str">
        <f>IF( OR( Table4[[#This Row],[PrimaryMatch]]="Yes", Table4[[#This Row],[SecondaryMatch]]="Yes"), "Yes", "")</f>
        <v/>
      </c>
    </row>
    <row r="2366" spans="1:18" hidden="1" x14ac:dyDescent="0.25">
      <c r="A2366" t="s">
        <v>81</v>
      </c>
      <c r="B2366" t="s">
        <v>3209</v>
      </c>
      <c r="C2366" t="s">
        <v>3226</v>
      </c>
      <c r="D2366" t="s">
        <v>3260</v>
      </c>
      <c r="E2366" s="1">
        <v>292.56700000000001</v>
      </c>
      <c r="F2366" s="1">
        <v>292.38299999999998</v>
      </c>
      <c r="G2366">
        <v>2</v>
      </c>
      <c r="H2366">
        <v>5</v>
      </c>
      <c r="I2366" t="s">
        <v>2086</v>
      </c>
      <c r="J2366" t="s">
        <v>1696</v>
      </c>
      <c r="K2366" s="39">
        <v>2.2941859999999998</v>
      </c>
      <c r="L2366" s="1">
        <v>3.9013650000000002</v>
      </c>
      <c r="M2366" s="1" t="s">
        <v>3262</v>
      </c>
      <c r="N2366" s="1">
        <v>707.43299999999999</v>
      </c>
      <c r="O2366" s="1">
        <f>ABS(Table4[[#This Row],[EndMP]]-Table4[[#This Row],[StartMP]])</f>
        <v>0.18400000000002592</v>
      </c>
      <c r="P2366" s="1" t="str">
        <f>IF( AND( Table4[[#This Row],[Route]]=ClosureLocation!$B$3, ClosureLocation!$B$6 &gt;= Table4[[#This Row],[StartMP]], ClosureLocation!$B$6 &lt;= Table4[[#This Row],[EndMP]]), "Yes", "")</f>
        <v/>
      </c>
      <c r="Q2366" s="1" t="str">
        <f>IF( AND( Table4[[#This Row],[Route]]=ClosureLocation!$B$3, ClosureLocation!$B$6 &lt;= Table4[[#This Row],[StartMP]], ClosureLocation!$B$6 &gt;= Table4[[#This Row],[EndMP]]), "Yes", "")</f>
        <v/>
      </c>
      <c r="R2366" s="1" t="str">
        <f>IF( OR( Table4[[#This Row],[PrimaryMatch]]="Yes", Table4[[#This Row],[SecondaryMatch]]="Yes"), "Yes", "")</f>
        <v/>
      </c>
    </row>
    <row r="2367" spans="1:18" hidden="1" x14ac:dyDescent="0.25">
      <c r="A2367" t="s">
        <v>917</v>
      </c>
      <c r="B2367" t="s">
        <v>3205</v>
      </c>
      <c r="C2367" t="s">
        <v>3222</v>
      </c>
      <c r="D2367" t="s">
        <v>3837</v>
      </c>
      <c r="E2367" s="1">
        <v>2</v>
      </c>
      <c r="F2367" s="1">
        <v>2.9510000000000001</v>
      </c>
      <c r="G2367">
        <v>2</v>
      </c>
      <c r="H2367">
        <v>2</v>
      </c>
      <c r="I2367" t="s">
        <v>2705</v>
      </c>
      <c r="J2367" t="s">
        <v>1694</v>
      </c>
      <c r="K2367" s="39">
        <v>2.293104</v>
      </c>
      <c r="L2367" s="1">
        <v>0.97204800000000002</v>
      </c>
      <c r="M2367" s="1" t="s">
        <v>4953</v>
      </c>
      <c r="N2367" s="1">
        <v>2</v>
      </c>
      <c r="O2367" s="1">
        <f>ABS(Table4[[#This Row],[EndMP]]-Table4[[#This Row],[StartMP]])</f>
        <v>0.95100000000000007</v>
      </c>
      <c r="P2367" s="1" t="str">
        <f>IF( AND( Table4[[#This Row],[Route]]=ClosureLocation!$B$3, ClosureLocation!$B$6 &gt;= Table4[[#This Row],[StartMP]], ClosureLocation!$B$6 &lt;= Table4[[#This Row],[EndMP]]), "Yes", "")</f>
        <v/>
      </c>
      <c r="Q2367" s="1" t="str">
        <f>IF( AND( Table4[[#This Row],[Route]]=ClosureLocation!$B$3, ClosureLocation!$B$6 &lt;= Table4[[#This Row],[StartMP]], ClosureLocation!$B$6 &gt;= Table4[[#This Row],[EndMP]]), "Yes", "")</f>
        <v/>
      </c>
      <c r="R2367" s="1" t="str">
        <f>IF( OR( Table4[[#This Row],[PrimaryMatch]]="Yes", Table4[[#This Row],[SecondaryMatch]]="Yes"), "Yes", "")</f>
        <v/>
      </c>
    </row>
    <row r="2368" spans="1:18" hidden="1" x14ac:dyDescent="0.25">
      <c r="A2368" t="s">
        <v>1471</v>
      </c>
      <c r="B2368" t="s">
        <v>3205</v>
      </c>
      <c r="C2368" t="s">
        <v>3206</v>
      </c>
      <c r="D2368" t="s">
        <v>4236</v>
      </c>
      <c r="E2368" s="1">
        <v>34.027999999999999</v>
      </c>
      <c r="F2368" s="1">
        <v>34.101999999999997</v>
      </c>
      <c r="G2368">
        <v>6</v>
      </c>
      <c r="H2368">
        <v>6</v>
      </c>
      <c r="I2368" t="s">
        <v>3053</v>
      </c>
      <c r="J2368" t="s">
        <v>1695</v>
      </c>
      <c r="K2368" s="39">
        <v>2.275712</v>
      </c>
      <c r="L2368" s="1">
        <v>1.3281879999999999</v>
      </c>
      <c r="M2368" s="1" t="s">
        <v>5019</v>
      </c>
      <c r="N2368" s="1">
        <v>34.027999999999999</v>
      </c>
      <c r="O2368" s="1">
        <f>ABS(Table4[[#This Row],[EndMP]]-Table4[[#This Row],[StartMP]])</f>
        <v>7.3999999999998067E-2</v>
      </c>
      <c r="P2368" s="1" t="str">
        <f>IF( AND( Table4[[#This Row],[Route]]=ClosureLocation!$B$3, ClosureLocation!$B$6 &gt;= Table4[[#This Row],[StartMP]], ClosureLocation!$B$6 &lt;= Table4[[#This Row],[EndMP]]), "Yes", "")</f>
        <v/>
      </c>
      <c r="Q2368" s="1" t="str">
        <f>IF( AND( Table4[[#This Row],[Route]]=ClosureLocation!$B$3, ClosureLocation!$B$6 &lt;= Table4[[#This Row],[StartMP]], ClosureLocation!$B$6 &gt;= Table4[[#This Row],[EndMP]]), "Yes", "")</f>
        <v/>
      </c>
      <c r="R2368" s="1" t="str">
        <f>IF( OR( Table4[[#This Row],[PrimaryMatch]]="Yes", Table4[[#This Row],[SecondaryMatch]]="Yes"), "Yes", "")</f>
        <v/>
      </c>
    </row>
    <row r="2369" spans="1:18" hidden="1" x14ac:dyDescent="0.25">
      <c r="A2369" t="s">
        <v>776</v>
      </c>
      <c r="B2369" t="s">
        <v>3205</v>
      </c>
      <c r="C2369" t="s">
        <v>3222</v>
      </c>
      <c r="D2369" t="s">
        <v>3748</v>
      </c>
      <c r="E2369" s="1">
        <v>253.78200000000001</v>
      </c>
      <c r="F2369" s="1">
        <v>255.79499999999999</v>
      </c>
      <c r="G2369">
        <v>28</v>
      </c>
      <c r="H2369">
        <v>28</v>
      </c>
      <c r="I2369" t="s">
        <v>2573</v>
      </c>
      <c r="J2369" t="s">
        <v>1694</v>
      </c>
      <c r="K2369" s="39">
        <v>2.2706559999999998</v>
      </c>
      <c r="L2369" s="1">
        <v>0.421045</v>
      </c>
      <c r="M2369" s="1" t="s">
        <v>4475</v>
      </c>
      <c r="N2369" s="1">
        <v>253.78200000000001</v>
      </c>
      <c r="O2369" s="1">
        <f>ABS(Table4[[#This Row],[EndMP]]-Table4[[#This Row],[StartMP]])</f>
        <v>2.0129999999999768</v>
      </c>
      <c r="P2369" s="1" t="str">
        <f>IF( AND( Table4[[#This Row],[Route]]=ClosureLocation!$B$3, ClosureLocation!$B$6 &gt;= Table4[[#This Row],[StartMP]], ClosureLocation!$B$6 &lt;= Table4[[#This Row],[EndMP]]), "Yes", "")</f>
        <v/>
      </c>
      <c r="Q2369" s="1" t="str">
        <f>IF( AND( Table4[[#This Row],[Route]]=ClosureLocation!$B$3, ClosureLocation!$B$6 &lt;= Table4[[#This Row],[StartMP]], ClosureLocation!$B$6 &gt;= Table4[[#This Row],[EndMP]]), "Yes", "")</f>
        <v/>
      </c>
      <c r="R2369" s="1" t="str">
        <f>IF( OR( Table4[[#This Row],[PrimaryMatch]]="Yes", Table4[[#This Row],[SecondaryMatch]]="Yes"), "Yes", "")</f>
        <v/>
      </c>
    </row>
    <row r="2370" spans="1:18" hidden="1" x14ac:dyDescent="0.25">
      <c r="A2370" t="s">
        <v>1049</v>
      </c>
      <c r="B2370" t="s">
        <v>3209</v>
      </c>
      <c r="C2370" t="s">
        <v>3226</v>
      </c>
      <c r="D2370" t="s">
        <v>3946</v>
      </c>
      <c r="E2370" s="1">
        <v>73.259</v>
      </c>
      <c r="F2370" s="1">
        <v>20.722999999999999</v>
      </c>
      <c r="G2370">
        <v>1</v>
      </c>
      <c r="H2370">
        <v>2</v>
      </c>
      <c r="I2370" t="s">
        <v>2826</v>
      </c>
      <c r="J2370" t="s">
        <v>1708</v>
      </c>
      <c r="K2370" s="39">
        <v>2.2683520000000001</v>
      </c>
      <c r="L2370" s="1">
        <v>28.045477000000002</v>
      </c>
      <c r="M2370" s="1" t="s">
        <v>602</v>
      </c>
      <c r="N2370" s="1">
        <v>926.74099999999999</v>
      </c>
      <c r="O2370" s="1">
        <f>ABS(Table4[[#This Row],[EndMP]]-Table4[[#This Row],[StartMP]])</f>
        <v>52.536000000000001</v>
      </c>
      <c r="P2370" s="1" t="str">
        <f>IF( AND( Table4[[#This Row],[Route]]=ClosureLocation!$B$3, ClosureLocation!$B$6 &gt;= Table4[[#This Row],[StartMP]], ClosureLocation!$B$6 &lt;= Table4[[#This Row],[EndMP]]), "Yes", "")</f>
        <v/>
      </c>
      <c r="Q2370" s="1" t="str">
        <f>IF( AND( Table4[[#This Row],[Route]]=ClosureLocation!$B$3, ClosureLocation!$B$6 &lt;= Table4[[#This Row],[StartMP]], ClosureLocation!$B$6 &gt;= Table4[[#This Row],[EndMP]]), "Yes", "")</f>
        <v/>
      </c>
      <c r="R2370" s="1" t="str">
        <f>IF( OR( Table4[[#This Row],[PrimaryMatch]]="Yes", Table4[[#This Row],[SecondaryMatch]]="Yes"), "Yes", "")</f>
        <v/>
      </c>
    </row>
    <row r="2371" spans="1:18" hidden="1" x14ac:dyDescent="0.25">
      <c r="A2371" t="s">
        <v>776</v>
      </c>
      <c r="B2371" t="s">
        <v>3209</v>
      </c>
      <c r="C2371" t="s">
        <v>3226</v>
      </c>
      <c r="D2371" t="s">
        <v>3749</v>
      </c>
      <c r="E2371" s="1">
        <v>295</v>
      </c>
      <c r="F2371" s="1">
        <v>292.392</v>
      </c>
      <c r="G2371">
        <v>17</v>
      </c>
      <c r="H2371">
        <v>70</v>
      </c>
      <c r="I2371" t="s">
        <v>2616</v>
      </c>
      <c r="J2371" t="s">
        <v>1694</v>
      </c>
      <c r="K2371" s="39">
        <v>2.2656749999999999</v>
      </c>
      <c r="L2371" s="1">
        <v>0.32529400000000003</v>
      </c>
      <c r="M2371" s="1" t="s">
        <v>4511</v>
      </c>
      <c r="N2371" s="1">
        <v>705</v>
      </c>
      <c r="O2371" s="1">
        <f>ABS(Table4[[#This Row],[EndMP]]-Table4[[#This Row],[StartMP]])</f>
        <v>2.6080000000000041</v>
      </c>
      <c r="P2371" s="1" t="str">
        <f>IF( AND( Table4[[#This Row],[Route]]=ClosureLocation!$B$3, ClosureLocation!$B$6 &gt;= Table4[[#This Row],[StartMP]], ClosureLocation!$B$6 &lt;= Table4[[#This Row],[EndMP]]), "Yes", "")</f>
        <v/>
      </c>
      <c r="Q2371" s="1" t="str">
        <f>IF( AND( Table4[[#This Row],[Route]]=ClosureLocation!$B$3, ClosureLocation!$B$6 &lt;= Table4[[#This Row],[StartMP]], ClosureLocation!$B$6 &gt;= Table4[[#This Row],[EndMP]]), "Yes", "")</f>
        <v/>
      </c>
      <c r="R2371" s="1" t="str">
        <f>IF( OR( Table4[[#This Row],[PrimaryMatch]]="Yes", Table4[[#This Row],[SecondaryMatch]]="Yes"), "Yes", "")</f>
        <v/>
      </c>
    </row>
    <row r="2372" spans="1:18" hidden="1" x14ac:dyDescent="0.25">
      <c r="A2372" t="s">
        <v>732</v>
      </c>
      <c r="B2372" t="s">
        <v>3205</v>
      </c>
      <c r="C2372" t="s">
        <v>3206</v>
      </c>
      <c r="D2372" t="s">
        <v>3710</v>
      </c>
      <c r="E2372" s="1">
        <v>29.006</v>
      </c>
      <c r="F2372" s="1">
        <v>53.246000000000002</v>
      </c>
      <c r="G2372">
        <v>2</v>
      </c>
      <c r="H2372">
        <v>1</v>
      </c>
      <c r="I2372" t="s">
        <v>2521</v>
      </c>
      <c r="J2372" t="s">
        <v>1724</v>
      </c>
      <c r="K2372" s="39">
        <v>2.262715</v>
      </c>
      <c r="L2372" s="1">
        <v>22.494530000000001</v>
      </c>
      <c r="M2372" s="1" t="s">
        <v>3712</v>
      </c>
      <c r="N2372" s="1">
        <v>29.006</v>
      </c>
      <c r="O2372" s="1">
        <f>ABS(Table4[[#This Row],[EndMP]]-Table4[[#This Row],[StartMP]])</f>
        <v>24.240000000000002</v>
      </c>
      <c r="P2372" s="1" t="str">
        <f>IF( AND( Table4[[#This Row],[Route]]=ClosureLocation!$B$3, ClosureLocation!$B$6 &gt;= Table4[[#This Row],[StartMP]], ClosureLocation!$B$6 &lt;= Table4[[#This Row],[EndMP]]), "Yes", "")</f>
        <v/>
      </c>
      <c r="Q2372" s="1" t="str">
        <f>IF( AND( Table4[[#This Row],[Route]]=ClosureLocation!$B$3, ClosureLocation!$B$6 &lt;= Table4[[#This Row],[StartMP]], ClosureLocation!$B$6 &gt;= Table4[[#This Row],[EndMP]]), "Yes", "")</f>
        <v/>
      </c>
      <c r="R2372" s="1" t="str">
        <f>IF( OR( Table4[[#This Row],[PrimaryMatch]]="Yes", Table4[[#This Row],[SecondaryMatch]]="Yes"), "Yes", "")</f>
        <v/>
      </c>
    </row>
    <row r="2373" spans="1:18" hidden="1" x14ac:dyDescent="0.25">
      <c r="A2373" t="s">
        <v>1025</v>
      </c>
      <c r="B2373" t="s">
        <v>3205</v>
      </c>
      <c r="C2373" t="s">
        <v>3222</v>
      </c>
      <c r="D2373" t="s">
        <v>3918</v>
      </c>
      <c r="E2373" s="1">
        <v>0.16800000000000001</v>
      </c>
      <c r="F2373" s="1">
        <v>1.054</v>
      </c>
      <c r="G2373">
        <v>1</v>
      </c>
      <c r="H2373">
        <v>1</v>
      </c>
      <c r="I2373" t="s">
        <v>2807</v>
      </c>
      <c r="J2373" t="s">
        <v>1707</v>
      </c>
      <c r="K2373" s="39">
        <v>2.24648</v>
      </c>
      <c r="L2373" s="1">
        <v>1.333561</v>
      </c>
      <c r="M2373" s="1" t="s">
        <v>3919</v>
      </c>
      <c r="N2373" s="1">
        <v>0.16800000000000001</v>
      </c>
      <c r="O2373" s="1">
        <f>ABS(Table4[[#This Row],[EndMP]]-Table4[[#This Row],[StartMP]])</f>
        <v>0.88600000000000001</v>
      </c>
      <c r="P2373" s="1" t="str">
        <f>IF( AND( Table4[[#This Row],[Route]]=ClosureLocation!$B$3, ClosureLocation!$B$6 &gt;= Table4[[#This Row],[StartMP]], ClosureLocation!$B$6 &lt;= Table4[[#This Row],[EndMP]]), "Yes", "")</f>
        <v/>
      </c>
      <c r="Q2373" s="1" t="str">
        <f>IF( AND( Table4[[#This Row],[Route]]=ClosureLocation!$B$3, ClosureLocation!$B$6 &lt;= Table4[[#This Row],[StartMP]], ClosureLocation!$B$6 &gt;= Table4[[#This Row],[EndMP]]), "Yes", "")</f>
        <v/>
      </c>
      <c r="R2373" s="1" t="str">
        <f>IF( OR( Table4[[#This Row],[PrimaryMatch]]="Yes", Table4[[#This Row],[SecondaryMatch]]="Yes"), "Yes", "")</f>
        <v/>
      </c>
    </row>
    <row r="2374" spans="1:18" hidden="1" x14ac:dyDescent="0.25">
      <c r="A2374" t="s">
        <v>1058</v>
      </c>
      <c r="B2374" t="s">
        <v>3205</v>
      </c>
      <c r="C2374" t="s">
        <v>3206</v>
      </c>
      <c r="D2374" t="s">
        <v>3948</v>
      </c>
      <c r="E2374" s="1">
        <v>17.422000000000001</v>
      </c>
      <c r="F2374" s="1">
        <v>18.849</v>
      </c>
      <c r="G2374">
        <v>3</v>
      </c>
      <c r="H2374">
        <v>3</v>
      </c>
      <c r="I2374" t="s">
        <v>2831</v>
      </c>
      <c r="J2374" t="s">
        <v>1693</v>
      </c>
      <c r="K2374" s="39">
        <v>2.2391429999999999</v>
      </c>
      <c r="L2374" s="1">
        <v>1.258748</v>
      </c>
      <c r="M2374" s="1" t="s">
        <v>3951</v>
      </c>
      <c r="N2374" s="1">
        <v>17.422000000000001</v>
      </c>
      <c r="O2374" s="1">
        <f>ABS(Table4[[#This Row],[EndMP]]-Table4[[#This Row],[StartMP]])</f>
        <v>1.4269999999999996</v>
      </c>
      <c r="P2374" s="1" t="str">
        <f>IF( AND( Table4[[#This Row],[Route]]=ClosureLocation!$B$3, ClosureLocation!$B$6 &gt;= Table4[[#This Row],[StartMP]], ClosureLocation!$B$6 &lt;= Table4[[#This Row],[EndMP]]), "Yes", "")</f>
        <v/>
      </c>
      <c r="Q2374" s="1" t="str">
        <f>IF( AND( Table4[[#This Row],[Route]]=ClosureLocation!$B$3, ClosureLocation!$B$6 &lt;= Table4[[#This Row],[StartMP]], ClosureLocation!$B$6 &gt;= Table4[[#This Row],[EndMP]]), "Yes", "")</f>
        <v/>
      </c>
      <c r="R2374" s="1" t="str">
        <f>IF( OR( Table4[[#This Row],[PrimaryMatch]]="Yes", Table4[[#This Row],[SecondaryMatch]]="Yes"), "Yes", "")</f>
        <v/>
      </c>
    </row>
    <row r="2375" spans="1:18" hidden="1" x14ac:dyDescent="0.25">
      <c r="A2375" t="s">
        <v>917</v>
      </c>
      <c r="B2375" t="s">
        <v>3209</v>
      </c>
      <c r="C2375" t="s">
        <v>3226</v>
      </c>
      <c r="D2375" t="s">
        <v>3840</v>
      </c>
      <c r="E2375" s="1">
        <v>2.9020000000000001</v>
      </c>
      <c r="F2375" s="1">
        <v>0.55600000000000005</v>
      </c>
      <c r="G2375">
        <v>21</v>
      </c>
      <c r="H2375">
        <v>43</v>
      </c>
      <c r="I2375" t="s">
        <v>2746</v>
      </c>
      <c r="J2375" t="s">
        <v>1694</v>
      </c>
      <c r="K2375" s="39">
        <v>2.234823</v>
      </c>
      <c r="L2375" s="1">
        <v>1.0688169999999999</v>
      </c>
      <c r="M2375" s="1" t="s">
        <v>4990</v>
      </c>
      <c r="N2375" s="1">
        <v>997.09799999999996</v>
      </c>
      <c r="O2375" s="1">
        <f>ABS(Table4[[#This Row],[EndMP]]-Table4[[#This Row],[StartMP]])</f>
        <v>2.3460000000000001</v>
      </c>
      <c r="P2375" s="1" t="str">
        <f>IF( AND( Table4[[#This Row],[Route]]=ClosureLocation!$B$3, ClosureLocation!$B$6 &gt;= Table4[[#This Row],[StartMP]], ClosureLocation!$B$6 &lt;= Table4[[#This Row],[EndMP]]), "Yes", "")</f>
        <v/>
      </c>
      <c r="Q2375" s="1" t="str">
        <f>IF( AND( Table4[[#This Row],[Route]]=ClosureLocation!$B$3, ClosureLocation!$B$6 &lt;= Table4[[#This Row],[StartMP]], ClosureLocation!$B$6 &gt;= Table4[[#This Row],[EndMP]]), "Yes", "")</f>
        <v/>
      </c>
      <c r="R2375" s="1" t="str">
        <f>IF( OR( Table4[[#This Row],[PrimaryMatch]]="Yes", Table4[[#This Row],[SecondaryMatch]]="Yes"), "Yes", "")</f>
        <v/>
      </c>
    </row>
    <row r="2376" spans="1:18" hidden="1" x14ac:dyDescent="0.25">
      <c r="A2376" t="s">
        <v>1305</v>
      </c>
      <c r="B2376" t="s">
        <v>3205</v>
      </c>
      <c r="C2376" t="s">
        <v>3206</v>
      </c>
      <c r="D2376" t="s">
        <v>4139</v>
      </c>
      <c r="E2376" s="1">
        <v>0.27700000000000002</v>
      </c>
      <c r="F2376" s="1">
        <v>2.036</v>
      </c>
      <c r="G2376">
        <v>1</v>
      </c>
      <c r="H2376">
        <v>1</v>
      </c>
      <c r="I2376" t="s">
        <v>2969</v>
      </c>
      <c r="J2376" t="s">
        <v>1692</v>
      </c>
      <c r="K2376" s="39">
        <v>2.2254719999999999</v>
      </c>
      <c r="L2376" s="1">
        <v>1.547885</v>
      </c>
      <c r="M2376" s="1" t="s">
        <v>4140</v>
      </c>
      <c r="N2376" s="1">
        <v>0.27700000000000002</v>
      </c>
      <c r="O2376" s="1">
        <f>ABS(Table4[[#This Row],[EndMP]]-Table4[[#This Row],[StartMP]])</f>
        <v>1.7589999999999999</v>
      </c>
      <c r="P2376" s="1" t="str">
        <f>IF( AND( Table4[[#This Row],[Route]]=ClosureLocation!$B$3, ClosureLocation!$B$6 &gt;= Table4[[#This Row],[StartMP]], ClosureLocation!$B$6 &lt;= Table4[[#This Row],[EndMP]]), "Yes", "")</f>
        <v/>
      </c>
      <c r="Q2376" s="1" t="str">
        <f>IF( AND( Table4[[#This Row],[Route]]=ClosureLocation!$B$3, ClosureLocation!$B$6 &lt;= Table4[[#This Row],[StartMP]], ClosureLocation!$B$6 &gt;= Table4[[#This Row],[EndMP]]), "Yes", "")</f>
        <v/>
      </c>
      <c r="R2376" s="1" t="str">
        <f>IF( OR( Table4[[#This Row],[PrimaryMatch]]="Yes", Table4[[#This Row],[SecondaryMatch]]="Yes"), "Yes", "")</f>
        <v/>
      </c>
    </row>
    <row r="2377" spans="1:18" hidden="1" x14ac:dyDescent="0.25">
      <c r="A2377" t="s">
        <v>665</v>
      </c>
      <c r="B2377" t="s">
        <v>3209</v>
      </c>
      <c r="C2377" t="s">
        <v>3226</v>
      </c>
      <c r="D2377" t="s">
        <v>3645</v>
      </c>
      <c r="E2377" s="1">
        <v>9.4489999999999998</v>
      </c>
      <c r="F2377" s="1">
        <v>0.871</v>
      </c>
      <c r="G2377">
        <v>2</v>
      </c>
      <c r="H2377">
        <v>2</v>
      </c>
      <c r="I2377" t="s">
        <v>2477</v>
      </c>
      <c r="J2377" t="s">
        <v>1700</v>
      </c>
      <c r="K2377" s="39">
        <v>2.2212360000000002</v>
      </c>
      <c r="L2377" s="1">
        <v>4.3182</v>
      </c>
      <c r="M2377" s="1" t="s">
        <v>3647</v>
      </c>
      <c r="N2377" s="1">
        <v>990.55100000000004</v>
      </c>
      <c r="O2377" s="1">
        <f>ABS(Table4[[#This Row],[EndMP]]-Table4[[#This Row],[StartMP]])</f>
        <v>8.5779999999999994</v>
      </c>
      <c r="P2377" s="1" t="str">
        <f>IF( AND( Table4[[#This Row],[Route]]=ClosureLocation!$B$3, ClosureLocation!$B$6 &gt;= Table4[[#This Row],[StartMP]], ClosureLocation!$B$6 &lt;= Table4[[#This Row],[EndMP]]), "Yes", "")</f>
        <v/>
      </c>
      <c r="Q2377" s="1" t="str">
        <f>IF( AND( Table4[[#This Row],[Route]]=ClosureLocation!$B$3, ClosureLocation!$B$6 &lt;= Table4[[#This Row],[StartMP]], ClosureLocation!$B$6 &gt;= Table4[[#This Row],[EndMP]]), "Yes", "")</f>
        <v/>
      </c>
      <c r="R2377" s="1" t="str">
        <f>IF( OR( Table4[[#This Row],[PrimaryMatch]]="Yes", Table4[[#This Row],[SecondaryMatch]]="Yes"), "Yes", "")</f>
        <v/>
      </c>
    </row>
    <row r="2378" spans="1:18" hidden="1" x14ac:dyDescent="0.25">
      <c r="A2378" t="s">
        <v>990</v>
      </c>
      <c r="B2378" t="s">
        <v>3209</v>
      </c>
      <c r="C2378" t="s">
        <v>3210</v>
      </c>
      <c r="D2378" t="s">
        <v>3889</v>
      </c>
      <c r="E2378" s="1">
        <v>252</v>
      </c>
      <c r="F2378" s="1">
        <v>250.64599999999999</v>
      </c>
      <c r="G2378">
        <v>2</v>
      </c>
      <c r="H2378">
        <v>7</v>
      </c>
      <c r="I2378" t="s">
        <v>2785</v>
      </c>
      <c r="J2378" t="s">
        <v>1693</v>
      </c>
      <c r="K2378" s="39">
        <v>2.2158660000000001</v>
      </c>
      <c r="L2378" s="1">
        <v>9.4325000000000006E-2</v>
      </c>
      <c r="M2378" s="1" t="s">
        <v>3891</v>
      </c>
      <c r="N2378" s="1">
        <v>748</v>
      </c>
      <c r="O2378" s="1">
        <f>ABS(Table4[[#This Row],[EndMP]]-Table4[[#This Row],[StartMP]])</f>
        <v>1.3540000000000134</v>
      </c>
      <c r="P2378" s="1" t="str">
        <f>IF( AND( Table4[[#This Row],[Route]]=ClosureLocation!$B$3, ClosureLocation!$B$6 &gt;= Table4[[#This Row],[StartMP]], ClosureLocation!$B$6 &lt;= Table4[[#This Row],[EndMP]]), "Yes", "")</f>
        <v/>
      </c>
      <c r="Q2378" s="1" t="str">
        <f>IF( AND( Table4[[#This Row],[Route]]=ClosureLocation!$B$3, ClosureLocation!$B$6 &lt;= Table4[[#This Row],[StartMP]], ClosureLocation!$B$6 &gt;= Table4[[#This Row],[EndMP]]), "Yes", "")</f>
        <v/>
      </c>
      <c r="R2378" s="1" t="str">
        <f>IF( OR( Table4[[#This Row],[PrimaryMatch]]="Yes", Table4[[#This Row],[SecondaryMatch]]="Yes"), "Yes", "")</f>
        <v/>
      </c>
    </row>
    <row r="2379" spans="1:18" hidden="1" x14ac:dyDescent="0.25">
      <c r="A2379" t="s">
        <v>1353</v>
      </c>
      <c r="B2379" t="s">
        <v>3205</v>
      </c>
      <c r="C2379" t="s">
        <v>3222</v>
      </c>
      <c r="D2379" t="s">
        <v>4151</v>
      </c>
      <c r="E2379" s="1">
        <v>305.52600000000001</v>
      </c>
      <c r="F2379" s="1">
        <v>306.28699999999998</v>
      </c>
      <c r="G2379">
        <v>1</v>
      </c>
      <c r="H2379">
        <v>1</v>
      </c>
      <c r="I2379" t="s">
        <v>2990</v>
      </c>
      <c r="J2379" t="s">
        <v>1692</v>
      </c>
      <c r="K2379" s="39">
        <v>2.2115450000000001</v>
      </c>
      <c r="L2379" s="1">
        <v>1.714715</v>
      </c>
      <c r="M2379" s="1" t="s">
        <v>4152</v>
      </c>
      <c r="N2379" s="1">
        <v>305.52600000000001</v>
      </c>
      <c r="O2379" s="1">
        <f>ABS(Table4[[#This Row],[EndMP]]-Table4[[#This Row],[StartMP]])</f>
        <v>0.76099999999996726</v>
      </c>
      <c r="P2379" s="1" t="str">
        <f>IF( AND( Table4[[#This Row],[Route]]=ClosureLocation!$B$3, ClosureLocation!$B$6 &gt;= Table4[[#This Row],[StartMP]], ClosureLocation!$B$6 &lt;= Table4[[#This Row],[EndMP]]), "Yes", "")</f>
        <v/>
      </c>
      <c r="Q2379" s="1" t="str">
        <f>IF( AND( Table4[[#This Row],[Route]]=ClosureLocation!$B$3, ClosureLocation!$B$6 &lt;= Table4[[#This Row],[StartMP]], ClosureLocation!$B$6 &gt;= Table4[[#This Row],[EndMP]]), "Yes", "")</f>
        <v/>
      </c>
      <c r="R2379" s="1" t="str">
        <f>IF( OR( Table4[[#This Row],[PrimaryMatch]]="Yes", Table4[[#This Row],[SecondaryMatch]]="Yes"), "Yes", "")</f>
        <v/>
      </c>
    </row>
    <row r="2380" spans="1:18" hidden="1" x14ac:dyDescent="0.25">
      <c r="A2380" t="s">
        <v>776</v>
      </c>
      <c r="B2380" t="s">
        <v>3205</v>
      </c>
      <c r="C2380" t="s">
        <v>3222</v>
      </c>
      <c r="D2380" t="s">
        <v>3748</v>
      </c>
      <c r="E2380" s="1">
        <v>269.61</v>
      </c>
      <c r="F2380" s="1">
        <v>279.04300000000001</v>
      </c>
      <c r="G2380">
        <v>34</v>
      </c>
      <c r="H2380">
        <v>34</v>
      </c>
      <c r="I2380" t="s">
        <v>2579</v>
      </c>
      <c r="J2380" t="s">
        <v>1694</v>
      </c>
      <c r="K2380" s="39">
        <v>2.1650140000000002</v>
      </c>
      <c r="L2380" s="1">
        <v>1.774748</v>
      </c>
      <c r="M2380" s="1" t="s">
        <v>3261</v>
      </c>
      <c r="N2380" s="1">
        <v>269.61</v>
      </c>
      <c r="O2380" s="1">
        <f>ABS(Table4[[#This Row],[EndMP]]-Table4[[#This Row],[StartMP]])</f>
        <v>9.4329999999999927</v>
      </c>
      <c r="P2380" s="1" t="str">
        <f>IF( AND( Table4[[#This Row],[Route]]=ClosureLocation!$B$3, ClosureLocation!$B$6 &gt;= Table4[[#This Row],[StartMP]], ClosureLocation!$B$6 &lt;= Table4[[#This Row],[EndMP]]), "Yes", "")</f>
        <v/>
      </c>
      <c r="Q2380" s="1" t="str">
        <f>IF( AND( Table4[[#This Row],[Route]]=ClosureLocation!$B$3, ClosureLocation!$B$6 &lt;= Table4[[#This Row],[StartMP]], ClosureLocation!$B$6 &gt;= Table4[[#This Row],[EndMP]]), "Yes", "")</f>
        <v/>
      </c>
      <c r="R2380" s="1" t="str">
        <f>IF( OR( Table4[[#This Row],[PrimaryMatch]]="Yes", Table4[[#This Row],[SecondaryMatch]]="Yes"), "Yes", "")</f>
        <v/>
      </c>
    </row>
    <row r="2381" spans="1:18" hidden="1" x14ac:dyDescent="0.25">
      <c r="A2381" t="s">
        <v>1353</v>
      </c>
      <c r="B2381" t="s">
        <v>3209</v>
      </c>
      <c r="C2381" t="s">
        <v>3226</v>
      </c>
      <c r="D2381" t="s">
        <v>4153</v>
      </c>
      <c r="E2381" s="1">
        <v>306.28699999999998</v>
      </c>
      <c r="F2381" s="1">
        <v>305.52600000000001</v>
      </c>
      <c r="G2381">
        <v>1</v>
      </c>
      <c r="H2381">
        <v>2</v>
      </c>
      <c r="I2381" t="s">
        <v>2991</v>
      </c>
      <c r="J2381" t="s">
        <v>1692</v>
      </c>
      <c r="K2381" s="39">
        <v>2.163246</v>
      </c>
      <c r="L2381" s="1">
        <v>1.6718360000000001</v>
      </c>
      <c r="M2381" s="1" t="s">
        <v>4154</v>
      </c>
      <c r="N2381" s="1">
        <v>693.71299999999997</v>
      </c>
      <c r="O2381" s="1">
        <f>ABS(Table4[[#This Row],[EndMP]]-Table4[[#This Row],[StartMP]])</f>
        <v>0.76099999999996726</v>
      </c>
      <c r="P2381" s="1" t="str">
        <f>IF( AND( Table4[[#This Row],[Route]]=ClosureLocation!$B$3, ClosureLocation!$B$6 &gt;= Table4[[#This Row],[StartMP]], ClosureLocation!$B$6 &lt;= Table4[[#This Row],[EndMP]]), "Yes", "")</f>
        <v/>
      </c>
      <c r="Q2381" s="1" t="str">
        <f>IF( AND( Table4[[#This Row],[Route]]=ClosureLocation!$B$3, ClosureLocation!$B$6 &lt;= Table4[[#This Row],[StartMP]], ClosureLocation!$B$6 &gt;= Table4[[#This Row],[EndMP]]), "Yes", "")</f>
        <v/>
      </c>
      <c r="R2381" s="1" t="str">
        <f>IF( OR( Table4[[#This Row],[PrimaryMatch]]="Yes", Table4[[#This Row],[SecondaryMatch]]="Yes"), "Yes", "")</f>
        <v/>
      </c>
    </row>
    <row r="2382" spans="1:18" hidden="1" x14ac:dyDescent="0.25">
      <c r="A2382" t="s">
        <v>776</v>
      </c>
      <c r="B2382" t="s">
        <v>3205</v>
      </c>
      <c r="C2382" t="s">
        <v>3222</v>
      </c>
      <c r="D2382" t="s">
        <v>3748</v>
      </c>
      <c r="E2382" s="1">
        <v>437</v>
      </c>
      <c r="F2382" s="1">
        <v>437.98500000000001</v>
      </c>
      <c r="G2382">
        <v>52</v>
      </c>
      <c r="H2382">
        <v>52</v>
      </c>
      <c r="I2382" t="s">
        <v>2598</v>
      </c>
      <c r="J2382" t="s">
        <v>1694</v>
      </c>
      <c r="K2382" s="39">
        <v>2.1573820000000001</v>
      </c>
      <c r="L2382" s="1">
        <v>0.38886199999999999</v>
      </c>
      <c r="M2382" s="1" t="s">
        <v>4496</v>
      </c>
      <c r="N2382" s="1">
        <v>437</v>
      </c>
      <c r="O2382" s="1">
        <f>ABS(Table4[[#This Row],[EndMP]]-Table4[[#This Row],[StartMP]])</f>
        <v>0.98500000000001364</v>
      </c>
      <c r="P2382" s="1" t="str">
        <f>IF( AND( Table4[[#This Row],[Route]]=ClosureLocation!$B$3, ClosureLocation!$B$6 &gt;= Table4[[#This Row],[StartMP]], ClosureLocation!$B$6 &lt;= Table4[[#This Row],[EndMP]]), "Yes", "")</f>
        <v/>
      </c>
      <c r="Q2382" s="1" t="str">
        <f>IF( AND( Table4[[#This Row],[Route]]=ClosureLocation!$B$3, ClosureLocation!$B$6 &lt;= Table4[[#This Row],[StartMP]], ClosureLocation!$B$6 &gt;= Table4[[#This Row],[EndMP]]), "Yes", "")</f>
        <v/>
      </c>
      <c r="R2382" s="1" t="str">
        <f>IF( OR( Table4[[#This Row],[PrimaryMatch]]="Yes", Table4[[#This Row],[SecondaryMatch]]="Yes"), "Yes", "")</f>
        <v/>
      </c>
    </row>
    <row r="2383" spans="1:18" hidden="1" x14ac:dyDescent="0.25">
      <c r="A2383" t="s">
        <v>917</v>
      </c>
      <c r="B2383" t="s">
        <v>3205</v>
      </c>
      <c r="C2383" t="s">
        <v>3222</v>
      </c>
      <c r="D2383" t="s">
        <v>3837</v>
      </c>
      <c r="E2383" s="1">
        <v>0.495</v>
      </c>
      <c r="F2383" s="1">
        <v>1.44</v>
      </c>
      <c r="G2383">
        <v>1</v>
      </c>
      <c r="H2383">
        <v>1</v>
      </c>
      <c r="I2383" t="s">
        <v>2704</v>
      </c>
      <c r="J2383" t="s">
        <v>1694</v>
      </c>
      <c r="K2383" s="39">
        <v>2.1557680000000001</v>
      </c>
      <c r="L2383" s="1">
        <v>0.81106400000000001</v>
      </c>
      <c r="M2383" s="1" t="s">
        <v>4952</v>
      </c>
      <c r="N2383" s="1">
        <v>0.495</v>
      </c>
      <c r="O2383" s="1">
        <f>ABS(Table4[[#This Row],[EndMP]]-Table4[[#This Row],[StartMP]])</f>
        <v>0.94499999999999995</v>
      </c>
      <c r="P2383" s="1" t="str">
        <f>IF( AND( Table4[[#This Row],[Route]]=ClosureLocation!$B$3, ClosureLocation!$B$6 &gt;= Table4[[#This Row],[StartMP]], ClosureLocation!$B$6 &lt;= Table4[[#This Row],[EndMP]]), "Yes", "")</f>
        <v/>
      </c>
      <c r="Q2383" s="1" t="str">
        <f>IF( AND( Table4[[#This Row],[Route]]=ClosureLocation!$B$3, ClosureLocation!$B$6 &lt;= Table4[[#This Row],[StartMP]], ClosureLocation!$B$6 &gt;= Table4[[#This Row],[EndMP]]), "Yes", "")</f>
        <v/>
      </c>
      <c r="R2383" s="1" t="str">
        <f>IF( OR( Table4[[#This Row],[PrimaryMatch]]="Yes", Table4[[#This Row],[SecondaryMatch]]="Yes"), "Yes", "")</f>
        <v/>
      </c>
    </row>
    <row r="2384" spans="1:18" hidden="1" x14ac:dyDescent="0.25">
      <c r="A2384" t="s">
        <v>917</v>
      </c>
      <c r="B2384" t="s">
        <v>3205</v>
      </c>
      <c r="C2384" t="s">
        <v>3222</v>
      </c>
      <c r="D2384" t="s">
        <v>3837</v>
      </c>
      <c r="E2384" s="1">
        <v>79.209999999999994</v>
      </c>
      <c r="F2384" s="1">
        <v>79.983000000000004</v>
      </c>
      <c r="G2384">
        <v>14</v>
      </c>
      <c r="H2384">
        <v>14</v>
      </c>
      <c r="I2384" t="s">
        <v>2717</v>
      </c>
      <c r="J2384" t="s">
        <v>1694</v>
      </c>
      <c r="K2384" s="39">
        <v>2.1442869999999998</v>
      </c>
      <c r="L2384" s="1">
        <v>0.580681</v>
      </c>
      <c r="M2384" s="1" t="s">
        <v>4963</v>
      </c>
      <c r="N2384" s="1">
        <v>79.209999999999994</v>
      </c>
      <c r="O2384" s="1">
        <f>ABS(Table4[[#This Row],[EndMP]]-Table4[[#This Row],[StartMP]])</f>
        <v>0.77300000000001035</v>
      </c>
      <c r="P2384" s="1" t="str">
        <f>IF( AND( Table4[[#This Row],[Route]]=ClosureLocation!$B$3, ClosureLocation!$B$6 &gt;= Table4[[#This Row],[StartMP]], ClosureLocation!$B$6 &lt;= Table4[[#This Row],[EndMP]]), "Yes", "")</f>
        <v/>
      </c>
      <c r="Q2384" s="1" t="str">
        <f>IF( AND( Table4[[#This Row],[Route]]=ClosureLocation!$B$3, ClosureLocation!$B$6 &lt;= Table4[[#This Row],[StartMP]], ClosureLocation!$B$6 &gt;= Table4[[#This Row],[EndMP]]), "Yes", "")</f>
        <v/>
      </c>
      <c r="R2384" s="1" t="str">
        <f>IF( OR( Table4[[#This Row],[PrimaryMatch]]="Yes", Table4[[#This Row],[SecondaryMatch]]="Yes"), "Yes", "")</f>
        <v/>
      </c>
    </row>
    <row r="2385" spans="1:18" hidden="1" x14ac:dyDescent="0.25">
      <c r="A2385" t="s">
        <v>81</v>
      </c>
      <c r="B2385" t="s">
        <v>3205</v>
      </c>
      <c r="C2385" t="s">
        <v>3222</v>
      </c>
      <c r="D2385" t="s">
        <v>3256</v>
      </c>
      <c r="E2385" s="1">
        <v>292.28399999999999</v>
      </c>
      <c r="F2385" s="1">
        <v>292.56700000000001</v>
      </c>
      <c r="G2385">
        <v>2</v>
      </c>
      <c r="H2385">
        <v>2</v>
      </c>
      <c r="I2385" t="s">
        <v>2083</v>
      </c>
      <c r="J2385" t="s">
        <v>1696</v>
      </c>
      <c r="K2385" s="39">
        <v>2.1428729999999998</v>
      </c>
      <c r="L2385" s="1">
        <v>3.6331799999999999</v>
      </c>
      <c r="M2385" s="1" t="s">
        <v>3258</v>
      </c>
      <c r="N2385" s="1">
        <v>292.28399999999999</v>
      </c>
      <c r="O2385" s="1">
        <f>ABS(Table4[[#This Row],[EndMP]]-Table4[[#This Row],[StartMP]])</f>
        <v>0.28300000000001546</v>
      </c>
      <c r="P2385" s="1" t="str">
        <f>IF( AND( Table4[[#This Row],[Route]]=ClosureLocation!$B$3, ClosureLocation!$B$6 &gt;= Table4[[#This Row],[StartMP]], ClosureLocation!$B$6 &lt;= Table4[[#This Row],[EndMP]]), "Yes", "")</f>
        <v/>
      </c>
      <c r="Q2385" s="1" t="str">
        <f>IF( AND( Table4[[#This Row],[Route]]=ClosureLocation!$B$3, ClosureLocation!$B$6 &lt;= Table4[[#This Row],[StartMP]], ClosureLocation!$B$6 &gt;= Table4[[#This Row],[EndMP]]), "Yes", "")</f>
        <v/>
      </c>
      <c r="R2385" s="1" t="str">
        <f>IF( OR( Table4[[#This Row],[PrimaryMatch]]="Yes", Table4[[#This Row],[SecondaryMatch]]="Yes"), "Yes", "")</f>
        <v/>
      </c>
    </row>
    <row r="2386" spans="1:18" hidden="1" x14ac:dyDescent="0.25">
      <c r="A2386" t="s">
        <v>1276</v>
      </c>
      <c r="B2386" t="s">
        <v>3209</v>
      </c>
      <c r="C2386" t="s">
        <v>3226</v>
      </c>
      <c r="D2386" t="s">
        <v>4119</v>
      </c>
      <c r="E2386" s="1">
        <v>10.493</v>
      </c>
      <c r="F2386" s="1">
        <v>6.9000000000000006E-2</v>
      </c>
      <c r="H2386">
        <v>2</v>
      </c>
      <c r="I2386" t="s">
        <v>2956</v>
      </c>
      <c r="J2386" t="s">
        <v>1708</v>
      </c>
      <c r="K2386" s="39">
        <v>2.127875</v>
      </c>
      <c r="L2386" s="1">
        <v>1.40951</v>
      </c>
      <c r="M2386" s="1" t="s">
        <v>4120</v>
      </c>
      <c r="N2386" s="1">
        <v>989.50699999999995</v>
      </c>
      <c r="O2386" s="1">
        <f>ABS(Table4[[#This Row],[EndMP]]-Table4[[#This Row],[StartMP]])</f>
        <v>10.423999999999999</v>
      </c>
      <c r="P2386" s="1" t="str">
        <f>IF( AND( Table4[[#This Row],[Route]]=ClosureLocation!$B$3, ClosureLocation!$B$6 &gt;= Table4[[#This Row],[StartMP]], ClosureLocation!$B$6 &lt;= Table4[[#This Row],[EndMP]]), "Yes", "")</f>
        <v/>
      </c>
      <c r="Q2386" s="1" t="str">
        <f>IF( AND( Table4[[#This Row],[Route]]=ClosureLocation!$B$3, ClosureLocation!$B$6 &lt;= Table4[[#This Row],[StartMP]], ClosureLocation!$B$6 &gt;= Table4[[#This Row],[EndMP]]), "Yes", "")</f>
        <v/>
      </c>
      <c r="R2386" s="1" t="str">
        <f>IF( OR( Table4[[#This Row],[PrimaryMatch]]="Yes", Table4[[#This Row],[SecondaryMatch]]="Yes"), "Yes", "")</f>
        <v/>
      </c>
    </row>
    <row r="2387" spans="1:18" hidden="1" x14ac:dyDescent="0.25">
      <c r="A2387" t="s">
        <v>1276</v>
      </c>
      <c r="B2387" t="s">
        <v>3205</v>
      </c>
      <c r="C2387" t="s">
        <v>3222</v>
      </c>
      <c r="D2387" t="s">
        <v>4117</v>
      </c>
      <c r="E2387" s="1">
        <v>6.9000000000000006E-2</v>
      </c>
      <c r="F2387" s="1">
        <v>10.493</v>
      </c>
      <c r="G2387">
        <v>1</v>
      </c>
      <c r="H2387">
        <v>1</v>
      </c>
      <c r="I2387" t="s">
        <v>2955</v>
      </c>
      <c r="J2387" t="s">
        <v>1708</v>
      </c>
      <c r="K2387" s="39">
        <v>2.1278709999999998</v>
      </c>
      <c r="L2387" s="1">
        <v>1.40951</v>
      </c>
      <c r="M2387" s="1" t="s">
        <v>4118</v>
      </c>
      <c r="N2387" s="1">
        <v>6.9000000000000006E-2</v>
      </c>
      <c r="O2387" s="1">
        <f>ABS(Table4[[#This Row],[EndMP]]-Table4[[#This Row],[StartMP]])</f>
        <v>10.423999999999999</v>
      </c>
      <c r="P2387" s="1" t="str">
        <f>IF( AND( Table4[[#This Row],[Route]]=ClosureLocation!$B$3, ClosureLocation!$B$6 &gt;= Table4[[#This Row],[StartMP]], ClosureLocation!$B$6 &lt;= Table4[[#This Row],[EndMP]]), "Yes", "")</f>
        <v/>
      </c>
      <c r="Q2387" s="1" t="str">
        <f>IF( AND( Table4[[#This Row],[Route]]=ClosureLocation!$B$3, ClosureLocation!$B$6 &lt;= Table4[[#This Row],[StartMP]], ClosureLocation!$B$6 &gt;= Table4[[#This Row],[EndMP]]), "Yes", "")</f>
        <v/>
      </c>
      <c r="R2387" s="1" t="str">
        <f>IF( OR( Table4[[#This Row],[PrimaryMatch]]="Yes", Table4[[#This Row],[SecondaryMatch]]="Yes"), "Yes", "")</f>
        <v/>
      </c>
    </row>
    <row r="2388" spans="1:18" hidden="1" x14ac:dyDescent="0.25">
      <c r="A2388" t="s">
        <v>1081</v>
      </c>
      <c r="B2388" t="s">
        <v>3205</v>
      </c>
      <c r="C2388" t="s">
        <v>3222</v>
      </c>
      <c r="D2388" t="s">
        <v>3973</v>
      </c>
      <c r="E2388" s="1">
        <v>69.498999999999995</v>
      </c>
      <c r="F2388" s="1">
        <v>90.147999999999996</v>
      </c>
      <c r="G2388">
        <v>1</v>
      </c>
      <c r="H2388">
        <v>1</v>
      </c>
      <c r="I2388" t="s">
        <v>2846</v>
      </c>
      <c r="J2388" t="s">
        <v>1693</v>
      </c>
      <c r="K2388" s="39">
        <v>2.1229659999999999</v>
      </c>
      <c r="L2388" s="1">
        <v>2.488337</v>
      </c>
      <c r="M2388" s="1" t="s">
        <v>3974</v>
      </c>
      <c r="N2388" s="1">
        <v>69.498999999999995</v>
      </c>
      <c r="O2388" s="1">
        <f>ABS(Table4[[#This Row],[EndMP]]-Table4[[#This Row],[StartMP]])</f>
        <v>20.649000000000001</v>
      </c>
      <c r="P2388" s="1" t="str">
        <f>IF( AND( Table4[[#This Row],[Route]]=ClosureLocation!$B$3, ClosureLocation!$B$6 &gt;= Table4[[#This Row],[StartMP]], ClosureLocation!$B$6 &lt;= Table4[[#This Row],[EndMP]]), "Yes", "")</f>
        <v/>
      </c>
      <c r="Q2388" s="1" t="str">
        <f>IF( AND( Table4[[#This Row],[Route]]=ClosureLocation!$B$3, ClosureLocation!$B$6 &lt;= Table4[[#This Row],[StartMP]], ClosureLocation!$B$6 &gt;= Table4[[#This Row],[EndMP]]), "Yes", "")</f>
        <v/>
      </c>
      <c r="R2388" s="1" t="str">
        <f>IF( OR( Table4[[#This Row],[PrimaryMatch]]="Yes", Table4[[#This Row],[SecondaryMatch]]="Yes"), "Yes", "")</f>
        <v/>
      </c>
    </row>
    <row r="2389" spans="1:18" hidden="1" x14ac:dyDescent="0.25">
      <c r="A2389" t="s">
        <v>1081</v>
      </c>
      <c r="B2389" t="s">
        <v>3209</v>
      </c>
      <c r="C2389" t="s">
        <v>3226</v>
      </c>
      <c r="D2389" t="s">
        <v>3977</v>
      </c>
      <c r="E2389" s="1">
        <v>90.147999999999996</v>
      </c>
      <c r="F2389" s="1">
        <v>69.498999999999995</v>
      </c>
      <c r="G2389">
        <v>3</v>
      </c>
      <c r="H2389">
        <v>6</v>
      </c>
      <c r="I2389" t="s">
        <v>2851</v>
      </c>
      <c r="J2389" t="s">
        <v>1693</v>
      </c>
      <c r="K2389" s="39">
        <v>2.1229650000000002</v>
      </c>
      <c r="L2389" s="1">
        <v>2.488337</v>
      </c>
      <c r="M2389" s="1" t="s">
        <v>3980</v>
      </c>
      <c r="N2389" s="1">
        <v>909.85199999999998</v>
      </c>
      <c r="O2389" s="1">
        <f>ABS(Table4[[#This Row],[EndMP]]-Table4[[#This Row],[StartMP]])</f>
        <v>20.649000000000001</v>
      </c>
      <c r="P2389" s="1" t="str">
        <f>IF( AND( Table4[[#This Row],[Route]]=ClosureLocation!$B$3, ClosureLocation!$B$6 &gt;= Table4[[#This Row],[StartMP]], ClosureLocation!$B$6 &lt;= Table4[[#This Row],[EndMP]]), "Yes", "")</f>
        <v/>
      </c>
      <c r="Q2389" s="1" t="str">
        <f>IF( AND( Table4[[#This Row],[Route]]=ClosureLocation!$B$3, ClosureLocation!$B$6 &lt;= Table4[[#This Row],[StartMP]], ClosureLocation!$B$6 &gt;= Table4[[#This Row],[EndMP]]), "Yes", "")</f>
        <v/>
      </c>
      <c r="R2389" s="1" t="str">
        <f>IF( OR( Table4[[#This Row],[PrimaryMatch]]="Yes", Table4[[#This Row],[SecondaryMatch]]="Yes"), "Yes", "")</f>
        <v/>
      </c>
    </row>
    <row r="2390" spans="1:18" hidden="1" x14ac:dyDescent="0.25">
      <c r="A2390" t="s">
        <v>126</v>
      </c>
      <c r="B2390" t="s">
        <v>3209</v>
      </c>
      <c r="C2390" t="s">
        <v>3226</v>
      </c>
      <c r="D2390" t="s">
        <v>3276</v>
      </c>
      <c r="E2390" s="1">
        <v>16.085999999999999</v>
      </c>
      <c r="F2390" s="1">
        <v>14.91</v>
      </c>
      <c r="G2390">
        <v>3</v>
      </c>
      <c r="H2390">
        <v>4</v>
      </c>
      <c r="I2390" t="s">
        <v>2104</v>
      </c>
      <c r="J2390" t="s">
        <v>1702</v>
      </c>
      <c r="K2390" s="39">
        <v>2.1213250000000001</v>
      </c>
      <c r="L2390" s="1">
        <v>0.310946</v>
      </c>
      <c r="M2390" s="1" t="s">
        <v>146</v>
      </c>
      <c r="N2390" s="1">
        <v>983.91399999999999</v>
      </c>
      <c r="O2390" s="1">
        <f>ABS(Table4[[#This Row],[EndMP]]-Table4[[#This Row],[StartMP]])</f>
        <v>1.1759999999999984</v>
      </c>
      <c r="P2390" s="1" t="str">
        <f>IF( AND( Table4[[#This Row],[Route]]=ClosureLocation!$B$3, ClosureLocation!$B$6 &gt;= Table4[[#This Row],[StartMP]], ClosureLocation!$B$6 &lt;= Table4[[#This Row],[EndMP]]), "Yes", "")</f>
        <v/>
      </c>
      <c r="Q2390" s="1" t="str">
        <f>IF( AND( Table4[[#This Row],[Route]]=ClosureLocation!$B$3, ClosureLocation!$B$6 &lt;= Table4[[#This Row],[StartMP]], ClosureLocation!$B$6 &gt;= Table4[[#This Row],[EndMP]]), "Yes", "")</f>
        <v/>
      </c>
      <c r="R2390" s="1" t="str">
        <f>IF( OR( Table4[[#This Row],[PrimaryMatch]]="Yes", Table4[[#This Row],[SecondaryMatch]]="Yes"), "Yes", "")</f>
        <v/>
      </c>
    </row>
    <row r="2391" spans="1:18" hidden="1" x14ac:dyDescent="0.25">
      <c r="A2391" t="s">
        <v>126</v>
      </c>
      <c r="B2391" t="s">
        <v>3205</v>
      </c>
      <c r="C2391" t="s">
        <v>3222</v>
      </c>
      <c r="D2391" t="s">
        <v>3275</v>
      </c>
      <c r="E2391" s="1">
        <v>14.91</v>
      </c>
      <c r="F2391" s="1">
        <v>16.085999999999999</v>
      </c>
      <c r="G2391">
        <v>2</v>
      </c>
      <c r="H2391">
        <v>2</v>
      </c>
      <c r="I2391" t="s">
        <v>2100</v>
      </c>
      <c r="J2391" t="s">
        <v>1702</v>
      </c>
      <c r="K2391" s="39">
        <v>2.1213229999999998</v>
      </c>
      <c r="L2391" s="1">
        <v>0.310946</v>
      </c>
      <c r="M2391" s="1" t="s">
        <v>146</v>
      </c>
      <c r="N2391" s="1">
        <v>14.91</v>
      </c>
      <c r="O2391" s="1">
        <f>ABS(Table4[[#This Row],[EndMP]]-Table4[[#This Row],[StartMP]])</f>
        <v>1.1759999999999984</v>
      </c>
      <c r="P2391" s="1" t="str">
        <f>IF( AND( Table4[[#This Row],[Route]]=ClosureLocation!$B$3, ClosureLocation!$B$6 &gt;= Table4[[#This Row],[StartMP]], ClosureLocation!$B$6 &lt;= Table4[[#This Row],[EndMP]]), "Yes", "")</f>
        <v/>
      </c>
      <c r="Q2391" s="1" t="str">
        <f>IF( AND( Table4[[#This Row],[Route]]=ClosureLocation!$B$3, ClosureLocation!$B$6 &lt;= Table4[[#This Row],[StartMP]], ClosureLocation!$B$6 &gt;= Table4[[#This Row],[EndMP]]), "Yes", "")</f>
        <v/>
      </c>
      <c r="R2391" s="1" t="str">
        <f>IF( OR( Table4[[#This Row],[PrimaryMatch]]="Yes", Table4[[#This Row],[SecondaryMatch]]="Yes"), "Yes", "")</f>
        <v/>
      </c>
    </row>
    <row r="2392" spans="1:18" hidden="1" x14ac:dyDescent="0.25">
      <c r="A2392" t="s">
        <v>93</v>
      </c>
      <c r="B2392" t="s">
        <v>3209</v>
      </c>
      <c r="C2392" t="s">
        <v>3226</v>
      </c>
      <c r="D2392" t="s">
        <v>3267</v>
      </c>
      <c r="E2392" s="1">
        <v>8.8999999999999996E-2</v>
      </c>
      <c r="F2392" s="1">
        <v>0</v>
      </c>
      <c r="G2392">
        <v>3</v>
      </c>
      <c r="H2392">
        <v>1</v>
      </c>
      <c r="I2392" t="s">
        <v>2094</v>
      </c>
      <c r="J2392" t="s">
        <v>1705</v>
      </c>
      <c r="K2392" s="39">
        <v>2.1061049999999999</v>
      </c>
      <c r="L2392" s="1">
        <v>1.1008549999999999</v>
      </c>
      <c r="M2392" s="1" t="s">
        <v>3270</v>
      </c>
      <c r="N2392" s="1">
        <v>999.91099999999994</v>
      </c>
      <c r="O2392" s="1">
        <f>ABS(Table4[[#This Row],[EndMP]]-Table4[[#This Row],[StartMP]])</f>
        <v>8.8999999999999996E-2</v>
      </c>
      <c r="P2392" s="1" t="str">
        <f>IF( AND( Table4[[#This Row],[Route]]=ClosureLocation!$B$3, ClosureLocation!$B$6 &gt;= Table4[[#This Row],[StartMP]], ClosureLocation!$B$6 &lt;= Table4[[#This Row],[EndMP]]), "Yes", "")</f>
        <v/>
      </c>
      <c r="Q2392" s="1" t="str">
        <f>IF( AND( Table4[[#This Row],[Route]]=ClosureLocation!$B$3, ClosureLocation!$B$6 &lt;= Table4[[#This Row],[StartMP]], ClosureLocation!$B$6 &gt;= Table4[[#This Row],[EndMP]]), "Yes", "")</f>
        <v/>
      </c>
      <c r="R2392" s="1" t="str">
        <f>IF( OR( Table4[[#This Row],[PrimaryMatch]]="Yes", Table4[[#This Row],[SecondaryMatch]]="Yes"), "Yes", "")</f>
        <v/>
      </c>
    </row>
    <row r="2393" spans="1:18" hidden="1" x14ac:dyDescent="0.25">
      <c r="A2393" t="s">
        <v>1180</v>
      </c>
      <c r="B2393" t="s">
        <v>3209</v>
      </c>
      <c r="C2393" t="s">
        <v>3210</v>
      </c>
      <c r="D2393" t="s">
        <v>4044</v>
      </c>
      <c r="E2393" s="1">
        <v>7.3109999999999999</v>
      </c>
      <c r="F2393" s="1">
        <v>0.15</v>
      </c>
      <c r="G2393">
        <v>6</v>
      </c>
      <c r="H2393">
        <v>4</v>
      </c>
      <c r="I2393" t="s">
        <v>2905</v>
      </c>
      <c r="J2393" t="s">
        <v>1708</v>
      </c>
      <c r="K2393" s="39">
        <v>2.0874269999999999</v>
      </c>
      <c r="L2393" s="1">
        <v>6.2718509999999998</v>
      </c>
      <c r="M2393" s="1" t="s">
        <v>3292</v>
      </c>
      <c r="N2393" s="1">
        <v>992.68899999999996</v>
      </c>
      <c r="O2393" s="1">
        <f>ABS(Table4[[#This Row],[EndMP]]-Table4[[#This Row],[StartMP]])</f>
        <v>7.1609999999999996</v>
      </c>
      <c r="P2393" s="1" t="str">
        <f>IF( AND( Table4[[#This Row],[Route]]=ClosureLocation!$B$3, ClosureLocation!$B$6 &gt;= Table4[[#This Row],[StartMP]], ClosureLocation!$B$6 &lt;= Table4[[#This Row],[EndMP]]), "Yes", "")</f>
        <v/>
      </c>
      <c r="Q2393" s="1" t="str">
        <f>IF( AND( Table4[[#This Row],[Route]]=ClosureLocation!$B$3, ClosureLocation!$B$6 &lt;= Table4[[#This Row],[StartMP]], ClosureLocation!$B$6 &gt;= Table4[[#This Row],[EndMP]]), "Yes", "")</f>
        <v/>
      </c>
      <c r="R2393" s="1" t="str">
        <f>IF( OR( Table4[[#This Row],[PrimaryMatch]]="Yes", Table4[[#This Row],[SecondaryMatch]]="Yes"), "Yes", "")</f>
        <v/>
      </c>
    </row>
    <row r="2394" spans="1:18" hidden="1" x14ac:dyDescent="0.25">
      <c r="A2394" t="s">
        <v>149</v>
      </c>
      <c r="B2394" t="s">
        <v>3205</v>
      </c>
      <c r="C2394" t="s">
        <v>3222</v>
      </c>
      <c r="D2394" t="s">
        <v>3291</v>
      </c>
      <c r="E2394" s="1">
        <v>0.24</v>
      </c>
      <c r="F2394" s="1">
        <v>2.1579999999999999</v>
      </c>
      <c r="G2394">
        <v>1</v>
      </c>
      <c r="H2394">
        <v>1</v>
      </c>
      <c r="I2394" t="s">
        <v>2113</v>
      </c>
      <c r="J2394" t="s">
        <v>1705</v>
      </c>
      <c r="K2394" s="39">
        <v>2.0807039999999999</v>
      </c>
      <c r="L2394" s="1">
        <v>2.0362819999999999</v>
      </c>
      <c r="M2394" s="1" t="s">
        <v>3292</v>
      </c>
      <c r="N2394" s="1">
        <v>0.24</v>
      </c>
      <c r="O2394" s="1">
        <f>ABS(Table4[[#This Row],[EndMP]]-Table4[[#This Row],[StartMP]])</f>
        <v>1.9179999999999999</v>
      </c>
      <c r="P2394" s="1" t="str">
        <f>IF( AND( Table4[[#This Row],[Route]]=ClosureLocation!$B$3, ClosureLocation!$B$6 &gt;= Table4[[#This Row],[StartMP]], ClosureLocation!$B$6 &lt;= Table4[[#This Row],[EndMP]]), "Yes", "")</f>
        <v/>
      </c>
      <c r="Q2394" s="1" t="str">
        <f>IF( AND( Table4[[#This Row],[Route]]=ClosureLocation!$B$3, ClosureLocation!$B$6 &lt;= Table4[[#This Row],[StartMP]], ClosureLocation!$B$6 &gt;= Table4[[#This Row],[EndMP]]), "Yes", "")</f>
        <v/>
      </c>
      <c r="R2394" s="1" t="str">
        <f>IF( OR( Table4[[#This Row],[PrimaryMatch]]="Yes", Table4[[#This Row],[SecondaryMatch]]="Yes"), "Yes", "")</f>
        <v/>
      </c>
    </row>
    <row r="2395" spans="1:18" hidden="1" x14ac:dyDescent="0.25">
      <c r="A2395" t="s">
        <v>413</v>
      </c>
      <c r="B2395" t="s">
        <v>3205</v>
      </c>
      <c r="C2395" t="s">
        <v>3222</v>
      </c>
      <c r="D2395" t="s">
        <v>3497</v>
      </c>
      <c r="E2395" s="1">
        <v>172.41399999999999</v>
      </c>
      <c r="F2395" s="1">
        <v>173.852</v>
      </c>
      <c r="H2395">
        <v>1</v>
      </c>
      <c r="I2395" t="s">
        <v>2308</v>
      </c>
      <c r="J2395" t="s">
        <v>1707</v>
      </c>
      <c r="K2395" s="39">
        <v>2.0684480000000001</v>
      </c>
      <c r="L2395" s="1">
        <v>2.227579</v>
      </c>
      <c r="M2395" s="1" t="s">
        <v>4910</v>
      </c>
      <c r="N2395" s="1">
        <v>172.41399999999999</v>
      </c>
      <c r="O2395" s="1">
        <f>ABS(Table4[[#This Row],[EndMP]]-Table4[[#This Row],[StartMP]])</f>
        <v>1.4380000000000166</v>
      </c>
      <c r="P2395" s="1" t="str">
        <f>IF( AND( Table4[[#This Row],[Route]]=ClosureLocation!$B$3, ClosureLocation!$B$6 &gt;= Table4[[#This Row],[StartMP]], ClosureLocation!$B$6 &lt;= Table4[[#This Row],[EndMP]]), "Yes", "")</f>
        <v/>
      </c>
      <c r="Q2395" s="1" t="str">
        <f>IF( AND( Table4[[#This Row],[Route]]=ClosureLocation!$B$3, ClosureLocation!$B$6 &lt;= Table4[[#This Row],[StartMP]], ClosureLocation!$B$6 &gt;= Table4[[#This Row],[EndMP]]), "Yes", "")</f>
        <v/>
      </c>
      <c r="R2395" s="1" t="str">
        <f>IF( OR( Table4[[#This Row],[PrimaryMatch]]="Yes", Table4[[#This Row],[SecondaryMatch]]="Yes"), "Yes", "")</f>
        <v/>
      </c>
    </row>
    <row r="2396" spans="1:18" hidden="1" x14ac:dyDescent="0.25">
      <c r="A2396" t="s">
        <v>1180</v>
      </c>
      <c r="B2396" t="s">
        <v>3205</v>
      </c>
      <c r="C2396" t="s">
        <v>3206</v>
      </c>
      <c r="D2396" t="s">
        <v>4038</v>
      </c>
      <c r="E2396" s="1">
        <v>12.531000000000001</v>
      </c>
      <c r="F2396" s="1">
        <v>16.617999999999999</v>
      </c>
      <c r="G2396">
        <v>4</v>
      </c>
      <c r="H2396">
        <v>2</v>
      </c>
      <c r="I2396" t="s">
        <v>2897</v>
      </c>
      <c r="J2396" t="s">
        <v>1708</v>
      </c>
      <c r="K2396" s="39">
        <v>2.0593080000000001</v>
      </c>
      <c r="L2396" s="1">
        <v>1.591782</v>
      </c>
      <c r="M2396" s="1" t="s">
        <v>4041</v>
      </c>
      <c r="N2396" s="1">
        <v>12.531000000000001</v>
      </c>
      <c r="O2396" s="1">
        <f>ABS(Table4[[#This Row],[EndMP]]-Table4[[#This Row],[StartMP]])</f>
        <v>4.086999999999998</v>
      </c>
      <c r="P2396" s="1" t="str">
        <f>IF( AND( Table4[[#This Row],[Route]]=ClosureLocation!$B$3, ClosureLocation!$B$6 &gt;= Table4[[#This Row],[StartMP]], ClosureLocation!$B$6 &lt;= Table4[[#This Row],[EndMP]]), "Yes", "")</f>
        <v/>
      </c>
      <c r="Q2396" s="1" t="str">
        <f>IF( AND( Table4[[#This Row],[Route]]=ClosureLocation!$B$3, ClosureLocation!$B$6 &lt;= Table4[[#This Row],[StartMP]], ClosureLocation!$B$6 &gt;= Table4[[#This Row],[EndMP]]), "Yes", "")</f>
        <v/>
      </c>
      <c r="R2396" s="1" t="str">
        <f>IF( OR( Table4[[#This Row],[PrimaryMatch]]="Yes", Table4[[#This Row],[SecondaryMatch]]="Yes"), "Yes", "")</f>
        <v/>
      </c>
    </row>
    <row r="2397" spans="1:18" hidden="1" x14ac:dyDescent="0.25">
      <c r="A2397" t="s">
        <v>149</v>
      </c>
      <c r="B2397" t="s">
        <v>3209</v>
      </c>
      <c r="C2397" t="s">
        <v>3226</v>
      </c>
      <c r="D2397" t="s">
        <v>3295</v>
      </c>
      <c r="E2397" s="1">
        <v>2.1579999999999999</v>
      </c>
      <c r="F2397" s="1">
        <v>0.24</v>
      </c>
      <c r="G2397">
        <v>3</v>
      </c>
      <c r="H2397">
        <v>2</v>
      </c>
      <c r="I2397" t="s">
        <v>2118</v>
      </c>
      <c r="J2397" t="s">
        <v>1705</v>
      </c>
      <c r="K2397" s="39">
        <v>2.0507900000000001</v>
      </c>
      <c r="L2397" s="1">
        <v>1.6225020000000001</v>
      </c>
      <c r="M2397" s="1" t="s">
        <v>3298</v>
      </c>
      <c r="N2397" s="1">
        <v>997.84199999999998</v>
      </c>
      <c r="O2397" s="1">
        <f>ABS(Table4[[#This Row],[EndMP]]-Table4[[#This Row],[StartMP]])</f>
        <v>1.9179999999999999</v>
      </c>
      <c r="P2397" s="1" t="str">
        <f>IF( AND( Table4[[#This Row],[Route]]=ClosureLocation!$B$3, ClosureLocation!$B$6 &gt;= Table4[[#This Row],[StartMP]], ClosureLocation!$B$6 &lt;= Table4[[#This Row],[EndMP]]), "Yes", "")</f>
        <v/>
      </c>
      <c r="Q2397" s="1" t="str">
        <f>IF( AND( Table4[[#This Row],[Route]]=ClosureLocation!$B$3, ClosureLocation!$B$6 &lt;= Table4[[#This Row],[StartMP]], ClosureLocation!$B$6 &gt;= Table4[[#This Row],[EndMP]]), "Yes", "")</f>
        <v/>
      </c>
      <c r="R2397" s="1" t="str">
        <f>IF( OR( Table4[[#This Row],[PrimaryMatch]]="Yes", Table4[[#This Row],[SecondaryMatch]]="Yes"), "Yes", "")</f>
        <v/>
      </c>
    </row>
    <row r="2398" spans="1:18" hidden="1" x14ac:dyDescent="0.25">
      <c r="A2398" t="s">
        <v>12</v>
      </c>
      <c r="B2398" t="s">
        <v>3205</v>
      </c>
      <c r="C2398" t="s">
        <v>3206</v>
      </c>
      <c r="D2398" t="s">
        <v>3213</v>
      </c>
      <c r="E2398" s="1">
        <v>2.1459999999999999</v>
      </c>
      <c r="F2398" s="1">
        <v>2.1739999999999999</v>
      </c>
      <c r="G2398">
        <v>2</v>
      </c>
      <c r="H2398">
        <v>2</v>
      </c>
      <c r="I2398" t="s">
        <v>3215</v>
      </c>
      <c r="J2398" t="s">
        <v>1696</v>
      </c>
      <c r="K2398" s="39">
        <v>2.0482</v>
      </c>
      <c r="L2398" s="1">
        <v>1.1271949999999999</v>
      </c>
      <c r="M2398" s="1" t="s">
        <v>310</v>
      </c>
      <c r="N2398" s="1">
        <v>2.1459999999999999</v>
      </c>
      <c r="O2398" s="1">
        <f>ABS(Table4[[#This Row],[EndMP]]-Table4[[#This Row],[StartMP]])</f>
        <v>2.8000000000000025E-2</v>
      </c>
      <c r="P2398" s="1" t="str">
        <f>IF( AND( Table4[[#This Row],[Route]]=ClosureLocation!$B$3, ClosureLocation!$B$6 &gt;= Table4[[#This Row],[StartMP]], ClosureLocation!$B$6 &lt;= Table4[[#This Row],[EndMP]]), "Yes", "")</f>
        <v/>
      </c>
      <c r="Q2398" s="1" t="str">
        <f>IF( AND( Table4[[#This Row],[Route]]=ClosureLocation!$B$3, ClosureLocation!$B$6 &lt;= Table4[[#This Row],[StartMP]], ClosureLocation!$B$6 &gt;= Table4[[#This Row],[EndMP]]), "Yes", "")</f>
        <v/>
      </c>
      <c r="R2398" s="1" t="str">
        <f>IF( OR( Table4[[#This Row],[PrimaryMatch]]="Yes", Table4[[#This Row],[SecondaryMatch]]="Yes"), "Yes", "")</f>
        <v/>
      </c>
    </row>
    <row r="2399" spans="1:18" hidden="1" x14ac:dyDescent="0.25">
      <c r="A2399" t="s">
        <v>776</v>
      </c>
      <c r="B2399" t="s">
        <v>3209</v>
      </c>
      <c r="C2399" t="s">
        <v>3226</v>
      </c>
      <c r="D2399" t="s">
        <v>3749</v>
      </c>
      <c r="E2399" s="1">
        <v>261.36099999999999</v>
      </c>
      <c r="F2399" s="1">
        <v>260.161</v>
      </c>
      <c r="G2399">
        <v>24</v>
      </c>
      <c r="H2399">
        <v>77</v>
      </c>
      <c r="I2399" t="s">
        <v>2623</v>
      </c>
      <c r="J2399" t="s">
        <v>1694</v>
      </c>
      <c r="K2399" s="39">
        <v>2.0188320000000002</v>
      </c>
      <c r="L2399" s="1">
        <v>0.59728700000000001</v>
      </c>
      <c r="M2399" s="1" t="s">
        <v>4516</v>
      </c>
      <c r="N2399" s="1">
        <v>738.63900000000001</v>
      </c>
      <c r="O2399" s="1">
        <f>ABS(Table4[[#This Row],[EndMP]]-Table4[[#This Row],[StartMP]])</f>
        <v>1.1999999999999886</v>
      </c>
      <c r="P2399" s="1" t="str">
        <f>IF( AND( Table4[[#This Row],[Route]]=ClosureLocation!$B$3, ClosureLocation!$B$6 &gt;= Table4[[#This Row],[StartMP]], ClosureLocation!$B$6 &lt;= Table4[[#This Row],[EndMP]]), "Yes", "")</f>
        <v/>
      </c>
      <c r="Q2399" s="1" t="str">
        <f>IF( AND( Table4[[#This Row],[Route]]=ClosureLocation!$B$3, ClosureLocation!$B$6 &lt;= Table4[[#This Row],[StartMP]], ClosureLocation!$B$6 &gt;= Table4[[#This Row],[EndMP]]), "Yes", "")</f>
        <v/>
      </c>
      <c r="R2399" s="1" t="str">
        <f>IF( OR( Table4[[#This Row],[PrimaryMatch]]="Yes", Table4[[#This Row],[SecondaryMatch]]="Yes"), "Yes", "")</f>
        <v/>
      </c>
    </row>
    <row r="2400" spans="1:18" hidden="1" x14ac:dyDescent="0.25">
      <c r="A2400" t="s">
        <v>1072</v>
      </c>
      <c r="B2400" t="s">
        <v>3209</v>
      </c>
      <c r="C2400" t="s">
        <v>3226</v>
      </c>
      <c r="D2400" t="s">
        <v>3969</v>
      </c>
      <c r="E2400" s="1">
        <v>58.652999999999999</v>
      </c>
      <c r="F2400" s="1">
        <v>52.784999999999997</v>
      </c>
      <c r="G2400">
        <v>1</v>
      </c>
      <c r="H2400">
        <v>4</v>
      </c>
      <c r="I2400" t="s">
        <v>2843</v>
      </c>
      <c r="J2400" t="s">
        <v>1689</v>
      </c>
      <c r="K2400" s="39">
        <v>2.0014949999999998</v>
      </c>
      <c r="L2400" s="1">
        <v>5.3039550000000002</v>
      </c>
      <c r="M2400" s="1" t="s">
        <v>3970</v>
      </c>
      <c r="N2400" s="1">
        <v>941.34699999999998</v>
      </c>
      <c r="O2400" s="1">
        <f>ABS(Table4[[#This Row],[EndMP]]-Table4[[#This Row],[StartMP]])</f>
        <v>5.8680000000000021</v>
      </c>
      <c r="P2400" s="1" t="str">
        <f>IF( AND( Table4[[#This Row],[Route]]=ClosureLocation!$B$3, ClosureLocation!$B$6 &gt;= Table4[[#This Row],[StartMP]], ClosureLocation!$B$6 &lt;= Table4[[#This Row],[EndMP]]), "Yes", "")</f>
        <v/>
      </c>
      <c r="Q2400" s="1" t="str">
        <f>IF( AND( Table4[[#This Row],[Route]]=ClosureLocation!$B$3, ClosureLocation!$B$6 &lt;= Table4[[#This Row],[StartMP]], ClosureLocation!$B$6 &gt;= Table4[[#This Row],[EndMP]]), "Yes", "")</f>
        <v/>
      </c>
      <c r="R2400" s="1" t="str">
        <f>IF( OR( Table4[[#This Row],[PrimaryMatch]]="Yes", Table4[[#This Row],[SecondaryMatch]]="Yes"), "Yes", "")</f>
        <v/>
      </c>
    </row>
    <row r="2401" spans="1:18" hidden="1" x14ac:dyDescent="0.25">
      <c r="A2401" t="s">
        <v>1424</v>
      </c>
      <c r="B2401" t="s">
        <v>3205</v>
      </c>
      <c r="C2401" t="s">
        <v>3222</v>
      </c>
      <c r="D2401" t="s">
        <v>4200</v>
      </c>
      <c r="E2401" s="1">
        <v>0.26800000000000002</v>
      </c>
      <c r="F2401" s="1">
        <v>2.4540000000000002</v>
      </c>
      <c r="G2401">
        <v>2</v>
      </c>
      <c r="H2401">
        <v>1</v>
      </c>
      <c r="I2401" t="s">
        <v>3019</v>
      </c>
      <c r="J2401" t="s">
        <v>1708</v>
      </c>
      <c r="K2401" s="39">
        <v>1.9917309999999999</v>
      </c>
      <c r="L2401" s="1">
        <v>2.5509740000000001</v>
      </c>
      <c r="M2401" s="1" t="s">
        <v>4202</v>
      </c>
      <c r="N2401" s="1">
        <v>0.26800000000000002</v>
      </c>
      <c r="O2401" s="1">
        <f>ABS(Table4[[#This Row],[EndMP]]-Table4[[#This Row],[StartMP]])</f>
        <v>2.1859999999999999</v>
      </c>
      <c r="P2401" s="1" t="str">
        <f>IF( AND( Table4[[#This Row],[Route]]=ClosureLocation!$B$3, ClosureLocation!$B$6 &gt;= Table4[[#This Row],[StartMP]], ClosureLocation!$B$6 &lt;= Table4[[#This Row],[EndMP]]), "Yes", "")</f>
        <v/>
      </c>
      <c r="Q2401" s="1" t="str">
        <f>IF( AND( Table4[[#This Row],[Route]]=ClosureLocation!$B$3, ClosureLocation!$B$6 &lt;= Table4[[#This Row],[StartMP]], ClosureLocation!$B$6 &gt;= Table4[[#This Row],[EndMP]]), "Yes", "")</f>
        <v/>
      </c>
      <c r="R2401" s="1" t="str">
        <f>IF( OR( Table4[[#This Row],[PrimaryMatch]]="Yes", Table4[[#This Row],[SecondaryMatch]]="Yes"), "Yes", "")</f>
        <v/>
      </c>
    </row>
    <row r="2402" spans="1:18" hidden="1" x14ac:dyDescent="0.25">
      <c r="A2402" t="s">
        <v>776</v>
      </c>
      <c r="B2402" t="s">
        <v>3209</v>
      </c>
      <c r="C2402" t="s">
        <v>3226</v>
      </c>
      <c r="D2402" t="s">
        <v>3749</v>
      </c>
      <c r="E2402" s="1">
        <v>255.774</v>
      </c>
      <c r="F2402" s="1">
        <v>253.803</v>
      </c>
      <c r="G2402">
        <v>27</v>
      </c>
      <c r="H2402">
        <v>80</v>
      </c>
      <c r="I2402" t="s">
        <v>2626</v>
      </c>
      <c r="J2402" t="s">
        <v>1694</v>
      </c>
      <c r="K2402" s="39">
        <v>1.980953</v>
      </c>
      <c r="L2402" s="1">
        <v>0.27977200000000002</v>
      </c>
      <c r="M2402" s="1" t="s">
        <v>4519</v>
      </c>
      <c r="N2402" s="1">
        <v>744.226</v>
      </c>
      <c r="O2402" s="1">
        <f>ABS(Table4[[#This Row],[EndMP]]-Table4[[#This Row],[StartMP]])</f>
        <v>1.9710000000000036</v>
      </c>
      <c r="P2402" s="1" t="str">
        <f>IF( AND( Table4[[#This Row],[Route]]=ClosureLocation!$B$3, ClosureLocation!$B$6 &gt;= Table4[[#This Row],[StartMP]], ClosureLocation!$B$6 &lt;= Table4[[#This Row],[EndMP]]), "Yes", "")</f>
        <v/>
      </c>
      <c r="Q2402" s="1" t="str">
        <f>IF( AND( Table4[[#This Row],[Route]]=ClosureLocation!$B$3, ClosureLocation!$B$6 &lt;= Table4[[#This Row],[StartMP]], ClosureLocation!$B$6 &gt;= Table4[[#This Row],[EndMP]]), "Yes", "")</f>
        <v/>
      </c>
      <c r="R2402" s="1" t="str">
        <f>IF( OR( Table4[[#This Row],[PrimaryMatch]]="Yes", Table4[[#This Row],[SecondaryMatch]]="Yes"), "Yes", "")</f>
        <v/>
      </c>
    </row>
    <row r="2403" spans="1:18" hidden="1" x14ac:dyDescent="0.25">
      <c r="A2403" t="s">
        <v>485</v>
      </c>
      <c r="B2403" t="s">
        <v>3205</v>
      </c>
      <c r="C2403" t="s">
        <v>3222</v>
      </c>
      <c r="D2403" t="s">
        <v>3543</v>
      </c>
      <c r="E2403" s="1">
        <v>89.21</v>
      </c>
      <c r="F2403" s="1">
        <v>91.335999999999999</v>
      </c>
      <c r="G2403">
        <v>1</v>
      </c>
      <c r="H2403">
        <v>1</v>
      </c>
      <c r="I2403" t="s">
        <v>2342</v>
      </c>
      <c r="J2403" t="s">
        <v>1707</v>
      </c>
      <c r="K2403" s="39">
        <v>1.9137869999999999</v>
      </c>
      <c r="L2403" s="1">
        <v>1.4782420000000001</v>
      </c>
      <c r="M2403" s="1" t="s">
        <v>3544</v>
      </c>
      <c r="N2403" s="1">
        <v>89.21</v>
      </c>
      <c r="O2403" s="1">
        <f>ABS(Table4[[#This Row],[EndMP]]-Table4[[#This Row],[StartMP]])</f>
        <v>2.1260000000000048</v>
      </c>
      <c r="P2403" s="1" t="str">
        <f>IF( AND( Table4[[#This Row],[Route]]=ClosureLocation!$B$3, ClosureLocation!$B$6 &gt;= Table4[[#This Row],[StartMP]], ClosureLocation!$B$6 &lt;= Table4[[#This Row],[EndMP]]), "Yes", "")</f>
        <v/>
      </c>
      <c r="Q2403" s="1" t="str">
        <f>IF( AND( Table4[[#This Row],[Route]]=ClosureLocation!$B$3, ClosureLocation!$B$6 &lt;= Table4[[#This Row],[StartMP]], ClosureLocation!$B$6 &gt;= Table4[[#This Row],[EndMP]]), "Yes", "")</f>
        <v/>
      </c>
      <c r="R2403" s="1" t="str">
        <f>IF( OR( Table4[[#This Row],[PrimaryMatch]]="Yes", Table4[[#This Row],[SecondaryMatch]]="Yes"), "Yes", "")</f>
        <v/>
      </c>
    </row>
    <row r="2404" spans="1:18" hidden="1" x14ac:dyDescent="0.25">
      <c r="A2404" t="s">
        <v>776</v>
      </c>
      <c r="B2404" t="s">
        <v>3209</v>
      </c>
      <c r="C2404" t="s">
        <v>3226</v>
      </c>
      <c r="D2404" t="s">
        <v>3749</v>
      </c>
      <c r="E2404" s="1">
        <v>438</v>
      </c>
      <c r="F2404" s="1">
        <v>437</v>
      </c>
      <c r="G2404">
        <v>2</v>
      </c>
      <c r="H2404">
        <v>55</v>
      </c>
      <c r="I2404" t="s">
        <v>2601</v>
      </c>
      <c r="J2404" t="s">
        <v>1694</v>
      </c>
      <c r="K2404" s="39">
        <v>1.899807</v>
      </c>
      <c r="L2404" s="1">
        <v>0.275088</v>
      </c>
      <c r="M2404" s="1" t="s">
        <v>4497</v>
      </c>
      <c r="N2404" s="1">
        <v>562</v>
      </c>
      <c r="O2404" s="1">
        <f>ABS(Table4[[#This Row],[EndMP]]-Table4[[#This Row],[StartMP]])</f>
        <v>1</v>
      </c>
      <c r="P2404" s="1" t="str">
        <f>IF( AND( Table4[[#This Row],[Route]]=ClosureLocation!$B$3, ClosureLocation!$B$6 &gt;= Table4[[#This Row],[StartMP]], ClosureLocation!$B$6 &lt;= Table4[[#This Row],[EndMP]]), "Yes", "")</f>
        <v/>
      </c>
      <c r="Q2404" s="1" t="str">
        <f>IF( AND( Table4[[#This Row],[Route]]=ClosureLocation!$B$3, ClosureLocation!$B$6 &lt;= Table4[[#This Row],[StartMP]], ClosureLocation!$B$6 &gt;= Table4[[#This Row],[EndMP]]), "Yes", "")</f>
        <v/>
      </c>
      <c r="R2404" s="1" t="str">
        <f>IF( OR( Table4[[#This Row],[PrimaryMatch]]="Yes", Table4[[#This Row],[SecondaryMatch]]="Yes"), "Yes", "")</f>
        <v/>
      </c>
    </row>
    <row r="2405" spans="1:18" hidden="1" x14ac:dyDescent="0.25">
      <c r="A2405" t="s">
        <v>430</v>
      </c>
      <c r="B2405" t="s">
        <v>3209</v>
      </c>
      <c r="C2405" t="s">
        <v>3226</v>
      </c>
      <c r="D2405" t="s">
        <v>3508</v>
      </c>
      <c r="E2405" s="1">
        <v>0.67800000000000005</v>
      </c>
      <c r="F2405" s="1">
        <v>0.26700000000000002</v>
      </c>
      <c r="H2405">
        <v>3</v>
      </c>
      <c r="I2405" t="s">
        <v>2321</v>
      </c>
      <c r="J2405" t="s">
        <v>1702</v>
      </c>
      <c r="K2405" s="39">
        <v>1.897481</v>
      </c>
      <c r="L2405" s="1">
        <v>1.9312279999999999</v>
      </c>
      <c r="M2405" s="1" t="s">
        <v>3512</v>
      </c>
      <c r="N2405" s="1">
        <v>999.322</v>
      </c>
      <c r="O2405" s="1">
        <f>ABS(Table4[[#This Row],[EndMP]]-Table4[[#This Row],[StartMP]])</f>
        <v>0.41100000000000003</v>
      </c>
      <c r="P2405" s="1" t="str">
        <f>IF( AND( Table4[[#This Row],[Route]]=ClosureLocation!$B$3, ClosureLocation!$B$6 &gt;= Table4[[#This Row],[StartMP]], ClosureLocation!$B$6 &lt;= Table4[[#This Row],[EndMP]]), "Yes", "")</f>
        <v/>
      </c>
      <c r="Q2405" s="1" t="str">
        <f>IF( AND( Table4[[#This Row],[Route]]=ClosureLocation!$B$3, ClosureLocation!$B$6 &lt;= Table4[[#This Row],[StartMP]], ClosureLocation!$B$6 &gt;= Table4[[#This Row],[EndMP]]), "Yes", "")</f>
        <v/>
      </c>
      <c r="R2405" s="1" t="str">
        <f>IF( OR( Table4[[#This Row],[PrimaryMatch]]="Yes", Table4[[#This Row],[SecondaryMatch]]="Yes"), "Yes", "")</f>
        <v/>
      </c>
    </row>
    <row r="2406" spans="1:18" hidden="1" x14ac:dyDescent="0.25">
      <c r="A2406" t="s">
        <v>902</v>
      </c>
      <c r="B2406" t="s">
        <v>3209</v>
      </c>
      <c r="C2406" t="s">
        <v>3222</v>
      </c>
      <c r="D2406" t="s">
        <v>3827</v>
      </c>
      <c r="E2406" s="1">
        <v>10.659000000000001</v>
      </c>
      <c r="F2406" s="1">
        <v>0.11</v>
      </c>
      <c r="G2406">
        <v>2</v>
      </c>
      <c r="H2406">
        <v>2</v>
      </c>
      <c r="I2406" t="s">
        <v>2703</v>
      </c>
      <c r="J2406" t="s">
        <v>1693</v>
      </c>
      <c r="K2406" s="39">
        <v>1.8663069999999999</v>
      </c>
      <c r="L2406" s="1">
        <v>3.5722640000000001</v>
      </c>
      <c r="M2406" s="1" t="s">
        <v>3829</v>
      </c>
      <c r="N2406" s="1">
        <v>989.34100000000001</v>
      </c>
      <c r="O2406" s="1">
        <f>ABS(Table4[[#This Row],[EndMP]]-Table4[[#This Row],[StartMP]])</f>
        <v>10.549000000000001</v>
      </c>
      <c r="P2406" s="1" t="str">
        <f>IF( AND( Table4[[#This Row],[Route]]=ClosureLocation!$B$3, ClosureLocation!$B$6 &gt;= Table4[[#This Row],[StartMP]], ClosureLocation!$B$6 &lt;= Table4[[#This Row],[EndMP]]), "Yes", "")</f>
        <v/>
      </c>
      <c r="Q2406" s="1" t="str">
        <f>IF( AND( Table4[[#This Row],[Route]]=ClosureLocation!$B$3, ClosureLocation!$B$6 &lt;= Table4[[#This Row],[StartMP]], ClosureLocation!$B$6 &gt;= Table4[[#This Row],[EndMP]]), "Yes", "")</f>
        <v/>
      </c>
      <c r="R2406" s="1" t="str">
        <f>IF( OR( Table4[[#This Row],[PrimaryMatch]]="Yes", Table4[[#This Row],[SecondaryMatch]]="Yes"), "Yes", "")</f>
        <v/>
      </c>
    </row>
    <row r="2407" spans="1:18" hidden="1" x14ac:dyDescent="0.25">
      <c r="A2407" t="s">
        <v>454</v>
      </c>
      <c r="B2407" t="s">
        <v>3209</v>
      </c>
      <c r="C2407" t="s">
        <v>3226</v>
      </c>
      <c r="D2407" t="s">
        <v>3532</v>
      </c>
      <c r="E2407" s="1">
        <v>36.533000000000001</v>
      </c>
      <c r="F2407" s="1">
        <v>35.005000000000003</v>
      </c>
      <c r="G2407">
        <v>8</v>
      </c>
      <c r="H2407">
        <v>4</v>
      </c>
      <c r="I2407" t="s">
        <v>2338</v>
      </c>
      <c r="J2407" t="s">
        <v>1701</v>
      </c>
      <c r="K2407" s="39">
        <v>1.8285389999999999</v>
      </c>
      <c r="L2407" s="1">
        <v>1.3397539999999999</v>
      </c>
      <c r="M2407" s="1" t="s">
        <v>3537</v>
      </c>
      <c r="N2407" s="1">
        <v>963.46699999999998</v>
      </c>
      <c r="O2407" s="1">
        <f>ABS(Table4[[#This Row],[EndMP]]-Table4[[#This Row],[StartMP]])</f>
        <v>1.5279999999999987</v>
      </c>
      <c r="P2407" s="1" t="str">
        <f>IF( AND( Table4[[#This Row],[Route]]=ClosureLocation!$B$3, ClosureLocation!$B$6 &gt;= Table4[[#This Row],[StartMP]], ClosureLocation!$B$6 &lt;= Table4[[#This Row],[EndMP]]), "Yes", "")</f>
        <v/>
      </c>
      <c r="Q2407" s="1" t="str">
        <f>IF( AND( Table4[[#This Row],[Route]]=ClosureLocation!$B$3, ClosureLocation!$B$6 &lt;= Table4[[#This Row],[StartMP]], ClosureLocation!$B$6 &gt;= Table4[[#This Row],[EndMP]]), "Yes", "")</f>
        <v/>
      </c>
      <c r="R2407" s="1" t="str">
        <f>IF( OR( Table4[[#This Row],[PrimaryMatch]]="Yes", Table4[[#This Row],[SecondaryMatch]]="Yes"), "Yes", "")</f>
        <v/>
      </c>
    </row>
    <row r="2408" spans="1:18" hidden="1" x14ac:dyDescent="0.25">
      <c r="A2408" t="s">
        <v>1072</v>
      </c>
      <c r="B2408" t="s">
        <v>3205</v>
      </c>
      <c r="C2408" t="s">
        <v>3222</v>
      </c>
      <c r="D2408" t="s">
        <v>3965</v>
      </c>
      <c r="E2408" s="1">
        <v>52.784999999999997</v>
      </c>
      <c r="F2408" s="1">
        <v>58.652999999999999</v>
      </c>
      <c r="G2408">
        <v>3</v>
      </c>
      <c r="H2408">
        <v>3</v>
      </c>
      <c r="I2408" t="s">
        <v>2842</v>
      </c>
      <c r="J2408" t="s">
        <v>1689</v>
      </c>
      <c r="K2408" s="39">
        <v>1.8043629999999999</v>
      </c>
      <c r="L2408" s="1">
        <v>5.205057</v>
      </c>
      <c r="M2408" s="1" t="s">
        <v>3968</v>
      </c>
      <c r="N2408" s="1">
        <v>52.784999999999997</v>
      </c>
      <c r="O2408" s="1">
        <f>ABS(Table4[[#This Row],[EndMP]]-Table4[[#This Row],[StartMP]])</f>
        <v>5.8680000000000021</v>
      </c>
      <c r="P2408" s="1" t="str">
        <f>IF( AND( Table4[[#This Row],[Route]]=ClosureLocation!$B$3, ClosureLocation!$B$6 &gt;= Table4[[#This Row],[StartMP]], ClosureLocation!$B$6 &lt;= Table4[[#This Row],[EndMP]]), "Yes", "")</f>
        <v/>
      </c>
      <c r="Q2408" s="1" t="str">
        <f>IF( AND( Table4[[#This Row],[Route]]=ClosureLocation!$B$3, ClosureLocation!$B$6 &lt;= Table4[[#This Row],[StartMP]], ClosureLocation!$B$6 &gt;= Table4[[#This Row],[EndMP]]), "Yes", "")</f>
        <v/>
      </c>
      <c r="R2408" s="1" t="str">
        <f>IF( OR( Table4[[#This Row],[PrimaryMatch]]="Yes", Table4[[#This Row],[SecondaryMatch]]="Yes"), "Yes", "")</f>
        <v/>
      </c>
    </row>
    <row r="2409" spans="1:18" hidden="1" x14ac:dyDescent="0.25">
      <c r="A2409" t="s">
        <v>1058</v>
      </c>
      <c r="B2409" t="s">
        <v>3209</v>
      </c>
      <c r="C2409" t="s">
        <v>3210</v>
      </c>
      <c r="D2409" t="s">
        <v>3952</v>
      </c>
      <c r="E2409" s="1">
        <v>18.849</v>
      </c>
      <c r="F2409" s="1">
        <v>17.422000000000001</v>
      </c>
      <c r="G2409">
        <v>1</v>
      </c>
      <c r="H2409">
        <v>4</v>
      </c>
      <c r="I2409" t="s">
        <v>2832</v>
      </c>
      <c r="J2409" t="s">
        <v>1693</v>
      </c>
      <c r="K2409" s="39">
        <v>1.7867599999999999</v>
      </c>
      <c r="L2409" s="1">
        <v>1.0774109999999999</v>
      </c>
      <c r="M2409" s="1" t="s">
        <v>3953</v>
      </c>
      <c r="N2409" s="1">
        <v>981.15099999999995</v>
      </c>
      <c r="O2409" s="1">
        <f>ABS(Table4[[#This Row],[EndMP]]-Table4[[#This Row],[StartMP]])</f>
        <v>1.4269999999999996</v>
      </c>
      <c r="P2409" s="1" t="str">
        <f>IF( AND( Table4[[#This Row],[Route]]=ClosureLocation!$B$3, ClosureLocation!$B$6 &gt;= Table4[[#This Row],[StartMP]], ClosureLocation!$B$6 &lt;= Table4[[#This Row],[EndMP]]), "Yes", "")</f>
        <v/>
      </c>
      <c r="Q2409" s="1" t="str">
        <f>IF( AND( Table4[[#This Row],[Route]]=ClosureLocation!$B$3, ClosureLocation!$B$6 &lt;= Table4[[#This Row],[StartMP]], ClosureLocation!$B$6 &gt;= Table4[[#This Row],[EndMP]]), "Yes", "")</f>
        <v/>
      </c>
      <c r="R2409" s="1" t="str">
        <f>IF( OR( Table4[[#This Row],[PrimaryMatch]]="Yes", Table4[[#This Row],[SecondaryMatch]]="Yes"), "Yes", "")</f>
        <v/>
      </c>
    </row>
    <row r="2410" spans="1:18" hidden="1" x14ac:dyDescent="0.25">
      <c r="A2410" t="s">
        <v>776</v>
      </c>
      <c r="B2410" t="s">
        <v>3209</v>
      </c>
      <c r="C2410" t="s">
        <v>3226</v>
      </c>
      <c r="D2410" t="s">
        <v>3749</v>
      </c>
      <c r="E2410" s="1">
        <v>262.25599999999997</v>
      </c>
      <c r="F2410" s="1">
        <v>261.70299999999997</v>
      </c>
      <c r="G2410">
        <v>23</v>
      </c>
      <c r="H2410">
        <v>76</v>
      </c>
      <c r="I2410" t="s">
        <v>2622</v>
      </c>
      <c r="J2410" t="s">
        <v>1694</v>
      </c>
      <c r="K2410" s="39">
        <v>1.7861830000000001</v>
      </c>
      <c r="L2410" s="1">
        <v>0.33959</v>
      </c>
      <c r="M2410" s="1" t="s">
        <v>4515</v>
      </c>
      <c r="N2410" s="1">
        <v>737.74400000000003</v>
      </c>
      <c r="O2410" s="1">
        <f>ABS(Table4[[#This Row],[EndMP]]-Table4[[#This Row],[StartMP]])</f>
        <v>0.55299999999999727</v>
      </c>
      <c r="P2410" s="1" t="str">
        <f>IF( AND( Table4[[#This Row],[Route]]=ClosureLocation!$B$3, ClosureLocation!$B$6 &gt;= Table4[[#This Row],[StartMP]], ClosureLocation!$B$6 &lt;= Table4[[#This Row],[EndMP]]), "Yes", "")</f>
        <v/>
      </c>
      <c r="Q2410" s="1" t="str">
        <f>IF( AND( Table4[[#This Row],[Route]]=ClosureLocation!$B$3, ClosureLocation!$B$6 &lt;= Table4[[#This Row],[StartMP]], ClosureLocation!$B$6 &gt;= Table4[[#This Row],[EndMP]]), "Yes", "")</f>
        <v/>
      </c>
      <c r="R2410" s="1" t="str">
        <f>IF( OR( Table4[[#This Row],[PrimaryMatch]]="Yes", Table4[[#This Row],[SecondaryMatch]]="Yes"), "Yes", "")</f>
        <v/>
      </c>
    </row>
    <row r="2411" spans="1:18" hidden="1" x14ac:dyDescent="0.25">
      <c r="A2411" t="s">
        <v>1516</v>
      </c>
      <c r="B2411" t="s">
        <v>3205</v>
      </c>
      <c r="C2411" t="s">
        <v>3206</v>
      </c>
      <c r="D2411" t="s">
        <v>4285</v>
      </c>
      <c r="E2411" s="1">
        <v>339.12799999999999</v>
      </c>
      <c r="F2411" s="1">
        <v>385.22300000000001</v>
      </c>
      <c r="G2411">
        <v>11</v>
      </c>
      <c r="H2411">
        <v>1</v>
      </c>
      <c r="I2411" t="s">
        <v>3107</v>
      </c>
      <c r="J2411" t="s">
        <v>1700</v>
      </c>
      <c r="K2411" s="39">
        <v>1.7819990000000001</v>
      </c>
      <c r="L2411" s="1">
        <v>25.336919999999999</v>
      </c>
      <c r="M2411" s="58" t="s">
        <v>5030</v>
      </c>
      <c r="N2411" s="1">
        <v>339.12799999999999</v>
      </c>
      <c r="O2411" s="1">
        <f>ABS(Table4[[#This Row],[EndMP]]-Table4[[#This Row],[StartMP]])</f>
        <v>46.095000000000027</v>
      </c>
      <c r="P2411" s="1" t="str">
        <f>IF( AND( Table4[[#This Row],[Route]]=ClosureLocation!$B$3, ClosureLocation!$B$6 &gt;= Table4[[#This Row],[StartMP]], ClosureLocation!$B$6 &lt;= Table4[[#This Row],[EndMP]]), "Yes", "")</f>
        <v/>
      </c>
      <c r="Q2411" s="1" t="str">
        <f>IF( AND( Table4[[#This Row],[Route]]=ClosureLocation!$B$3, ClosureLocation!$B$6 &lt;= Table4[[#This Row],[StartMP]], ClosureLocation!$B$6 &gt;= Table4[[#This Row],[EndMP]]), "Yes", "")</f>
        <v/>
      </c>
      <c r="R2411" s="1" t="str">
        <f>IF( OR( Table4[[#This Row],[PrimaryMatch]]="Yes", Table4[[#This Row],[SecondaryMatch]]="Yes"), "Yes", "")</f>
        <v/>
      </c>
    </row>
    <row r="2412" spans="1:18" hidden="1" x14ac:dyDescent="0.25">
      <c r="A2412" t="s">
        <v>12</v>
      </c>
      <c r="B2412" t="s">
        <v>3209</v>
      </c>
      <c r="C2412" t="s">
        <v>3210</v>
      </c>
      <c r="D2412" t="s">
        <v>3218</v>
      </c>
      <c r="E2412" s="1">
        <v>8.59</v>
      </c>
      <c r="F2412" s="1">
        <v>2.1459999999999999</v>
      </c>
      <c r="G2412">
        <v>2</v>
      </c>
      <c r="H2412">
        <v>6</v>
      </c>
      <c r="I2412" t="s">
        <v>2054</v>
      </c>
      <c r="J2412" t="s">
        <v>1696</v>
      </c>
      <c r="K2412" s="39">
        <v>1.7769569999999999</v>
      </c>
      <c r="L2412" s="1">
        <v>5.2036509999999998</v>
      </c>
      <c r="M2412" s="1" t="s">
        <v>3220</v>
      </c>
      <c r="N2412" s="1">
        <v>991.41</v>
      </c>
      <c r="O2412" s="1">
        <f>ABS(Table4[[#This Row],[EndMP]]-Table4[[#This Row],[StartMP]])</f>
        <v>6.444</v>
      </c>
      <c r="P2412" s="1" t="str">
        <f>IF( AND( Table4[[#This Row],[Route]]=ClosureLocation!$B$3, ClosureLocation!$B$6 &gt;= Table4[[#This Row],[StartMP]], ClosureLocation!$B$6 &lt;= Table4[[#This Row],[EndMP]]), "Yes", "")</f>
        <v/>
      </c>
      <c r="Q2412" s="1" t="str">
        <f>IF( AND( Table4[[#This Row],[Route]]=ClosureLocation!$B$3, ClosureLocation!$B$6 &lt;= Table4[[#This Row],[StartMP]], ClosureLocation!$B$6 &gt;= Table4[[#This Row],[EndMP]]), "Yes", "")</f>
        <v/>
      </c>
      <c r="R2412" s="1" t="str">
        <f>IF( OR( Table4[[#This Row],[PrimaryMatch]]="Yes", Table4[[#This Row],[SecondaryMatch]]="Yes"), "Yes", "")</f>
        <v/>
      </c>
    </row>
    <row r="2413" spans="1:18" hidden="1" x14ac:dyDescent="0.25">
      <c r="A2413" t="s">
        <v>776</v>
      </c>
      <c r="B2413" t="s">
        <v>3205</v>
      </c>
      <c r="C2413" t="s">
        <v>3222</v>
      </c>
      <c r="D2413" t="s">
        <v>3748</v>
      </c>
      <c r="E2413" s="1">
        <v>256.27699999999999</v>
      </c>
      <c r="F2413" s="1">
        <v>258.49099999999999</v>
      </c>
      <c r="G2413">
        <v>29</v>
      </c>
      <c r="H2413">
        <v>29</v>
      </c>
      <c r="I2413" t="s">
        <v>2574</v>
      </c>
      <c r="J2413" t="s">
        <v>1694</v>
      </c>
      <c r="K2413" s="39">
        <v>1.772681</v>
      </c>
      <c r="L2413" s="1">
        <v>0.50865499999999997</v>
      </c>
      <c r="M2413" s="1" t="s">
        <v>4476</v>
      </c>
      <c r="N2413" s="1">
        <v>256.27699999999999</v>
      </c>
      <c r="O2413" s="1">
        <f>ABS(Table4[[#This Row],[EndMP]]-Table4[[#This Row],[StartMP]])</f>
        <v>2.2139999999999986</v>
      </c>
      <c r="P2413" s="1" t="str">
        <f>IF( AND( Table4[[#This Row],[Route]]=ClosureLocation!$B$3, ClosureLocation!$B$6 &gt;= Table4[[#This Row],[StartMP]], ClosureLocation!$B$6 &lt;= Table4[[#This Row],[EndMP]]), "Yes", "")</f>
        <v/>
      </c>
      <c r="Q2413" s="1" t="str">
        <f>IF( AND( Table4[[#This Row],[Route]]=ClosureLocation!$B$3, ClosureLocation!$B$6 &lt;= Table4[[#This Row],[StartMP]], ClosureLocation!$B$6 &gt;= Table4[[#This Row],[EndMP]]), "Yes", "")</f>
        <v/>
      </c>
      <c r="R2413" s="1" t="str">
        <f>IF( OR( Table4[[#This Row],[PrimaryMatch]]="Yes", Table4[[#This Row],[SecondaryMatch]]="Yes"), "Yes", "")</f>
        <v/>
      </c>
    </row>
    <row r="2414" spans="1:18" hidden="1" x14ac:dyDescent="0.25">
      <c r="A2414" t="s">
        <v>1516</v>
      </c>
      <c r="B2414" t="s">
        <v>3209</v>
      </c>
      <c r="C2414" t="s">
        <v>3210</v>
      </c>
      <c r="D2414" t="s">
        <v>4296</v>
      </c>
      <c r="E2414" s="1">
        <v>385.22300000000001</v>
      </c>
      <c r="F2414" s="1">
        <v>339.12799999999999</v>
      </c>
      <c r="G2414">
        <v>1</v>
      </c>
      <c r="H2414">
        <v>2</v>
      </c>
      <c r="I2414" t="s">
        <v>3108</v>
      </c>
      <c r="J2414" t="s">
        <v>1700</v>
      </c>
      <c r="K2414" s="39">
        <v>1.768634</v>
      </c>
      <c r="L2414" s="1">
        <v>25.227461000000002</v>
      </c>
      <c r="M2414" s="58" t="s">
        <v>5031</v>
      </c>
      <c r="N2414" s="1">
        <v>614.77700000000004</v>
      </c>
      <c r="O2414" s="1">
        <f>ABS(Table4[[#This Row],[EndMP]]-Table4[[#This Row],[StartMP]])</f>
        <v>46.095000000000027</v>
      </c>
      <c r="P2414" s="1" t="str">
        <f>IF( AND( Table4[[#This Row],[Route]]=ClosureLocation!$B$3, ClosureLocation!$B$6 &gt;= Table4[[#This Row],[StartMP]], ClosureLocation!$B$6 &lt;= Table4[[#This Row],[EndMP]]), "Yes", "")</f>
        <v/>
      </c>
      <c r="Q2414" s="1" t="str">
        <f>IF( AND( Table4[[#This Row],[Route]]=ClosureLocation!$B$3, ClosureLocation!$B$6 &lt;= Table4[[#This Row],[StartMP]], ClosureLocation!$B$6 &gt;= Table4[[#This Row],[EndMP]]), "Yes", "")</f>
        <v/>
      </c>
      <c r="R2414" s="1" t="str">
        <f>IF( OR( Table4[[#This Row],[PrimaryMatch]]="Yes", Table4[[#This Row],[SecondaryMatch]]="Yes"), "Yes", "")</f>
        <v/>
      </c>
    </row>
    <row r="2415" spans="1:18" hidden="1" x14ac:dyDescent="0.25">
      <c r="A2415" t="s">
        <v>1014</v>
      </c>
      <c r="B2415" t="s">
        <v>3205</v>
      </c>
      <c r="C2415" t="s">
        <v>3206</v>
      </c>
      <c r="D2415" t="s">
        <v>3907</v>
      </c>
      <c r="E2415" s="1">
        <v>267.178</v>
      </c>
      <c r="F2415" s="1">
        <v>270.11</v>
      </c>
      <c r="G2415">
        <v>2</v>
      </c>
      <c r="H2415">
        <v>3</v>
      </c>
      <c r="I2415" t="s">
        <v>2798</v>
      </c>
      <c r="J2415" t="s">
        <v>1694</v>
      </c>
      <c r="K2415" s="39">
        <v>1.747584</v>
      </c>
      <c r="L2415" s="1">
        <v>0.34479300000000002</v>
      </c>
      <c r="M2415" s="1" t="s">
        <v>4994</v>
      </c>
      <c r="N2415" s="1">
        <v>267.178</v>
      </c>
      <c r="O2415" s="1">
        <f>ABS(Table4[[#This Row],[EndMP]]-Table4[[#This Row],[StartMP]])</f>
        <v>2.9320000000000164</v>
      </c>
      <c r="P2415" s="1" t="str">
        <f>IF( AND( Table4[[#This Row],[Route]]=ClosureLocation!$B$3, ClosureLocation!$B$6 &gt;= Table4[[#This Row],[StartMP]], ClosureLocation!$B$6 &lt;= Table4[[#This Row],[EndMP]]), "Yes", "")</f>
        <v/>
      </c>
      <c r="Q2415" s="1" t="str">
        <f>IF( AND( Table4[[#This Row],[Route]]=ClosureLocation!$B$3, ClosureLocation!$B$6 &lt;= Table4[[#This Row],[StartMP]], ClosureLocation!$B$6 &gt;= Table4[[#This Row],[EndMP]]), "Yes", "")</f>
        <v/>
      </c>
      <c r="R2415" s="1" t="str">
        <f>IF( OR( Table4[[#This Row],[PrimaryMatch]]="Yes", Table4[[#This Row],[SecondaryMatch]]="Yes"), "Yes", "")</f>
        <v/>
      </c>
    </row>
    <row r="2416" spans="1:18" hidden="1" x14ac:dyDescent="0.25">
      <c r="A2416" t="s">
        <v>252</v>
      </c>
      <c r="B2416" t="s">
        <v>3209</v>
      </c>
      <c r="C2416" t="s">
        <v>3226</v>
      </c>
      <c r="D2416" t="s">
        <v>3398</v>
      </c>
      <c r="E2416" s="1">
        <v>298.95600000000002</v>
      </c>
      <c r="F2416" s="1">
        <v>296.97000000000003</v>
      </c>
      <c r="G2416">
        <v>3</v>
      </c>
      <c r="H2416">
        <v>7</v>
      </c>
      <c r="I2416" t="s">
        <v>2185</v>
      </c>
      <c r="J2416" t="s">
        <v>1702</v>
      </c>
      <c r="K2416" s="39">
        <v>1.7463740000000001</v>
      </c>
      <c r="L2416" s="1">
        <v>0.28179300000000002</v>
      </c>
      <c r="M2416" s="1" t="s">
        <v>286</v>
      </c>
      <c r="N2416" s="1">
        <v>701.04399999999998</v>
      </c>
      <c r="O2416" s="1">
        <f>ABS(Table4[[#This Row],[EndMP]]-Table4[[#This Row],[StartMP]])</f>
        <v>1.98599999999999</v>
      </c>
      <c r="P2416" s="1" t="str">
        <f>IF( AND( Table4[[#This Row],[Route]]=ClosureLocation!$B$3, ClosureLocation!$B$6 &gt;= Table4[[#This Row],[StartMP]], ClosureLocation!$B$6 &lt;= Table4[[#This Row],[EndMP]]), "Yes", "")</f>
        <v/>
      </c>
      <c r="Q2416" s="1" t="str">
        <f>IF( AND( Table4[[#This Row],[Route]]=ClosureLocation!$B$3, ClosureLocation!$B$6 &lt;= Table4[[#This Row],[StartMP]], ClosureLocation!$B$6 &gt;= Table4[[#This Row],[EndMP]]), "Yes", "")</f>
        <v/>
      </c>
      <c r="R2416" s="1" t="str">
        <f>IF( OR( Table4[[#This Row],[PrimaryMatch]]="Yes", Table4[[#This Row],[SecondaryMatch]]="Yes"), "Yes", "")</f>
        <v/>
      </c>
    </row>
    <row r="2417" spans="1:18" hidden="1" x14ac:dyDescent="0.25">
      <c r="A2417" t="s">
        <v>1180</v>
      </c>
      <c r="B2417" t="s">
        <v>3209</v>
      </c>
      <c r="C2417" t="s">
        <v>3210</v>
      </c>
      <c r="D2417" t="s">
        <v>4044</v>
      </c>
      <c r="E2417" s="1">
        <v>25.881</v>
      </c>
      <c r="F2417" s="1">
        <v>17.04</v>
      </c>
      <c r="G2417">
        <v>2</v>
      </c>
      <c r="H2417">
        <v>6</v>
      </c>
      <c r="I2417" t="s">
        <v>2901</v>
      </c>
      <c r="J2417" t="s">
        <v>1708</v>
      </c>
      <c r="K2417" s="39">
        <v>1.7354510000000001</v>
      </c>
      <c r="L2417" s="1">
        <v>1.4334629999999999</v>
      </c>
      <c r="M2417" s="1" t="s">
        <v>4046</v>
      </c>
      <c r="N2417" s="1">
        <v>974.11900000000003</v>
      </c>
      <c r="O2417" s="1">
        <f>ABS(Table4[[#This Row],[EndMP]]-Table4[[#This Row],[StartMP]])</f>
        <v>8.8410000000000011</v>
      </c>
      <c r="P2417" s="1" t="str">
        <f>IF( AND( Table4[[#This Row],[Route]]=ClosureLocation!$B$3, ClosureLocation!$B$6 &gt;= Table4[[#This Row],[StartMP]], ClosureLocation!$B$6 &lt;= Table4[[#This Row],[EndMP]]), "Yes", "")</f>
        <v/>
      </c>
      <c r="Q2417" s="1" t="str">
        <f>IF( AND( Table4[[#This Row],[Route]]=ClosureLocation!$B$3, ClosureLocation!$B$6 &lt;= Table4[[#This Row],[StartMP]], ClosureLocation!$B$6 &gt;= Table4[[#This Row],[EndMP]]), "Yes", "")</f>
        <v/>
      </c>
      <c r="R2417" s="1" t="str">
        <f>IF( OR( Table4[[#This Row],[PrimaryMatch]]="Yes", Table4[[#This Row],[SecondaryMatch]]="Yes"), "Yes", "")</f>
        <v/>
      </c>
    </row>
    <row r="2418" spans="1:18" hidden="1" x14ac:dyDescent="0.25">
      <c r="A2418" t="s">
        <v>776</v>
      </c>
      <c r="B2418" t="s">
        <v>3205</v>
      </c>
      <c r="C2418" t="s">
        <v>3222</v>
      </c>
      <c r="D2418" t="s">
        <v>3748</v>
      </c>
      <c r="E2418" s="1">
        <v>362.01</v>
      </c>
      <c r="F2418" s="1">
        <v>362.81799999999998</v>
      </c>
      <c r="G2418">
        <v>46</v>
      </c>
      <c r="H2418">
        <v>46</v>
      </c>
      <c r="I2418" t="s">
        <v>2591</v>
      </c>
      <c r="J2418" t="s">
        <v>1694</v>
      </c>
      <c r="K2418" s="39">
        <v>1.7338309999999999</v>
      </c>
      <c r="L2418" s="1">
        <v>0.14710200000000001</v>
      </c>
      <c r="M2418" s="1" t="s">
        <v>4490</v>
      </c>
      <c r="N2418" s="1">
        <v>362.01</v>
      </c>
      <c r="O2418" s="1">
        <f>ABS(Table4[[#This Row],[EndMP]]-Table4[[#This Row],[StartMP]])</f>
        <v>0.80799999999999272</v>
      </c>
      <c r="P2418" s="1" t="str">
        <f>IF( AND( Table4[[#This Row],[Route]]=ClosureLocation!$B$3, ClosureLocation!$B$6 &gt;= Table4[[#This Row],[StartMP]], ClosureLocation!$B$6 &lt;= Table4[[#This Row],[EndMP]]), "Yes", "")</f>
        <v/>
      </c>
      <c r="Q2418" s="1" t="str">
        <f>IF( AND( Table4[[#This Row],[Route]]=ClosureLocation!$B$3, ClosureLocation!$B$6 &lt;= Table4[[#This Row],[StartMP]], ClosureLocation!$B$6 &gt;= Table4[[#This Row],[EndMP]]), "Yes", "")</f>
        <v/>
      </c>
      <c r="R2418" s="1" t="str">
        <f>IF( OR( Table4[[#This Row],[PrimaryMatch]]="Yes", Table4[[#This Row],[SecondaryMatch]]="Yes"), "Yes", "")</f>
        <v/>
      </c>
    </row>
    <row r="2419" spans="1:18" hidden="1" x14ac:dyDescent="0.25">
      <c r="A2419" t="s">
        <v>485</v>
      </c>
      <c r="B2419" t="s">
        <v>3209</v>
      </c>
      <c r="C2419" t="s">
        <v>3226</v>
      </c>
      <c r="D2419" t="s">
        <v>3548</v>
      </c>
      <c r="E2419" s="1">
        <v>91.335999999999999</v>
      </c>
      <c r="F2419" s="1">
        <v>89.21</v>
      </c>
      <c r="H2419">
        <v>2</v>
      </c>
      <c r="I2419" t="s">
        <v>2351</v>
      </c>
      <c r="J2419" t="s">
        <v>1707</v>
      </c>
      <c r="K2419" s="39">
        <v>1.7310669999999999</v>
      </c>
      <c r="L2419" s="1">
        <v>1.3507439999999999</v>
      </c>
      <c r="M2419" s="1" t="s">
        <v>3552</v>
      </c>
      <c r="N2419" s="1">
        <v>908.66399999999999</v>
      </c>
      <c r="O2419" s="1">
        <f>ABS(Table4[[#This Row],[EndMP]]-Table4[[#This Row],[StartMP]])</f>
        <v>2.1260000000000048</v>
      </c>
      <c r="P2419" s="1" t="str">
        <f>IF( AND( Table4[[#This Row],[Route]]=ClosureLocation!$B$3, ClosureLocation!$B$6 &gt;= Table4[[#This Row],[StartMP]], ClosureLocation!$B$6 &lt;= Table4[[#This Row],[EndMP]]), "Yes", "")</f>
        <v/>
      </c>
      <c r="Q2419" s="1" t="str">
        <f>IF( AND( Table4[[#This Row],[Route]]=ClosureLocation!$B$3, ClosureLocation!$B$6 &lt;= Table4[[#This Row],[StartMP]], ClosureLocation!$B$6 &gt;= Table4[[#This Row],[EndMP]]), "Yes", "")</f>
        <v/>
      </c>
      <c r="R2419" s="1" t="str">
        <f>IF( OR( Table4[[#This Row],[PrimaryMatch]]="Yes", Table4[[#This Row],[SecondaryMatch]]="Yes"), "Yes", "")</f>
        <v/>
      </c>
    </row>
    <row r="2420" spans="1:18" hidden="1" x14ac:dyDescent="0.25">
      <c r="A2420" t="s">
        <v>1462</v>
      </c>
      <c r="B2420" t="s">
        <v>3205</v>
      </c>
      <c r="C2420" t="s">
        <v>3222</v>
      </c>
      <c r="D2420" t="s">
        <v>4224</v>
      </c>
      <c r="E2420" s="1">
        <v>0</v>
      </c>
      <c r="F2420" s="1">
        <v>0.06</v>
      </c>
      <c r="G2420">
        <v>1</v>
      </c>
      <c r="H2420">
        <v>1</v>
      </c>
      <c r="I2420" t="s">
        <v>3036</v>
      </c>
      <c r="J2420" t="s">
        <v>1691</v>
      </c>
      <c r="K2420" s="39">
        <v>1.7065969999999999</v>
      </c>
      <c r="L2420" s="1">
        <v>1.20936</v>
      </c>
      <c r="M2420" s="1" t="s">
        <v>4225</v>
      </c>
      <c r="N2420" s="1">
        <v>0</v>
      </c>
      <c r="O2420" s="1">
        <f>ABS(Table4[[#This Row],[EndMP]]-Table4[[#This Row],[StartMP]])</f>
        <v>0.06</v>
      </c>
      <c r="P2420" s="1" t="str">
        <f>IF( AND( Table4[[#This Row],[Route]]=ClosureLocation!$B$3, ClosureLocation!$B$6 &gt;= Table4[[#This Row],[StartMP]], ClosureLocation!$B$6 &lt;= Table4[[#This Row],[EndMP]]), "Yes", "")</f>
        <v/>
      </c>
      <c r="Q2420" s="1" t="str">
        <f>IF( AND( Table4[[#This Row],[Route]]=ClosureLocation!$B$3, ClosureLocation!$B$6 &lt;= Table4[[#This Row],[StartMP]], ClosureLocation!$B$6 &gt;= Table4[[#This Row],[EndMP]]), "Yes", "")</f>
        <v/>
      </c>
      <c r="R2420" s="1" t="str">
        <f>IF( OR( Table4[[#This Row],[PrimaryMatch]]="Yes", Table4[[#This Row],[SecondaryMatch]]="Yes"), "Yes", "")</f>
        <v/>
      </c>
    </row>
    <row r="2421" spans="1:18" hidden="1" x14ac:dyDescent="0.25">
      <c r="A2421" t="s">
        <v>1014</v>
      </c>
      <c r="B2421" t="s">
        <v>3209</v>
      </c>
      <c r="C2421" t="s">
        <v>3210</v>
      </c>
      <c r="D2421" t="s">
        <v>3909</v>
      </c>
      <c r="E2421" s="1">
        <v>270.52499999999998</v>
      </c>
      <c r="F2421" s="1">
        <v>267.178</v>
      </c>
      <c r="G2421">
        <v>2</v>
      </c>
      <c r="H2421">
        <v>6</v>
      </c>
      <c r="I2421" t="s">
        <v>2801</v>
      </c>
      <c r="J2421" t="s">
        <v>1694</v>
      </c>
      <c r="K2421" s="39">
        <v>1.683676</v>
      </c>
      <c r="L2421" s="1">
        <v>0.31193100000000001</v>
      </c>
      <c r="M2421" s="1" t="s">
        <v>4998</v>
      </c>
      <c r="N2421" s="1">
        <v>729.47500000000002</v>
      </c>
      <c r="O2421" s="1">
        <f>ABS(Table4[[#This Row],[EndMP]]-Table4[[#This Row],[StartMP]])</f>
        <v>3.34699999999998</v>
      </c>
      <c r="P2421" s="1" t="str">
        <f>IF( AND( Table4[[#This Row],[Route]]=ClosureLocation!$B$3, ClosureLocation!$B$6 &gt;= Table4[[#This Row],[StartMP]], ClosureLocation!$B$6 &lt;= Table4[[#This Row],[EndMP]]), "Yes", "")</f>
        <v/>
      </c>
      <c r="Q2421" s="1" t="str">
        <f>IF( AND( Table4[[#This Row],[Route]]=ClosureLocation!$B$3, ClosureLocation!$B$6 &lt;= Table4[[#This Row],[StartMP]], ClosureLocation!$B$6 &gt;= Table4[[#This Row],[EndMP]]), "Yes", "")</f>
        <v/>
      </c>
      <c r="R2421" s="1" t="str">
        <f>IF( OR( Table4[[#This Row],[PrimaryMatch]]="Yes", Table4[[#This Row],[SecondaryMatch]]="Yes"), "Yes", "")</f>
        <v/>
      </c>
    </row>
    <row r="2422" spans="1:18" hidden="1" x14ac:dyDescent="0.25">
      <c r="A2422" t="s">
        <v>252</v>
      </c>
      <c r="B2422" t="s">
        <v>3205</v>
      </c>
      <c r="C2422" t="s">
        <v>3222</v>
      </c>
      <c r="D2422" t="s">
        <v>3393</v>
      </c>
      <c r="E2422" s="1">
        <v>296.97000000000003</v>
      </c>
      <c r="F2422" s="1">
        <v>298.95600000000002</v>
      </c>
      <c r="G2422">
        <v>5</v>
      </c>
      <c r="H2422">
        <v>3</v>
      </c>
      <c r="I2422" t="s">
        <v>2181</v>
      </c>
      <c r="J2422" t="s">
        <v>1702</v>
      </c>
      <c r="K2422" s="39">
        <v>1.6537759999999999</v>
      </c>
      <c r="L2422" s="1">
        <v>0.26049299999999997</v>
      </c>
      <c r="M2422" s="1" t="s">
        <v>286</v>
      </c>
      <c r="N2422" s="1">
        <v>296.97000000000003</v>
      </c>
      <c r="O2422" s="1">
        <f>ABS(Table4[[#This Row],[EndMP]]-Table4[[#This Row],[StartMP]])</f>
        <v>1.98599999999999</v>
      </c>
      <c r="P2422" s="1" t="str">
        <f>IF( AND( Table4[[#This Row],[Route]]=ClosureLocation!$B$3, ClosureLocation!$B$6 &gt;= Table4[[#This Row],[StartMP]], ClosureLocation!$B$6 &lt;= Table4[[#This Row],[EndMP]]), "Yes", "")</f>
        <v/>
      </c>
      <c r="Q2422" s="1" t="str">
        <f>IF( AND( Table4[[#This Row],[Route]]=ClosureLocation!$B$3, ClosureLocation!$B$6 &lt;= Table4[[#This Row],[StartMP]], ClosureLocation!$B$6 &gt;= Table4[[#This Row],[EndMP]]), "Yes", "")</f>
        <v/>
      </c>
      <c r="R2422" s="1" t="str">
        <f>IF( OR( Table4[[#This Row],[PrimaryMatch]]="Yes", Table4[[#This Row],[SecondaryMatch]]="Yes"), "Yes", "")</f>
        <v/>
      </c>
    </row>
    <row r="2423" spans="1:18" hidden="1" x14ac:dyDescent="0.25">
      <c r="A2423" t="s">
        <v>252</v>
      </c>
      <c r="B2423" t="s">
        <v>3205</v>
      </c>
      <c r="C2423" t="s">
        <v>3222</v>
      </c>
      <c r="D2423" t="s">
        <v>3393</v>
      </c>
      <c r="E2423" s="1">
        <v>299.21699999999998</v>
      </c>
      <c r="F2423" s="1">
        <v>300.43700000000001</v>
      </c>
      <c r="G2423">
        <v>6</v>
      </c>
      <c r="H2423">
        <v>4</v>
      </c>
      <c r="I2423" t="s">
        <v>2182</v>
      </c>
      <c r="J2423" t="s">
        <v>1702</v>
      </c>
      <c r="K2423" s="39">
        <v>1.653448</v>
      </c>
      <c r="L2423" s="1">
        <v>0.374085</v>
      </c>
      <c r="M2423" s="1" t="s">
        <v>286</v>
      </c>
      <c r="N2423" s="1">
        <v>299.21699999999998</v>
      </c>
      <c r="O2423" s="1">
        <f>ABS(Table4[[#This Row],[EndMP]]-Table4[[#This Row],[StartMP]])</f>
        <v>1.2200000000000273</v>
      </c>
      <c r="P2423" s="1" t="str">
        <f>IF( AND( Table4[[#This Row],[Route]]=ClosureLocation!$B$3, ClosureLocation!$B$6 &gt;= Table4[[#This Row],[StartMP]], ClosureLocation!$B$6 &lt;= Table4[[#This Row],[EndMP]]), "Yes", "")</f>
        <v/>
      </c>
      <c r="Q2423" s="1" t="str">
        <f>IF( AND( Table4[[#This Row],[Route]]=ClosureLocation!$B$3, ClosureLocation!$B$6 &lt;= Table4[[#This Row],[StartMP]], ClosureLocation!$B$6 &gt;= Table4[[#This Row],[EndMP]]), "Yes", "")</f>
        <v/>
      </c>
      <c r="R2423" s="1" t="str">
        <f>IF( OR( Table4[[#This Row],[PrimaryMatch]]="Yes", Table4[[#This Row],[SecondaryMatch]]="Yes"), "Yes", "")</f>
        <v/>
      </c>
    </row>
    <row r="2424" spans="1:18" hidden="1" x14ac:dyDescent="0.25">
      <c r="A2424" t="s">
        <v>602</v>
      </c>
      <c r="B2424" t="s">
        <v>3205</v>
      </c>
      <c r="C2424" t="s">
        <v>3222</v>
      </c>
      <c r="D2424" t="s">
        <v>3612</v>
      </c>
      <c r="E2424" s="1">
        <v>31.76</v>
      </c>
      <c r="F2424" s="1">
        <v>31.827000000000002</v>
      </c>
      <c r="G2424">
        <v>1</v>
      </c>
      <c r="H2424">
        <v>1</v>
      </c>
      <c r="I2424" t="s">
        <v>2408</v>
      </c>
      <c r="J2424" t="s">
        <v>1700</v>
      </c>
      <c r="K2424" s="39">
        <v>1.638077</v>
      </c>
      <c r="L2424" s="1">
        <v>0.90802099999999997</v>
      </c>
      <c r="M2424" s="1" t="s">
        <v>3613</v>
      </c>
      <c r="N2424" s="1">
        <v>31.76</v>
      </c>
      <c r="O2424" s="1">
        <f>ABS(Table4[[#This Row],[EndMP]]-Table4[[#This Row],[StartMP]])</f>
        <v>6.7000000000000171E-2</v>
      </c>
      <c r="P2424" s="1" t="str">
        <f>IF( AND( Table4[[#This Row],[Route]]=ClosureLocation!$B$3, ClosureLocation!$B$6 &gt;= Table4[[#This Row],[StartMP]], ClosureLocation!$B$6 &lt;= Table4[[#This Row],[EndMP]]), "Yes", "")</f>
        <v/>
      </c>
      <c r="Q2424" s="1" t="str">
        <f>IF( AND( Table4[[#This Row],[Route]]=ClosureLocation!$B$3, ClosureLocation!$B$6 &lt;= Table4[[#This Row],[StartMP]], ClosureLocation!$B$6 &gt;= Table4[[#This Row],[EndMP]]), "Yes", "")</f>
        <v/>
      </c>
      <c r="R2424" s="1" t="str">
        <f>IF( OR( Table4[[#This Row],[PrimaryMatch]]="Yes", Table4[[#This Row],[SecondaryMatch]]="Yes"), "Yes", "")</f>
        <v/>
      </c>
    </row>
    <row r="2425" spans="1:18" hidden="1" x14ac:dyDescent="0.25">
      <c r="A2425" t="s">
        <v>292</v>
      </c>
      <c r="B2425" t="s">
        <v>3209</v>
      </c>
      <c r="C2425" t="s">
        <v>3226</v>
      </c>
      <c r="D2425" t="s">
        <v>3415</v>
      </c>
      <c r="E2425" s="1">
        <v>379.1</v>
      </c>
      <c r="F2425" s="1">
        <v>377.66800000000001</v>
      </c>
      <c r="G2425">
        <v>1</v>
      </c>
      <c r="H2425">
        <v>2</v>
      </c>
      <c r="I2425" t="s">
        <v>2198</v>
      </c>
      <c r="J2425" t="s">
        <v>1704</v>
      </c>
      <c r="K2425" s="39">
        <v>1.632668</v>
      </c>
      <c r="L2425" s="1">
        <v>1.9752130000000001</v>
      </c>
      <c r="M2425" s="1" t="s">
        <v>3416</v>
      </c>
      <c r="N2425" s="1">
        <v>620.9</v>
      </c>
      <c r="O2425" s="1">
        <f>ABS(Table4[[#This Row],[EndMP]]-Table4[[#This Row],[StartMP]])</f>
        <v>1.4320000000000164</v>
      </c>
      <c r="P2425" s="1" t="str">
        <f>IF( AND( Table4[[#This Row],[Route]]=ClosureLocation!$B$3, ClosureLocation!$B$6 &gt;= Table4[[#This Row],[StartMP]], ClosureLocation!$B$6 &lt;= Table4[[#This Row],[EndMP]]), "Yes", "")</f>
        <v/>
      </c>
      <c r="Q2425" s="1" t="str">
        <f>IF( AND( Table4[[#This Row],[Route]]=ClosureLocation!$B$3, ClosureLocation!$B$6 &lt;= Table4[[#This Row],[StartMP]], ClosureLocation!$B$6 &gt;= Table4[[#This Row],[EndMP]]), "Yes", "")</f>
        <v/>
      </c>
      <c r="R2425" s="1" t="str">
        <f>IF( OR( Table4[[#This Row],[PrimaryMatch]]="Yes", Table4[[#This Row],[SecondaryMatch]]="Yes"), "Yes", "")</f>
        <v/>
      </c>
    </row>
    <row r="2426" spans="1:18" hidden="1" x14ac:dyDescent="0.25">
      <c r="A2426" t="s">
        <v>384</v>
      </c>
      <c r="B2426" t="s">
        <v>3209</v>
      </c>
      <c r="C2426" t="s">
        <v>3226</v>
      </c>
      <c r="D2426" t="s">
        <v>3469</v>
      </c>
      <c r="E2426" s="1">
        <v>14.06</v>
      </c>
      <c r="F2426" s="1">
        <v>11.17</v>
      </c>
      <c r="G2426">
        <v>1</v>
      </c>
      <c r="H2426">
        <v>2</v>
      </c>
      <c r="I2426" t="s">
        <v>2282</v>
      </c>
      <c r="J2426" t="s">
        <v>1690</v>
      </c>
      <c r="K2426" s="39">
        <v>1.5990340000000001</v>
      </c>
      <c r="L2426" s="1">
        <v>1.885435</v>
      </c>
      <c r="M2426" s="1" t="s">
        <v>3470</v>
      </c>
      <c r="N2426" s="1">
        <v>985.94</v>
      </c>
      <c r="O2426" s="1">
        <f>ABS(Table4[[#This Row],[EndMP]]-Table4[[#This Row],[StartMP]])</f>
        <v>2.8900000000000006</v>
      </c>
      <c r="P2426" s="1" t="str">
        <f>IF( AND( Table4[[#This Row],[Route]]=ClosureLocation!$B$3, ClosureLocation!$B$6 &gt;= Table4[[#This Row],[StartMP]], ClosureLocation!$B$6 &lt;= Table4[[#This Row],[EndMP]]), "Yes", "")</f>
        <v/>
      </c>
      <c r="Q2426" s="1" t="str">
        <f>IF( AND( Table4[[#This Row],[Route]]=ClosureLocation!$B$3, ClosureLocation!$B$6 &lt;= Table4[[#This Row],[StartMP]], ClosureLocation!$B$6 &gt;= Table4[[#This Row],[EndMP]]), "Yes", "")</f>
        <v/>
      </c>
      <c r="R2426" s="1" t="str">
        <f>IF( OR( Table4[[#This Row],[PrimaryMatch]]="Yes", Table4[[#This Row],[SecondaryMatch]]="Yes"), "Yes", "")</f>
        <v/>
      </c>
    </row>
    <row r="2427" spans="1:18" hidden="1" x14ac:dyDescent="0.25">
      <c r="A2427" t="s">
        <v>29</v>
      </c>
      <c r="B2427" t="s">
        <v>3205</v>
      </c>
      <c r="C2427" t="s">
        <v>3222</v>
      </c>
      <c r="D2427" t="s">
        <v>3223</v>
      </c>
      <c r="E2427" s="1">
        <v>15.132</v>
      </c>
      <c r="F2427" s="1">
        <v>19.954999999999998</v>
      </c>
      <c r="G2427">
        <v>2</v>
      </c>
      <c r="H2427">
        <v>1</v>
      </c>
      <c r="I2427" t="s">
        <v>2057</v>
      </c>
      <c r="J2427" t="s">
        <v>1705</v>
      </c>
      <c r="K2427" s="39">
        <v>1.5781419999999999</v>
      </c>
      <c r="L2427" s="1">
        <v>1.5420990000000001</v>
      </c>
      <c r="M2427" s="1" t="s">
        <v>3225</v>
      </c>
      <c r="N2427" s="1">
        <v>15.132</v>
      </c>
      <c r="O2427" s="1">
        <f>ABS(Table4[[#This Row],[EndMP]]-Table4[[#This Row],[StartMP]])</f>
        <v>4.8229999999999986</v>
      </c>
      <c r="P2427" s="1" t="str">
        <f>IF( AND( Table4[[#This Row],[Route]]=ClosureLocation!$B$3, ClosureLocation!$B$6 &gt;= Table4[[#This Row],[StartMP]], ClosureLocation!$B$6 &lt;= Table4[[#This Row],[EndMP]]), "Yes", "")</f>
        <v/>
      </c>
      <c r="Q2427" s="1" t="str">
        <f>IF( AND( Table4[[#This Row],[Route]]=ClosureLocation!$B$3, ClosureLocation!$B$6 &lt;= Table4[[#This Row],[StartMP]], ClosureLocation!$B$6 &gt;= Table4[[#This Row],[EndMP]]), "Yes", "")</f>
        <v/>
      </c>
      <c r="R2427" s="1" t="str">
        <f>IF( OR( Table4[[#This Row],[PrimaryMatch]]="Yes", Table4[[#This Row],[SecondaryMatch]]="Yes"), "Yes", "")</f>
        <v/>
      </c>
    </row>
    <row r="2428" spans="1:18" hidden="1" x14ac:dyDescent="0.25">
      <c r="A2428" t="s">
        <v>430</v>
      </c>
      <c r="B2428" t="s">
        <v>3205</v>
      </c>
      <c r="C2428" t="s">
        <v>3222</v>
      </c>
      <c r="D2428" t="s">
        <v>3503</v>
      </c>
      <c r="E2428" s="1">
        <v>0.67800000000000005</v>
      </c>
      <c r="F2428" s="1">
        <v>10.194000000000001</v>
      </c>
      <c r="G2428">
        <v>2</v>
      </c>
      <c r="H2428">
        <v>5</v>
      </c>
      <c r="I2428" t="s">
        <v>2315</v>
      </c>
      <c r="J2428" t="s">
        <v>1702</v>
      </c>
      <c r="K2428" s="39">
        <v>1.55548</v>
      </c>
      <c r="L2428" s="1">
        <v>2.6031939999999998</v>
      </c>
      <c r="M2428" s="1" t="s">
        <v>3505</v>
      </c>
      <c r="N2428" s="1">
        <v>0.67800000000000005</v>
      </c>
      <c r="O2428" s="1">
        <f>ABS(Table4[[#This Row],[EndMP]]-Table4[[#This Row],[StartMP]])</f>
        <v>9.516</v>
      </c>
      <c r="P2428" s="1" t="str">
        <f>IF( AND( Table4[[#This Row],[Route]]=ClosureLocation!$B$3, ClosureLocation!$B$6 &gt;= Table4[[#This Row],[StartMP]], ClosureLocation!$B$6 &lt;= Table4[[#This Row],[EndMP]]), "Yes", "")</f>
        <v/>
      </c>
      <c r="Q2428" s="1" t="str">
        <f>IF( AND( Table4[[#This Row],[Route]]=ClosureLocation!$B$3, ClosureLocation!$B$6 &lt;= Table4[[#This Row],[StartMP]], ClosureLocation!$B$6 &gt;= Table4[[#This Row],[EndMP]]), "Yes", "")</f>
        <v/>
      </c>
      <c r="R2428" s="1" t="str">
        <f>IF( OR( Table4[[#This Row],[PrimaryMatch]]="Yes", Table4[[#This Row],[SecondaryMatch]]="Yes"), "Yes", "")</f>
        <v/>
      </c>
    </row>
    <row r="2429" spans="1:18" hidden="1" x14ac:dyDescent="0.25">
      <c r="A2429" t="s">
        <v>292</v>
      </c>
      <c r="B2429" t="s">
        <v>3205</v>
      </c>
      <c r="C2429" t="s">
        <v>3222</v>
      </c>
      <c r="D2429" t="s">
        <v>3411</v>
      </c>
      <c r="E2429" s="1">
        <v>377.66800000000001</v>
      </c>
      <c r="F2429" s="1">
        <v>379.1</v>
      </c>
      <c r="G2429">
        <v>4</v>
      </c>
      <c r="H2429">
        <v>1</v>
      </c>
      <c r="I2429" t="s">
        <v>2196</v>
      </c>
      <c r="J2429" t="s">
        <v>1704</v>
      </c>
      <c r="K2429" s="39">
        <v>1.5515289999999999</v>
      </c>
      <c r="L2429" s="1">
        <v>1.911475</v>
      </c>
      <c r="M2429" s="1" t="s">
        <v>3414</v>
      </c>
      <c r="N2429" s="1">
        <v>377.66800000000001</v>
      </c>
      <c r="O2429" s="1">
        <f>ABS(Table4[[#This Row],[EndMP]]-Table4[[#This Row],[StartMP]])</f>
        <v>1.4320000000000164</v>
      </c>
      <c r="P2429" s="1" t="str">
        <f>IF( AND( Table4[[#This Row],[Route]]=ClosureLocation!$B$3, ClosureLocation!$B$6 &gt;= Table4[[#This Row],[StartMP]], ClosureLocation!$B$6 &lt;= Table4[[#This Row],[EndMP]]), "Yes", "")</f>
        <v/>
      </c>
      <c r="Q2429" s="1" t="str">
        <f>IF( AND( Table4[[#This Row],[Route]]=ClosureLocation!$B$3, ClosureLocation!$B$6 &lt;= Table4[[#This Row],[StartMP]], ClosureLocation!$B$6 &gt;= Table4[[#This Row],[EndMP]]), "Yes", "")</f>
        <v/>
      </c>
      <c r="R2429" s="1" t="str">
        <f>IF( OR( Table4[[#This Row],[PrimaryMatch]]="Yes", Table4[[#This Row],[SecondaryMatch]]="Yes"), "Yes", "")</f>
        <v/>
      </c>
    </row>
    <row r="2430" spans="1:18" hidden="1" x14ac:dyDescent="0.25">
      <c r="A2430" t="s">
        <v>546</v>
      </c>
      <c r="B2430" t="s">
        <v>3209</v>
      </c>
      <c r="C2430" t="s">
        <v>3226</v>
      </c>
      <c r="D2430" t="s">
        <v>3585</v>
      </c>
      <c r="E2430" s="1">
        <v>291.44400000000002</v>
      </c>
      <c r="F2430" s="1">
        <v>289</v>
      </c>
      <c r="H2430">
        <v>3</v>
      </c>
      <c r="I2430" t="s">
        <v>2391</v>
      </c>
      <c r="J2430" t="s">
        <v>1704</v>
      </c>
      <c r="K2430" s="39">
        <v>1.5137339999999999</v>
      </c>
      <c r="L2430" s="1">
        <v>2.3312279999999999</v>
      </c>
      <c r="M2430" s="1" t="s">
        <v>3590</v>
      </c>
      <c r="N2430" s="1">
        <v>708.55600000000004</v>
      </c>
      <c r="O2430" s="1">
        <f>ABS(Table4[[#This Row],[EndMP]]-Table4[[#This Row],[StartMP]])</f>
        <v>2.4440000000000168</v>
      </c>
      <c r="P2430" s="1" t="str">
        <f>IF( AND( Table4[[#This Row],[Route]]=ClosureLocation!$B$3, ClosureLocation!$B$6 &gt;= Table4[[#This Row],[StartMP]], ClosureLocation!$B$6 &lt;= Table4[[#This Row],[EndMP]]), "Yes", "")</f>
        <v/>
      </c>
      <c r="Q2430" s="1" t="str">
        <f>IF( AND( Table4[[#This Row],[Route]]=ClosureLocation!$B$3, ClosureLocation!$B$6 &lt;= Table4[[#This Row],[StartMP]], ClosureLocation!$B$6 &gt;= Table4[[#This Row],[EndMP]]), "Yes", "")</f>
        <v/>
      </c>
      <c r="R2430" s="1" t="str">
        <f>IF( OR( Table4[[#This Row],[PrimaryMatch]]="Yes", Table4[[#This Row],[SecondaryMatch]]="Yes"), "Yes", "")</f>
        <v/>
      </c>
    </row>
    <row r="2431" spans="1:18" hidden="1" x14ac:dyDescent="0.25">
      <c r="A2431" t="s">
        <v>149</v>
      </c>
      <c r="B2431" t="s">
        <v>3205</v>
      </c>
      <c r="C2431" t="s">
        <v>3222</v>
      </c>
      <c r="D2431" t="s">
        <v>3291</v>
      </c>
      <c r="E2431" s="1">
        <v>2.9020000000000001</v>
      </c>
      <c r="F2431" s="1">
        <v>8.6829999999999998</v>
      </c>
      <c r="G2431">
        <v>3</v>
      </c>
      <c r="H2431">
        <v>2</v>
      </c>
      <c r="I2431" t="s">
        <v>2115</v>
      </c>
      <c r="J2431" t="s">
        <v>1705</v>
      </c>
      <c r="K2431" s="39">
        <v>1.4832780000000001</v>
      </c>
      <c r="L2431" s="1">
        <v>2.2520899999999999</v>
      </c>
      <c r="M2431" s="1" t="s">
        <v>3294</v>
      </c>
      <c r="N2431" s="1">
        <v>2.9020000000000001</v>
      </c>
      <c r="O2431" s="1">
        <f>ABS(Table4[[#This Row],[EndMP]]-Table4[[#This Row],[StartMP]])</f>
        <v>5.7809999999999997</v>
      </c>
      <c r="P2431" s="1" t="str">
        <f>IF( AND( Table4[[#This Row],[Route]]=ClosureLocation!$B$3, ClosureLocation!$B$6 &gt;= Table4[[#This Row],[StartMP]], ClosureLocation!$B$6 &lt;= Table4[[#This Row],[EndMP]]), "Yes", "")</f>
        <v/>
      </c>
      <c r="Q2431" s="1" t="str">
        <f>IF( AND( Table4[[#This Row],[Route]]=ClosureLocation!$B$3, ClosureLocation!$B$6 &lt;= Table4[[#This Row],[StartMP]], ClosureLocation!$B$6 &gt;= Table4[[#This Row],[EndMP]]), "Yes", "")</f>
        <v/>
      </c>
      <c r="R2431" s="1" t="str">
        <f>IF( OR( Table4[[#This Row],[PrimaryMatch]]="Yes", Table4[[#This Row],[SecondaryMatch]]="Yes"), "Yes", "")</f>
        <v/>
      </c>
    </row>
    <row r="2432" spans="1:18" hidden="1" x14ac:dyDescent="0.25">
      <c r="A2432" t="s">
        <v>776</v>
      </c>
      <c r="B2432" t="s">
        <v>3209</v>
      </c>
      <c r="C2432" t="s">
        <v>3226</v>
      </c>
      <c r="D2432" t="s">
        <v>3749</v>
      </c>
      <c r="E2432" s="1">
        <v>362.81799999999998</v>
      </c>
      <c r="F2432" s="1">
        <v>362.01</v>
      </c>
      <c r="G2432">
        <v>8</v>
      </c>
      <c r="H2432">
        <v>61</v>
      </c>
      <c r="I2432" t="s">
        <v>2607</v>
      </c>
      <c r="J2432" t="s">
        <v>1694</v>
      </c>
      <c r="K2432" s="39">
        <v>1.4707140000000001</v>
      </c>
      <c r="L2432" s="1">
        <v>7.5119999999999996E-3</v>
      </c>
      <c r="M2432" s="1" t="s">
        <v>292</v>
      </c>
      <c r="N2432" s="1">
        <v>637.18200000000002</v>
      </c>
      <c r="O2432" s="1">
        <f>ABS(Table4[[#This Row],[EndMP]]-Table4[[#This Row],[StartMP]])</f>
        <v>0.80799999999999272</v>
      </c>
      <c r="P2432" s="1" t="str">
        <f>IF( AND( Table4[[#This Row],[Route]]=ClosureLocation!$B$3, ClosureLocation!$B$6 &gt;= Table4[[#This Row],[StartMP]], ClosureLocation!$B$6 &lt;= Table4[[#This Row],[EndMP]]), "Yes", "")</f>
        <v/>
      </c>
      <c r="Q2432" s="1" t="str">
        <f>IF( AND( Table4[[#This Row],[Route]]=ClosureLocation!$B$3, ClosureLocation!$B$6 &lt;= Table4[[#This Row],[StartMP]], ClosureLocation!$B$6 &gt;= Table4[[#This Row],[EndMP]]), "Yes", "")</f>
        <v/>
      </c>
      <c r="R2432" s="1" t="str">
        <f>IF( OR( Table4[[#This Row],[PrimaryMatch]]="Yes", Table4[[#This Row],[SecondaryMatch]]="Yes"), "Yes", "")</f>
        <v/>
      </c>
    </row>
    <row r="2433" spans="1:18" hidden="1" x14ac:dyDescent="0.25">
      <c r="A2433" t="s">
        <v>990</v>
      </c>
      <c r="B2433" t="s">
        <v>3209</v>
      </c>
      <c r="C2433" t="s">
        <v>3210</v>
      </c>
      <c r="D2433" t="s">
        <v>3889</v>
      </c>
      <c r="E2433" s="1">
        <v>243</v>
      </c>
      <c r="F2433" s="1">
        <v>241.86099999999999</v>
      </c>
      <c r="G2433">
        <v>5</v>
      </c>
      <c r="H2433">
        <v>10</v>
      </c>
      <c r="I2433" t="s">
        <v>2788</v>
      </c>
      <c r="J2433" t="s">
        <v>1693</v>
      </c>
      <c r="K2433" s="39">
        <v>1.4574739999999999</v>
      </c>
      <c r="L2433" s="1">
        <v>0.39439800000000003</v>
      </c>
      <c r="M2433" s="1" t="s">
        <v>3894</v>
      </c>
      <c r="N2433" s="1">
        <v>757</v>
      </c>
      <c r="O2433" s="1">
        <f>ABS(Table4[[#This Row],[EndMP]]-Table4[[#This Row],[StartMP]])</f>
        <v>1.13900000000001</v>
      </c>
      <c r="P2433" s="1" t="str">
        <f>IF( AND( Table4[[#This Row],[Route]]=ClosureLocation!$B$3, ClosureLocation!$B$6 &gt;= Table4[[#This Row],[StartMP]], ClosureLocation!$B$6 &lt;= Table4[[#This Row],[EndMP]]), "Yes", "")</f>
        <v/>
      </c>
      <c r="Q2433" s="1" t="str">
        <f>IF( AND( Table4[[#This Row],[Route]]=ClosureLocation!$B$3, ClosureLocation!$B$6 &lt;= Table4[[#This Row],[StartMP]], ClosureLocation!$B$6 &gt;= Table4[[#This Row],[EndMP]]), "Yes", "")</f>
        <v/>
      </c>
      <c r="R2433" s="1" t="str">
        <f>IF( OR( Table4[[#This Row],[PrimaryMatch]]="Yes", Table4[[#This Row],[SecondaryMatch]]="Yes"), "Yes", "")</f>
        <v/>
      </c>
    </row>
    <row r="2434" spans="1:18" hidden="1" x14ac:dyDescent="0.25">
      <c r="A2434" t="s">
        <v>1464</v>
      </c>
      <c r="B2434" t="s">
        <v>3205</v>
      </c>
      <c r="C2434" t="s">
        <v>3222</v>
      </c>
      <c r="D2434" t="s">
        <v>4689</v>
      </c>
      <c r="E2434" s="1">
        <v>4.7149999999999999</v>
      </c>
      <c r="F2434" s="1">
        <v>5.0170000000000003</v>
      </c>
      <c r="G2434">
        <v>8</v>
      </c>
      <c r="H2434">
        <v>4</v>
      </c>
      <c r="I2434" t="s">
        <v>3043</v>
      </c>
      <c r="J2434" t="s">
        <v>1704</v>
      </c>
      <c r="K2434" s="39">
        <v>1.4177230000000001</v>
      </c>
      <c r="L2434" s="1">
        <v>0.72012900000000002</v>
      </c>
      <c r="M2434" s="1" t="s">
        <v>4232</v>
      </c>
      <c r="N2434" s="1">
        <v>4.7149999999999999</v>
      </c>
      <c r="O2434" s="1">
        <f>ABS(Table4[[#This Row],[EndMP]]-Table4[[#This Row],[StartMP]])</f>
        <v>0.30200000000000049</v>
      </c>
      <c r="P2434" s="1" t="str">
        <f>IF( AND( Table4[[#This Row],[Route]]=ClosureLocation!$B$3, ClosureLocation!$B$6 &gt;= Table4[[#This Row],[StartMP]], ClosureLocation!$B$6 &lt;= Table4[[#This Row],[EndMP]]), "Yes", "")</f>
        <v/>
      </c>
      <c r="Q2434" s="1" t="str">
        <f>IF( AND( Table4[[#This Row],[Route]]=ClosureLocation!$B$3, ClosureLocation!$B$6 &lt;= Table4[[#This Row],[StartMP]], ClosureLocation!$B$6 &gt;= Table4[[#This Row],[EndMP]]), "Yes", "")</f>
        <v/>
      </c>
      <c r="R2434" s="1" t="str">
        <f>IF( OR( Table4[[#This Row],[PrimaryMatch]]="Yes", Table4[[#This Row],[SecondaryMatch]]="Yes"), "Yes", "")</f>
        <v/>
      </c>
    </row>
    <row r="2435" spans="1:18" hidden="1" x14ac:dyDescent="0.25">
      <c r="A2435" t="s">
        <v>776</v>
      </c>
      <c r="B2435" t="s">
        <v>3209</v>
      </c>
      <c r="C2435" t="s">
        <v>3226</v>
      </c>
      <c r="D2435" t="s">
        <v>3749</v>
      </c>
      <c r="E2435" s="1">
        <v>258.57600000000002</v>
      </c>
      <c r="F2435" s="1">
        <v>256.27699999999999</v>
      </c>
      <c r="G2435">
        <v>26</v>
      </c>
      <c r="H2435">
        <v>79</v>
      </c>
      <c r="I2435" t="s">
        <v>2625</v>
      </c>
      <c r="J2435" t="s">
        <v>1694</v>
      </c>
      <c r="K2435" s="39">
        <v>1.40943</v>
      </c>
      <c r="L2435" s="1">
        <v>0.238037</v>
      </c>
      <c r="M2435" s="1" t="s">
        <v>4518</v>
      </c>
      <c r="N2435" s="1">
        <v>741.42399999999998</v>
      </c>
      <c r="O2435" s="1">
        <f>ABS(Table4[[#This Row],[EndMP]]-Table4[[#This Row],[StartMP]])</f>
        <v>2.299000000000035</v>
      </c>
      <c r="P2435" s="1" t="str">
        <f>IF( AND( Table4[[#This Row],[Route]]=ClosureLocation!$B$3, ClosureLocation!$B$6 &gt;= Table4[[#This Row],[StartMP]], ClosureLocation!$B$6 &lt;= Table4[[#This Row],[EndMP]]), "Yes", "")</f>
        <v/>
      </c>
      <c r="Q2435" s="1" t="str">
        <f>IF( AND( Table4[[#This Row],[Route]]=ClosureLocation!$B$3, ClosureLocation!$B$6 &lt;= Table4[[#This Row],[StartMP]], ClosureLocation!$B$6 &gt;= Table4[[#This Row],[EndMP]]), "Yes", "")</f>
        <v/>
      </c>
      <c r="R2435" s="1" t="str">
        <f>IF( OR( Table4[[#This Row],[PrimaryMatch]]="Yes", Table4[[#This Row],[SecondaryMatch]]="Yes"), "Yes", "")</f>
        <v/>
      </c>
    </row>
    <row r="2436" spans="1:18" hidden="1" x14ac:dyDescent="0.25">
      <c r="A2436" t="s">
        <v>1605</v>
      </c>
      <c r="B2436" t="s">
        <v>3205</v>
      </c>
      <c r="C2436" t="s">
        <v>3206</v>
      </c>
      <c r="D2436" t="s">
        <v>4346</v>
      </c>
      <c r="E2436" s="1">
        <v>187.886</v>
      </c>
      <c r="F2436" s="1">
        <v>188.85499999999999</v>
      </c>
      <c r="G2436">
        <v>3</v>
      </c>
      <c r="H2436">
        <v>1</v>
      </c>
      <c r="I2436" t="s">
        <v>3143</v>
      </c>
      <c r="J2436" t="s">
        <v>1708</v>
      </c>
      <c r="K2436" s="39">
        <v>1.3786579999999999</v>
      </c>
      <c r="L2436" s="1">
        <v>1.321402</v>
      </c>
      <c r="M2436" s="1" t="s">
        <v>4348</v>
      </c>
      <c r="N2436" s="1">
        <v>187.886</v>
      </c>
      <c r="O2436" s="1">
        <f>ABS(Table4[[#This Row],[EndMP]]-Table4[[#This Row],[StartMP]])</f>
        <v>0.96899999999999409</v>
      </c>
      <c r="P2436" s="1" t="str">
        <f>IF( AND( Table4[[#This Row],[Route]]=ClosureLocation!$B$3, ClosureLocation!$B$6 &gt;= Table4[[#This Row],[StartMP]], ClosureLocation!$B$6 &lt;= Table4[[#This Row],[EndMP]]), "Yes", "")</f>
        <v/>
      </c>
      <c r="Q2436" s="1" t="str">
        <f>IF( AND( Table4[[#This Row],[Route]]=ClosureLocation!$B$3, ClosureLocation!$B$6 &lt;= Table4[[#This Row],[StartMP]], ClosureLocation!$B$6 &gt;= Table4[[#This Row],[EndMP]]), "Yes", "")</f>
        <v/>
      </c>
      <c r="R2436" s="1" t="str">
        <f>IF( OR( Table4[[#This Row],[PrimaryMatch]]="Yes", Table4[[#This Row],[SecondaryMatch]]="Yes"), "Yes", "")</f>
        <v/>
      </c>
    </row>
    <row r="2437" spans="1:18" hidden="1" x14ac:dyDescent="0.25">
      <c r="A2437" t="s">
        <v>1578</v>
      </c>
      <c r="B2437" t="s">
        <v>3205</v>
      </c>
      <c r="C2437" t="s">
        <v>3222</v>
      </c>
      <c r="D2437" t="s">
        <v>4314</v>
      </c>
      <c r="E2437" s="1">
        <v>16.832000000000001</v>
      </c>
      <c r="F2437" s="1">
        <v>17.059000000000001</v>
      </c>
      <c r="H2437">
        <v>1</v>
      </c>
      <c r="I2437" t="s">
        <v>3123</v>
      </c>
      <c r="J2437" t="s">
        <v>1708</v>
      </c>
      <c r="K2437" s="39">
        <v>1.367318</v>
      </c>
      <c r="L2437" s="1">
        <v>0.86438800000000005</v>
      </c>
      <c r="M2437" s="1" t="s">
        <v>4315</v>
      </c>
      <c r="N2437" s="1">
        <v>16.832000000000001</v>
      </c>
      <c r="O2437" s="1">
        <f>ABS(Table4[[#This Row],[EndMP]]-Table4[[#This Row],[StartMP]])</f>
        <v>0.22700000000000031</v>
      </c>
      <c r="P2437" s="1" t="str">
        <f>IF( AND( Table4[[#This Row],[Route]]=ClosureLocation!$B$3, ClosureLocation!$B$6 &gt;= Table4[[#This Row],[StartMP]], ClosureLocation!$B$6 &lt;= Table4[[#This Row],[EndMP]]), "Yes", "")</f>
        <v/>
      </c>
      <c r="Q2437" s="1" t="str">
        <f>IF( AND( Table4[[#This Row],[Route]]=ClosureLocation!$B$3, ClosureLocation!$B$6 &lt;= Table4[[#This Row],[StartMP]], ClosureLocation!$B$6 &gt;= Table4[[#This Row],[EndMP]]), "Yes", "")</f>
        <v/>
      </c>
      <c r="R2437" s="1" t="str">
        <f>IF( OR( Table4[[#This Row],[PrimaryMatch]]="Yes", Table4[[#This Row],[SecondaryMatch]]="Yes"), "Yes", "")</f>
        <v/>
      </c>
    </row>
    <row r="2438" spans="1:18" hidden="1" x14ac:dyDescent="0.25">
      <c r="A2438" t="s">
        <v>1578</v>
      </c>
      <c r="B2438" t="s">
        <v>3209</v>
      </c>
      <c r="C2438" t="s">
        <v>3226</v>
      </c>
      <c r="D2438" t="s">
        <v>4316</v>
      </c>
      <c r="E2438" s="1">
        <v>17.059000000000001</v>
      </c>
      <c r="F2438" s="1">
        <v>16.832000000000001</v>
      </c>
      <c r="G2438">
        <v>1</v>
      </c>
      <c r="H2438">
        <v>2</v>
      </c>
      <c r="I2438" t="s">
        <v>3124</v>
      </c>
      <c r="J2438" t="s">
        <v>1708</v>
      </c>
      <c r="K2438" s="39">
        <v>1.367005</v>
      </c>
      <c r="L2438" s="1">
        <v>0.86438800000000005</v>
      </c>
      <c r="M2438" s="1" t="s">
        <v>4317</v>
      </c>
      <c r="N2438" s="1">
        <v>982.94100000000003</v>
      </c>
      <c r="O2438" s="1">
        <f>ABS(Table4[[#This Row],[EndMP]]-Table4[[#This Row],[StartMP]])</f>
        <v>0.22700000000000031</v>
      </c>
      <c r="P2438" s="1" t="str">
        <f>IF( AND( Table4[[#This Row],[Route]]=ClosureLocation!$B$3, ClosureLocation!$B$6 &gt;= Table4[[#This Row],[StartMP]], ClosureLocation!$B$6 &lt;= Table4[[#This Row],[EndMP]]), "Yes", "")</f>
        <v/>
      </c>
      <c r="Q2438" s="1" t="str">
        <f>IF( AND( Table4[[#This Row],[Route]]=ClosureLocation!$B$3, ClosureLocation!$B$6 &lt;= Table4[[#This Row],[StartMP]], ClosureLocation!$B$6 &gt;= Table4[[#This Row],[EndMP]]), "Yes", "")</f>
        <v/>
      </c>
      <c r="R2438" s="1" t="str">
        <f>IF( OR( Table4[[#This Row],[PrimaryMatch]]="Yes", Table4[[#This Row],[SecondaryMatch]]="Yes"), "Yes", "")</f>
        <v/>
      </c>
    </row>
    <row r="2439" spans="1:18" hidden="1" x14ac:dyDescent="0.25">
      <c r="A2439" t="s">
        <v>776</v>
      </c>
      <c r="B2439" t="s">
        <v>3205</v>
      </c>
      <c r="C2439" t="s">
        <v>3222</v>
      </c>
      <c r="D2439" t="s">
        <v>3748</v>
      </c>
      <c r="E2439" s="1">
        <v>261.77699999999999</v>
      </c>
      <c r="F2439" s="1">
        <v>262.13299999999998</v>
      </c>
      <c r="G2439">
        <v>32</v>
      </c>
      <c r="H2439">
        <v>32</v>
      </c>
      <c r="I2439" t="s">
        <v>2577</v>
      </c>
      <c r="J2439" t="s">
        <v>1694</v>
      </c>
      <c r="K2439" s="39">
        <v>1.342862</v>
      </c>
      <c r="L2439" s="1">
        <v>0.235902</v>
      </c>
      <c r="M2439" s="1" t="s">
        <v>4479</v>
      </c>
      <c r="N2439" s="1">
        <v>261.77699999999999</v>
      </c>
      <c r="O2439" s="1">
        <f>ABS(Table4[[#This Row],[EndMP]]-Table4[[#This Row],[StartMP]])</f>
        <v>0.35599999999999454</v>
      </c>
      <c r="P2439" s="1" t="str">
        <f>IF( AND( Table4[[#This Row],[Route]]=ClosureLocation!$B$3, ClosureLocation!$B$6 &gt;= Table4[[#This Row],[StartMP]], ClosureLocation!$B$6 &lt;= Table4[[#This Row],[EndMP]]), "Yes", "")</f>
        <v/>
      </c>
      <c r="Q2439" s="1" t="str">
        <f>IF( AND( Table4[[#This Row],[Route]]=ClosureLocation!$B$3, ClosureLocation!$B$6 &lt;= Table4[[#This Row],[StartMP]], ClosureLocation!$B$6 &gt;= Table4[[#This Row],[EndMP]]), "Yes", "")</f>
        <v/>
      </c>
      <c r="R2439" s="1" t="str">
        <f>IF( OR( Table4[[#This Row],[PrimaryMatch]]="Yes", Table4[[#This Row],[SecondaryMatch]]="Yes"), "Yes", "")</f>
        <v/>
      </c>
    </row>
    <row r="2440" spans="1:18" hidden="1" x14ac:dyDescent="0.25">
      <c r="A2440" t="s">
        <v>990</v>
      </c>
      <c r="B2440" t="s">
        <v>3205</v>
      </c>
      <c r="C2440" t="s">
        <v>3206</v>
      </c>
      <c r="D2440" t="s">
        <v>3883</v>
      </c>
      <c r="E2440" s="1">
        <v>241.86099999999999</v>
      </c>
      <c r="F2440" s="1">
        <v>243</v>
      </c>
      <c r="G2440">
        <v>3</v>
      </c>
      <c r="H2440">
        <v>3</v>
      </c>
      <c r="I2440" t="s">
        <v>2781</v>
      </c>
      <c r="J2440" t="s">
        <v>1693</v>
      </c>
      <c r="K2440" s="39">
        <v>1.3334999999999999</v>
      </c>
      <c r="L2440" s="1">
        <v>0.32266600000000001</v>
      </c>
      <c r="M2440" s="1" t="s">
        <v>3886</v>
      </c>
      <c r="N2440" s="1">
        <v>241.86099999999999</v>
      </c>
      <c r="O2440" s="1">
        <f>ABS(Table4[[#This Row],[EndMP]]-Table4[[#This Row],[StartMP]])</f>
        <v>1.13900000000001</v>
      </c>
      <c r="P2440" s="1" t="str">
        <f>IF( AND( Table4[[#This Row],[Route]]=ClosureLocation!$B$3, ClosureLocation!$B$6 &gt;= Table4[[#This Row],[StartMP]], ClosureLocation!$B$6 &lt;= Table4[[#This Row],[EndMP]]), "Yes", "")</f>
        <v/>
      </c>
      <c r="Q2440" s="1" t="str">
        <f>IF( AND( Table4[[#This Row],[Route]]=ClosureLocation!$B$3, ClosureLocation!$B$6 &lt;= Table4[[#This Row],[StartMP]], ClosureLocation!$B$6 &gt;= Table4[[#This Row],[EndMP]]), "Yes", "")</f>
        <v/>
      </c>
      <c r="R2440" s="1" t="str">
        <f>IF( OR( Table4[[#This Row],[PrimaryMatch]]="Yes", Table4[[#This Row],[SecondaryMatch]]="Yes"), "Yes", "")</f>
        <v/>
      </c>
    </row>
    <row r="2441" spans="1:18" hidden="1" x14ac:dyDescent="0.25">
      <c r="A2441" t="s">
        <v>149</v>
      </c>
      <c r="B2441" t="s">
        <v>3209</v>
      </c>
      <c r="C2441" t="s">
        <v>3226</v>
      </c>
      <c r="D2441" t="s">
        <v>3295</v>
      </c>
      <c r="E2441" s="1">
        <v>8.6829999999999998</v>
      </c>
      <c r="F2441" s="1">
        <v>2.9020000000000001</v>
      </c>
      <c r="G2441">
        <v>1</v>
      </c>
      <c r="H2441">
        <v>3</v>
      </c>
      <c r="I2441" t="s">
        <v>2116</v>
      </c>
      <c r="J2441" t="s">
        <v>1705</v>
      </c>
      <c r="K2441" s="39">
        <v>1.3017860000000001</v>
      </c>
      <c r="L2441" s="1">
        <v>1.877499</v>
      </c>
      <c r="M2441" s="1" t="s">
        <v>3296</v>
      </c>
      <c r="N2441" s="1">
        <v>991.31700000000001</v>
      </c>
      <c r="O2441" s="1">
        <f>ABS(Table4[[#This Row],[EndMP]]-Table4[[#This Row],[StartMP]])</f>
        <v>5.7809999999999997</v>
      </c>
      <c r="P2441" s="1" t="str">
        <f>IF( AND( Table4[[#This Row],[Route]]=ClosureLocation!$B$3, ClosureLocation!$B$6 &gt;= Table4[[#This Row],[StartMP]], ClosureLocation!$B$6 &lt;= Table4[[#This Row],[EndMP]]), "Yes", "")</f>
        <v/>
      </c>
      <c r="Q2441" s="1" t="str">
        <f>IF( AND( Table4[[#This Row],[Route]]=ClosureLocation!$B$3, ClosureLocation!$B$6 &lt;= Table4[[#This Row],[StartMP]], ClosureLocation!$B$6 &gt;= Table4[[#This Row],[EndMP]]), "Yes", "")</f>
        <v/>
      </c>
      <c r="R2441" s="1" t="str">
        <f>IF( OR( Table4[[#This Row],[PrimaryMatch]]="Yes", Table4[[#This Row],[SecondaryMatch]]="Yes"), "Yes", "")</f>
        <v/>
      </c>
    </row>
    <row r="2442" spans="1:18" hidden="1" x14ac:dyDescent="0.25">
      <c r="A2442" t="s">
        <v>12</v>
      </c>
      <c r="B2442" t="s">
        <v>3205</v>
      </c>
      <c r="C2442" t="s">
        <v>3206</v>
      </c>
      <c r="D2442" t="s">
        <v>3213</v>
      </c>
      <c r="E2442" s="1">
        <v>8.8559999999999999</v>
      </c>
      <c r="F2442" s="1">
        <v>9.8420000000000005</v>
      </c>
      <c r="G2442">
        <v>4</v>
      </c>
      <c r="H2442">
        <v>4</v>
      </c>
      <c r="I2442" t="s">
        <v>2052</v>
      </c>
      <c r="J2442" t="s">
        <v>1696</v>
      </c>
      <c r="K2442" s="39">
        <v>1.2965059999999999</v>
      </c>
      <c r="L2442" s="1">
        <v>0.803728</v>
      </c>
      <c r="M2442" s="1" t="s">
        <v>3217</v>
      </c>
      <c r="N2442" s="1">
        <v>8.8559999999999999</v>
      </c>
      <c r="O2442" s="1">
        <f>ABS(Table4[[#This Row],[EndMP]]-Table4[[#This Row],[StartMP]])</f>
        <v>0.98600000000000065</v>
      </c>
      <c r="P2442" s="1" t="str">
        <f>IF( AND( Table4[[#This Row],[Route]]=ClosureLocation!$B$3, ClosureLocation!$B$6 &gt;= Table4[[#This Row],[StartMP]], ClosureLocation!$B$6 &lt;= Table4[[#This Row],[EndMP]]), "Yes", "")</f>
        <v/>
      </c>
      <c r="Q2442" s="1" t="str">
        <f>IF( AND( Table4[[#This Row],[Route]]=ClosureLocation!$B$3, ClosureLocation!$B$6 &lt;= Table4[[#This Row],[StartMP]], ClosureLocation!$B$6 &gt;= Table4[[#This Row],[EndMP]]), "Yes", "")</f>
        <v/>
      </c>
      <c r="R2442" s="1" t="str">
        <f>IF( OR( Table4[[#This Row],[PrimaryMatch]]="Yes", Table4[[#This Row],[SecondaryMatch]]="Yes"), "Yes", "")</f>
        <v/>
      </c>
    </row>
    <row r="2443" spans="1:18" hidden="1" x14ac:dyDescent="0.25">
      <c r="A2443" t="s">
        <v>966</v>
      </c>
      <c r="B2443" t="s">
        <v>3209</v>
      </c>
      <c r="C2443" t="s">
        <v>3210</v>
      </c>
      <c r="D2443" t="s">
        <v>3866</v>
      </c>
      <c r="E2443" s="1">
        <v>77.266999999999996</v>
      </c>
      <c r="F2443" s="1">
        <v>70.784000000000006</v>
      </c>
      <c r="G2443">
        <v>1</v>
      </c>
      <c r="H2443">
        <v>2</v>
      </c>
      <c r="I2443" t="s">
        <v>2763</v>
      </c>
      <c r="J2443" t="s">
        <v>1701</v>
      </c>
      <c r="K2443" s="39">
        <v>1.2839160000000001</v>
      </c>
      <c r="L2443" s="1">
        <v>3.4754260000000001</v>
      </c>
      <c r="M2443" s="1" t="s">
        <v>3867</v>
      </c>
      <c r="N2443" s="1">
        <v>922.73299999999995</v>
      </c>
      <c r="O2443" s="1">
        <f>ABS(Table4[[#This Row],[EndMP]]-Table4[[#This Row],[StartMP]])</f>
        <v>6.4829999999999899</v>
      </c>
      <c r="P2443" s="1" t="str">
        <f>IF( AND( Table4[[#This Row],[Route]]=ClosureLocation!$B$3, ClosureLocation!$B$6 &gt;= Table4[[#This Row],[StartMP]], ClosureLocation!$B$6 &lt;= Table4[[#This Row],[EndMP]]), "Yes", "")</f>
        <v/>
      </c>
      <c r="Q2443" s="1" t="str">
        <f>IF( AND( Table4[[#This Row],[Route]]=ClosureLocation!$B$3, ClosureLocation!$B$6 &lt;= Table4[[#This Row],[StartMP]], ClosureLocation!$B$6 &gt;= Table4[[#This Row],[EndMP]]), "Yes", "")</f>
        <v/>
      </c>
      <c r="R2443" s="1" t="str">
        <f>IF( OR( Table4[[#This Row],[PrimaryMatch]]="Yes", Table4[[#This Row],[SecondaryMatch]]="Yes"), "Yes", "")</f>
        <v/>
      </c>
    </row>
    <row r="2444" spans="1:18" hidden="1" x14ac:dyDescent="0.25">
      <c r="A2444" t="s">
        <v>966</v>
      </c>
      <c r="B2444" t="s">
        <v>3205</v>
      </c>
      <c r="C2444" t="s">
        <v>3206</v>
      </c>
      <c r="D2444" t="s">
        <v>3861</v>
      </c>
      <c r="E2444" s="1">
        <v>70.784000000000006</v>
      </c>
      <c r="F2444" s="1">
        <v>77.266999999999996</v>
      </c>
      <c r="G2444">
        <v>4</v>
      </c>
      <c r="H2444">
        <v>1</v>
      </c>
      <c r="I2444" t="s">
        <v>2762</v>
      </c>
      <c r="J2444" t="s">
        <v>1701</v>
      </c>
      <c r="K2444" s="39">
        <v>1.2787489999999999</v>
      </c>
      <c r="L2444" s="1">
        <v>3.1142949999999998</v>
      </c>
      <c r="M2444" s="1" t="s">
        <v>3865</v>
      </c>
      <c r="N2444" s="1">
        <v>70.784000000000006</v>
      </c>
      <c r="O2444" s="1">
        <f>ABS(Table4[[#This Row],[EndMP]]-Table4[[#This Row],[StartMP]])</f>
        <v>6.4829999999999899</v>
      </c>
      <c r="P2444" s="1" t="str">
        <f>IF( AND( Table4[[#This Row],[Route]]=ClosureLocation!$B$3, ClosureLocation!$B$6 &gt;= Table4[[#This Row],[StartMP]], ClosureLocation!$B$6 &lt;= Table4[[#This Row],[EndMP]]), "Yes", "")</f>
        <v/>
      </c>
      <c r="Q2444" s="1" t="str">
        <f>IF( AND( Table4[[#This Row],[Route]]=ClosureLocation!$B$3, ClosureLocation!$B$6 &lt;= Table4[[#This Row],[StartMP]], ClosureLocation!$B$6 &gt;= Table4[[#This Row],[EndMP]]), "Yes", "")</f>
        <v/>
      </c>
      <c r="R2444" s="1" t="str">
        <f>IF( OR( Table4[[#This Row],[PrimaryMatch]]="Yes", Table4[[#This Row],[SecondaryMatch]]="Yes"), "Yes", "")</f>
        <v/>
      </c>
    </row>
    <row r="2445" spans="1:18" hidden="1" x14ac:dyDescent="0.25">
      <c r="A2445" t="s">
        <v>377</v>
      </c>
      <c r="B2445" t="s">
        <v>3205</v>
      </c>
      <c r="C2445" t="s">
        <v>3206</v>
      </c>
      <c r="D2445" t="s">
        <v>3462</v>
      </c>
      <c r="E2445" s="1">
        <v>1.51</v>
      </c>
      <c r="F2445" s="1">
        <v>3.6429999999999998</v>
      </c>
      <c r="G2445">
        <v>2</v>
      </c>
      <c r="H2445">
        <v>1</v>
      </c>
      <c r="I2445" t="s">
        <v>2276</v>
      </c>
      <c r="J2445" t="s">
        <v>1705</v>
      </c>
      <c r="K2445" s="39">
        <v>1.2760819999999999</v>
      </c>
      <c r="L2445" s="1">
        <v>1.9496560000000001</v>
      </c>
      <c r="M2445" s="1" t="s">
        <v>3464</v>
      </c>
      <c r="N2445" s="1">
        <v>1.51</v>
      </c>
      <c r="O2445" s="1">
        <f>ABS(Table4[[#This Row],[EndMP]]-Table4[[#This Row],[StartMP]])</f>
        <v>2.133</v>
      </c>
      <c r="P2445" s="1" t="str">
        <f>IF( AND( Table4[[#This Row],[Route]]=ClosureLocation!$B$3, ClosureLocation!$B$6 &gt;= Table4[[#This Row],[StartMP]], ClosureLocation!$B$6 &lt;= Table4[[#This Row],[EndMP]]), "Yes", "")</f>
        <v/>
      </c>
      <c r="Q2445" s="1" t="str">
        <f>IF( AND( Table4[[#This Row],[Route]]=ClosureLocation!$B$3, ClosureLocation!$B$6 &lt;= Table4[[#This Row],[StartMP]], ClosureLocation!$B$6 &gt;= Table4[[#This Row],[EndMP]]), "Yes", "")</f>
        <v/>
      </c>
      <c r="R2445" s="1" t="str">
        <f>IF( OR( Table4[[#This Row],[PrimaryMatch]]="Yes", Table4[[#This Row],[SecondaryMatch]]="Yes"), "Yes", "")</f>
        <v/>
      </c>
    </row>
    <row r="2446" spans="1:18" hidden="1" x14ac:dyDescent="0.25">
      <c r="A2446" t="s">
        <v>546</v>
      </c>
      <c r="B2446" t="s">
        <v>3205</v>
      </c>
      <c r="C2446" t="s">
        <v>3222</v>
      </c>
      <c r="D2446" t="s">
        <v>3577</v>
      </c>
      <c r="E2446" s="1">
        <v>306.38299999999998</v>
      </c>
      <c r="F2446" s="1">
        <v>311.38099999999997</v>
      </c>
      <c r="H2446">
        <v>1</v>
      </c>
      <c r="I2446" t="s">
        <v>2385</v>
      </c>
      <c r="J2446" t="s">
        <v>1704</v>
      </c>
      <c r="K2446" s="39">
        <v>1.2468589999999999</v>
      </c>
      <c r="L2446" s="1">
        <v>2.7753709999999998</v>
      </c>
      <c r="M2446" s="1" t="s">
        <v>3432</v>
      </c>
      <c r="N2446" s="1">
        <v>306.38299999999998</v>
      </c>
      <c r="O2446" s="1">
        <f>ABS(Table4[[#This Row],[EndMP]]-Table4[[#This Row],[StartMP]])</f>
        <v>4.9979999999999905</v>
      </c>
      <c r="P2446" s="1" t="str">
        <f>IF( AND( Table4[[#This Row],[Route]]=ClosureLocation!$B$3, ClosureLocation!$B$6 &gt;= Table4[[#This Row],[StartMP]], ClosureLocation!$B$6 &lt;= Table4[[#This Row],[EndMP]]), "Yes", "")</f>
        <v/>
      </c>
      <c r="Q2446" s="1" t="str">
        <f>IF( AND( Table4[[#This Row],[Route]]=ClosureLocation!$B$3, ClosureLocation!$B$6 &lt;= Table4[[#This Row],[StartMP]], ClosureLocation!$B$6 &gt;= Table4[[#This Row],[EndMP]]), "Yes", "")</f>
        <v/>
      </c>
      <c r="R2446" s="1" t="str">
        <f>IF( OR( Table4[[#This Row],[PrimaryMatch]]="Yes", Table4[[#This Row],[SecondaryMatch]]="Yes"), "Yes", "")</f>
        <v/>
      </c>
    </row>
    <row r="2447" spans="1:18" hidden="1" x14ac:dyDescent="0.25">
      <c r="A2447" t="s">
        <v>191</v>
      </c>
      <c r="B2447" t="s">
        <v>3209</v>
      </c>
      <c r="C2447" t="s">
        <v>3210</v>
      </c>
      <c r="D2447" t="s">
        <v>3333</v>
      </c>
      <c r="E2447" s="1">
        <v>89.706000000000003</v>
      </c>
      <c r="F2447" s="1">
        <v>89.58</v>
      </c>
      <c r="G2447">
        <v>2</v>
      </c>
      <c r="H2447">
        <v>4</v>
      </c>
      <c r="I2447" t="s">
        <v>2140</v>
      </c>
      <c r="J2447" t="s">
        <v>1695</v>
      </c>
      <c r="K2447" s="39">
        <v>1.22593</v>
      </c>
      <c r="L2447" s="1">
        <v>0.61823899999999998</v>
      </c>
      <c r="M2447" s="1" t="s">
        <v>5042</v>
      </c>
      <c r="N2447" s="1">
        <v>910.29399999999998</v>
      </c>
      <c r="O2447" s="1">
        <f>ABS(Table4[[#This Row],[EndMP]]-Table4[[#This Row],[StartMP]])</f>
        <v>0.12600000000000477</v>
      </c>
      <c r="P2447" s="1" t="str">
        <f>IF( AND( Table4[[#This Row],[Route]]=ClosureLocation!$B$3, ClosureLocation!$B$6 &gt;= Table4[[#This Row],[StartMP]], ClosureLocation!$B$6 &lt;= Table4[[#This Row],[EndMP]]), "Yes", "")</f>
        <v/>
      </c>
      <c r="Q2447" s="1" t="str">
        <f>IF( AND( Table4[[#This Row],[Route]]=ClosureLocation!$B$3, ClosureLocation!$B$6 &lt;= Table4[[#This Row],[StartMP]], ClosureLocation!$B$6 &gt;= Table4[[#This Row],[EndMP]]), "Yes", "")</f>
        <v/>
      </c>
      <c r="R2447" s="1" t="str">
        <f>IF( OR( Table4[[#This Row],[PrimaryMatch]]="Yes", Table4[[#This Row],[SecondaryMatch]]="Yes"), "Yes", "")</f>
        <v/>
      </c>
    </row>
    <row r="2448" spans="1:18" hidden="1" x14ac:dyDescent="0.25">
      <c r="A2448" t="s">
        <v>252</v>
      </c>
      <c r="B2448" t="s">
        <v>3209</v>
      </c>
      <c r="C2448" t="s">
        <v>3226</v>
      </c>
      <c r="D2448" t="s">
        <v>3398</v>
      </c>
      <c r="E2448" s="1">
        <v>300.43700000000001</v>
      </c>
      <c r="F2448" s="1">
        <v>299.21699999999998</v>
      </c>
      <c r="G2448">
        <v>2</v>
      </c>
      <c r="H2448">
        <v>6</v>
      </c>
      <c r="I2448" t="s">
        <v>2184</v>
      </c>
      <c r="J2448" t="s">
        <v>1702</v>
      </c>
      <c r="K2448" s="39">
        <v>1.2135739999999999</v>
      </c>
      <c r="L2448" s="1">
        <v>0.148562</v>
      </c>
      <c r="M2448" s="1" t="s">
        <v>286</v>
      </c>
      <c r="N2448" s="1">
        <v>699.56299999999999</v>
      </c>
      <c r="O2448" s="1">
        <f>ABS(Table4[[#This Row],[EndMP]]-Table4[[#This Row],[StartMP]])</f>
        <v>1.2200000000000273</v>
      </c>
      <c r="P2448" s="1" t="str">
        <f>IF( AND( Table4[[#This Row],[Route]]=ClosureLocation!$B$3, ClosureLocation!$B$6 &gt;= Table4[[#This Row],[StartMP]], ClosureLocation!$B$6 &lt;= Table4[[#This Row],[EndMP]]), "Yes", "")</f>
        <v/>
      </c>
      <c r="Q2448" s="1" t="str">
        <f>IF( AND( Table4[[#This Row],[Route]]=ClosureLocation!$B$3, ClosureLocation!$B$6 &lt;= Table4[[#This Row],[StartMP]], ClosureLocation!$B$6 &gt;= Table4[[#This Row],[EndMP]]), "Yes", "")</f>
        <v/>
      </c>
      <c r="R2448" s="1" t="str">
        <f>IF( OR( Table4[[#This Row],[PrimaryMatch]]="Yes", Table4[[#This Row],[SecondaryMatch]]="Yes"), "Yes", "")</f>
        <v/>
      </c>
    </row>
    <row r="2449" spans="1:18" hidden="1" x14ac:dyDescent="0.25">
      <c r="A2449" t="s">
        <v>292</v>
      </c>
      <c r="B2449" t="s">
        <v>3209</v>
      </c>
      <c r="C2449" t="s">
        <v>3226</v>
      </c>
      <c r="D2449" t="s">
        <v>3415</v>
      </c>
      <c r="E2449" s="1">
        <v>378.79500000000002</v>
      </c>
      <c r="F2449" s="1">
        <v>376.714</v>
      </c>
      <c r="G2449">
        <v>2</v>
      </c>
      <c r="H2449">
        <v>4</v>
      </c>
      <c r="I2449" t="s">
        <v>2199</v>
      </c>
      <c r="J2449" t="s">
        <v>1702</v>
      </c>
      <c r="K2449" s="39">
        <v>1.207754</v>
      </c>
      <c r="L2449" s="1">
        <v>1.4804390000000001</v>
      </c>
      <c r="M2449" s="1" t="s">
        <v>3416</v>
      </c>
      <c r="N2449" s="1">
        <v>621.20500000000004</v>
      </c>
      <c r="O2449" s="1">
        <f>ABS(Table4[[#This Row],[EndMP]]-Table4[[#This Row],[StartMP]])</f>
        <v>2.0810000000000173</v>
      </c>
      <c r="P2449" s="1" t="str">
        <f>IF( AND( Table4[[#This Row],[Route]]=ClosureLocation!$B$3, ClosureLocation!$B$6 &gt;= Table4[[#This Row],[StartMP]], ClosureLocation!$B$6 &lt;= Table4[[#This Row],[EndMP]]), "Yes", "")</f>
        <v/>
      </c>
      <c r="Q2449" s="1" t="str">
        <f>IF( AND( Table4[[#This Row],[Route]]=ClosureLocation!$B$3, ClosureLocation!$B$6 &lt;= Table4[[#This Row],[StartMP]], ClosureLocation!$B$6 &gt;= Table4[[#This Row],[EndMP]]), "Yes", "")</f>
        <v/>
      </c>
      <c r="R2449" s="1" t="str">
        <f>IF( OR( Table4[[#This Row],[PrimaryMatch]]="Yes", Table4[[#This Row],[SecondaryMatch]]="Yes"), "Yes", "")</f>
        <v/>
      </c>
    </row>
    <row r="2450" spans="1:18" hidden="1" x14ac:dyDescent="0.25">
      <c r="A2450" t="s">
        <v>1313</v>
      </c>
      <c r="B2450" t="s">
        <v>3209</v>
      </c>
      <c r="C2450" t="s">
        <v>3226</v>
      </c>
      <c r="D2450" t="s">
        <v>4150</v>
      </c>
      <c r="E2450" s="1">
        <v>56.064999999999998</v>
      </c>
      <c r="F2450" s="1">
        <v>54.728000000000002</v>
      </c>
      <c r="G2450">
        <v>6</v>
      </c>
      <c r="H2450">
        <v>6</v>
      </c>
      <c r="I2450" t="s">
        <v>2988</v>
      </c>
      <c r="J2450" t="s">
        <v>1694</v>
      </c>
      <c r="K2450" s="39">
        <v>1.1933670000000001</v>
      </c>
      <c r="L2450" s="1">
        <v>0.10932600000000001</v>
      </c>
      <c r="M2450" s="1" t="s">
        <v>5007</v>
      </c>
      <c r="N2450" s="1">
        <v>943.93499999999995</v>
      </c>
      <c r="O2450" s="1">
        <f>ABS(Table4[[#This Row],[EndMP]]-Table4[[#This Row],[StartMP]])</f>
        <v>1.3369999999999962</v>
      </c>
      <c r="P2450" s="1" t="str">
        <f>IF( AND( Table4[[#This Row],[Route]]=ClosureLocation!$B$3, ClosureLocation!$B$6 &gt;= Table4[[#This Row],[StartMP]], ClosureLocation!$B$6 &lt;= Table4[[#This Row],[EndMP]]), "Yes", "")</f>
        <v/>
      </c>
      <c r="Q2450" s="1" t="str">
        <f>IF( AND( Table4[[#This Row],[Route]]=ClosureLocation!$B$3, ClosureLocation!$B$6 &lt;= Table4[[#This Row],[StartMP]], ClosureLocation!$B$6 &gt;= Table4[[#This Row],[EndMP]]), "Yes", "")</f>
        <v/>
      </c>
      <c r="R2450" s="1" t="str">
        <f>IF( OR( Table4[[#This Row],[PrimaryMatch]]="Yes", Table4[[#This Row],[SecondaryMatch]]="Yes"), "Yes", "")</f>
        <v/>
      </c>
    </row>
    <row r="2451" spans="1:18" hidden="1" x14ac:dyDescent="0.25">
      <c r="A2451" t="s">
        <v>1313</v>
      </c>
      <c r="B2451" t="s">
        <v>3205</v>
      </c>
      <c r="C2451" t="s">
        <v>3222</v>
      </c>
      <c r="D2451" t="s">
        <v>4149</v>
      </c>
      <c r="E2451" s="1">
        <v>54.728000000000002</v>
      </c>
      <c r="F2451" s="1">
        <v>56.064999999999998</v>
      </c>
      <c r="G2451">
        <v>3</v>
      </c>
      <c r="H2451">
        <v>10</v>
      </c>
      <c r="I2451" t="s">
        <v>2977</v>
      </c>
      <c r="J2451" t="s">
        <v>1694</v>
      </c>
      <c r="K2451" s="39">
        <v>1.192631</v>
      </c>
      <c r="L2451" s="1">
        <v>0.10932600000000001</v>
      </c>
      <c r="M2451" s="1" t="s">
        <v>5006</v>
      </c>
      <c r="N2451" s="1">
        <v>54.728000000000002</v>
      </c>
      <c r="O2451" s="1">
        <f>ABS(Table4[[#This Row],[EndMP]]-Table4[[#This Row],[StartMP]])</f>
        <v>1.3369999999999962</v>
      </c>
      <c r="P2451" s="1" t="str">
        <f>IF( AND( Table4[[#This Row],[Route]]=ClosureLocation!$B$3, ClosureLocation!$B$6 &gt;= Table4[[#This Row],[StartMP]], ClosureLocation!$B$6 &lt;= Table4[[#This Row],[EndMP]]), "Yes", "")</f>
        <v/>
      </c>
      <c r="Q2451" s="1" t="str">
        <f>IF( AND( Table4[[#This Row],[Route]]=ClosureLocation!$B$3, ClosureLocation!$B$6 &lt;= Table4[[#This Row],[StartMP]], ClosureLocation!$B$6 &gt;= Table4[[#This Row],[EndMP]]), "Yes", "")</f>
        <v/>
      </c>
      <c r="R2451" s="1" t="str">
        <f>IF( OR( Table4[[#This Row],[PrimaryMatch]]="Yes", Table4[[#This Row],[SecondaryMatch]]="Yes"), "Yes", "")</f>
        <v/>
      </c>
    </row>
    <row r="2452" spans="1:18" hidden="1" x14ac:dyDescent="0.25">
      <c r="A2452" t="s">
        <v>1014</v>
      </c>
      <c r="B2452" t="s">
        <v>3205</v>
      </c>
      <c r="C2452" t="s">
        <v>3206</v>
      </c>
      <c r="D2452" t="s">
        <v>3907</v>
      </c>
      <c r="E2452" s="1">
        <v>270.25299999999999</v>
      </c>
      <c r="F2452" s="1">
        <v>309.54199999999997</v>
      </c>
      <c r="G2452">
        <v>3</v>
      </c>
      <c r="H2452">
        <v>4</v>
      </c>
      <c r="I2452" t="s">
        <v>2799</v>
      </c>
      <c r="J2452" t="s">
        <v>1694</v>
      </c>
      <c r="K2452" s="39">
        <v>1.175071</v>
      </c>
      <c r="L2452" s="1">
        <v>18.848901000000001</v>
      </c>
      <c r="M2452" s="58" t="s">
        <v>4995</v>
      </c>
      <c r="N2452" s="1">
        <v>270.25299999999999</v>
      </c>
      <c r="O2452" s="1">
        <f>ABS(Table4[[#This Row],[EndMP]]-Table4[[#This Row],[StartMP]])</f>
        <v>39.288999999999987</v>
      </c>
      <c r="P2452" s="1" t="str">
        <f>IF( AND( Table4[[#This Row],[Route]]=ClosureLocation!$B$3, ClosureLocation!$B$6 &gt;= Table4[[#This Row],[StartMP]], ClosureLocation!$B$6 &lt;= Table4[[#This Row],[EndMP]]), "Yes", "")</f>
        <v/>
      </c>
      <c r="Q2452" s="1" t="str">
        <f>IF( AND( Table4[[#This Row],[Route]]=ClosureLocation!$B$3, ClosureLocation!$B$6 &lt;= Table4[[#This Row],[StartMP]], ClosureLocation!$B$6 &gt;= Table4[[#This Row],[EndMP]]), "Yes", "")</f>
        <v/>
      </c>
      <c r="R2452" s="1" t="str">
        <f>IF( OR( Table4[[#This Row],[PrimaryMatch]]="Yes", Table4[[#This Row],[SecondaryMatch]]="Yes"), "Yes", "")</f>
        <v/>
      </c>
    </row>
    <row r="2453" spans="1:18" hidden="1" x14ac:dyDescent="0.25">
      <c r="A2453" t="s">
        <v>546</v>
      </c>
      <c r="B2453" t="s">
        <v>3205</v>
      </c>
      <c r="C2453" t="s">
        <v>3222</v>
      </c>
      <c r="D2453" t="s">
        <v>3577</v>
      </c>
      <c r="E2453" s="1">
        <v>291.44400000000002</v>
      </c>
      <c r="F2453" s="1">
        <v>296</v>
      </c>
      <c r="H2453">
        <v>1</v>
      </c>
      <c r="I2453" t="s">
        <v>2381</v>
      </c>
      <c r="J2453" t="s">
        <v>1702</v>
      </c>
      <c r="K2453" s="39">
        <v>1.1710579999999999</v>
      </c>
      <c r="L2453" s="1">
        <v>2.2773089999999998</v>
      </c>
      <c r="M2453" s="1" t="s">
        <v>3581</v>
      </c>
      <c r="N2453" s="1">
        <v>291.44400000000002</v>
      </c>
      <c r="O2453" s="1">
        <f>ABS(Table4[[#This Row],[EndMP]]-Table4[[#This Row],[StartMP]])</f>
        <v>4.5559999999999832</v>
      </c>
      <c r="P2453" s="1" t="str">
        <f>IF( AND( Table4[[#This Row],[Route]]=ClosureLocation!$B$3, ClosureLocation!$B$6 &gt;= Table4[[#This Row],[StartMP]], ClosureLocation!$B$6 &lt;= Table4[[#This Row],[EndMP]]), "Yes", "")</f>
        <v/>
      </c>
      <c r="Q2453" s="1" t="str">
        <f>IF( AND( Table4[[#This Row],[Route]]=ClosureLocation!$B$3, ClosureLocation!$B$6 &lt;= Table4[[#This Row],[StartMP]], ClosureLocation!$B$6 &gt;= Table4[[#This Row],[EndMP]]), "Yes", "")</f>
        <v/>
      </c>
      <c r="R2453" s="1" t="str">
        <f>IF( OR( Table4[[#This Row],[PrimaryMatch]]="Yes", Table4[[#This Row],[SecondaryMatch]]="Yes"), "Yes", "")</f>
        <v/>
      </c>
    </row>
    <row r="2454" spans="1:18" hidden="1" x14ac:dyDescent="0.25">
      <c r="A2454" t="s">
        <v>990</v>
      </c>
      <c r="B2454" t="s">
        <v>3209</v>
      </c>
      <c r="C2454" t="s">
        <v>3210</v>
      </c>
      <c r="D2454" t="s">
        <v>3889</v>
      </c>
      <c r="E2454" s="1">
        <v>250.64599999999999</v>
      </c>
      <c r="F2454" s="1">
        <v>249.22200000000001</v>
      </c>
      <c r="G2454">
        <v>3</v>
      </c>
      <c r="H2454">
        <v>8</v>
      </c>
      <c r="I2454" t="s">
        <v>2786</v>
      </c>
      <c r="J2454" t="s">
        <v>1693</v>
      </c>
      <c r="K2454" s="39">
        <v>1.170577</v>
      </c>
      <c r="L2454" s="1">
        <v>0.14732999999999999</v>
      </c>
      <c r="M2454" s="1" t="s">
        <v>3892</v>
      </c>
      <c r="N2454" s="1">
        <v>749.35400000000004</v>
      </c>
      <c r="O2454" s="1">
        <f>ABS(Table4[[#This Row],[EndMP]]-Table4[[#This Row],[StartMP]])</f>
        <v>1.4239999999999782</v>
      </c>
      <c r="P2454" s="1" t="str">
        <f>IF( AND( Table4[[#This Row],[Route]]=ClosureLocation!$B$3, ClosureLocation!$B$6 &gt;= Table4[[#This Row],[StartMP]], ClosureLocation!$B$6 &lt;= Table4[[#This Row],[EndMP]]), "Yes", "")</f>
        <v/>
      </c>
      <c r="Q2454" s="1" t="str">
        <f>IF( AND( Table4[[#This Row],[Route]]=ClosureLocation!$B$3, ClosureLocation!$B$6 &lt;= Table4[[#This Row],[StartMP]], ClosureLocation!$B$6 &gt;= Table4[[#This Row],[EndMP]]), "Yes", "")</f>
        <v/>
      </c>
      <c r="R2454" s="1" t="str">
        <f>IF( OR( Table4[[#This Row],[PrimaryMatch]]="Yes", Table4[[#This Row],[SecondaryMatch]]="Yes"), "Yes", "")</f>
        <v/>
      </c>
    </row>
    <row r="2455" spans="1:18" hidden="1" x14ac:dyDescent="0.25">
      <c r="A2455" t="s">
        <v>990</v>
      </c>
      <c r="B2455" t="s">
        <v>3205</v>
      </c>
      <c r="C2455" t="s">
        <v>3206</v>
      </c>
      <c r="D2455" t="s">
        <v>3883</v>
      </c>
      <c r="E2455" s="1">
        <v>249.22200000000001</v>
      </c>
      <c r="F2455" s="1">
        <v>250.64599999999999</v>
      </c>
      <c r="G2455">
        <v>4</v>
      </c>
      <c r="H2455">
        <v>4</v>
      </c>
      <c r="I2455" t="s">
        <v>2782</v>
      </c>
      <c r="J2455" t="s">
        <v>1693</v>
      </c>
      <c r="K2455" s="39">
        <v>1.1703570000000001</v>
      </c>
      <c r="L2455" s="1">
        <v>0.14732999999999999</v>
      </c>
      <c r="M2455" s="1" t="s">
        <v>3887</v>
      </c>
      <c r="N2455" s="1">
        <v>249.22200000000001</v>
      </c>
      <c r="O2455" s="1">
        <f>ABS(Table4[[#This Row],[EndMP]]-Table4[[#This Row],[StartMP]])</f>
        <v>1.4239999999999782</v>
      </c>
      <c r="P2455" s="1" t="str">
        <f>IF( AND( Table4[[#This Row],[Route]]=ClosureLocation!$B$3, ClosureLocation!$B$6 &gt;= Table4[[#This Row],[StartMP]], ClosureLocation!$B$6 &lt;= Table4[[#This Row],[EndMP]]), "Yes", "")</f>
        <v/>
      </c>
      <c r="Q2455" s="1" t="str">
        <f>IF( AND( Table4[[#This Row],[Route]]=ClosureLocation!$B$3, ClosureLocation!$B$6 &lt;= Table4[[#This Row],[StartMP]], ClosureLocation!$B$6 &gt;= Table4[[#This Row],[EndMP]]), "Yes", "")</f>
        <v/>
      </c>
      <c r="R2455" s="1" t="str">
        <f>IF( OR( Table4[[#This Row],[PrimaryMatch]]="Yes", Table4[[#This Row],[SecondaryMatch]]="Yes"), "Yes", "")</f>
        <v/>
      </c>
    </row>
    <row r="2456" spans="1:18" hidden="1" x14ac:dyDescent="0.25">
      <c r="A2456" t="s">
        <v>1313</v>
      </c>
      <c r="B2456" t="s">
        <v>3209</v>
      </c>
      <c r="C2456" t="s">
        <v>3226</v>
      </c>
      <c r="D2456" t="s">
        <v>4150</v>
      </c>
      <c r="E2456" s="1">
        <v>57</v>
      </c>
      <c r="F2456" s="1">
        <v>56.064999999999998</v>
      </c>
      <c r="G2456">
        <v>5</v>
      </c>
      <c r="H2456">
        <v>5</v>
      </c>
      <c r="I2456" t="s">
        <v>2987</v>
      </c>
      <c r="J2456" t="s">
        <v>1694</v>
      </c>
      <c r="K2456" s="39">
        <v>1.1599299999999999</v>
      </c>
      <c r="L2456" s="1">
        <v>0.22061600000000001</v>
      </c>
      <c r="M2456" s="1" t="s">
        <v>5006</v>
      </c>
      <c r="N2456" s="1">
        <v>943</v>
      </c>
      <c r="O2456" s="1">
        <f>ABS(Table4[[#This Row],[EndMP]]-Table4[[#This Row],[StartMP]])</f>
        <v>0.93500000000000227</v>
      </c>
      <c r="P2456" s="1" t="str">
        <f>IF( AND( Table4[[#This Row],[Route]]=ClosureLocation!$B$3, ClosureLocation!$B$6 &gt;= Table4[[#This Row],[StartMP]], ClosureLocation!$B$6 &lt;= Table4[[#This Row],[EndMP]]), "Yes", "")</f>
        <v/>
      </c>
      <c r="Q2456" s="1" t="str">
        <f>IF( AND( Table4[[#This Row],[Route]]=ClosureLocation!$B$3, ClosureLocation!$B$6 &lt;= Table4[[#This Row],[StartMP]], ClosureLocation!$B$6 &gt;= Table4[[#This Row],[EndMP]]), "Yes", "")</f>
        <v/>
      </c>
      <c r="R2456" s="1" t="str">
        <f>IF( OR( Table4[[#This Row],[PrimaryMatch]]="Yes", Table4[[#This Row],[SecondaryMatch]]="Yes"), "Yes", "")</f>
        <v/>
      </c>
    </row>
    <row r="2457" spans="1:18" hidden="1" x14ac:dyDescent="0.25">
      <c r="A2457" t="s">
        <v>1313</v>
      </c>
      <c r="B2457" t="s">
        <v>3205</v>
      </c>
      <c r="C2457" t="s">
        <v>3222</v>
      </c>
      <c r="D2457" t="s">
        <v>4149</v>
      </c>
      <c r="E2457" s="1">
        <v>56.064999999999998</v>
      </c>
      <c r="F2457" s="1">
        <v>57</v>
      </c>
      <c r="G2457">
        <v>4</v>
      </c>
      <c r="H2457">
        <v>11</v>
      </c>
      <c r="I2457" t="s">
        <v>2978</v>
      </c>
      <c r="J2457" t="s">
        <v>1694</v>
      </c>
      <c r="K2457" s="39">
        <v>1.1588369999999999</v>
      </c>
      <c r="L2457" s="1">
        <v>0.22061600000000001</v>
      </c>
      <c r="M2457" s="1" t="s">
        <v>5007</v>
      </c>
      <c r="N2457" s="1">
        <v>56.064999999999998</v>
      </c>
      <c r="O2457" s="1">
        <f>ABS(Table4[[#This Row],[EndMP]]-Table4[[#This Row],[StartMP]])</f>
        <v>0.93500000000000227</v>
      </c>
      <c r="P2457" s="1" t="str">
        <f>IF( AND( Table4[[#This Row],[Route]]=ClosureLocation!$B$3, ClosureLocation!$B$6 &gt;= Table4[[#This Row],[StartMP]], ClosureLocation!$B$6 &lt;= Table4[[#This Row],[EndMP]]), "Yes", "")</f>
        <v/>
      </c>
      <c r="Q2457" s="1" t="str">
        <f>IF( AND( Table4[[#This Row],[Route]]=ClosureLocation!$B$3, ClosureLocation!$B$6 &lt;= Table4[[#This Row],[StartMP]], ClosureLocation!$B$6 &gt;= Table4[[#This Row],[EndMP]]), "Yes", "")</f>
        <v/>
      </c>
      <c r="R2457" s="1" t="str">
        <f>IF( OR( Table4[[#This Row],[PrimaryMatch]]="Yes", Table4[[#This Row],[SecondaryMatch]]="Yes"), "Yes", "")</f>
        <v/>
      </c>
    </row>
    <row r="2458" spans="1:18" hidden="1" x14ac:dyDescent="0.25">
      <c r="A2458" t="s">
        <v>29</v>
      </c>
      <c r="B2458" t="s">
        <v>3209</v>
      </c>
      <c r="C2458" t="s">
        <v>3226</v>
      </c>
      <c r="D2458" t="s">
        <v>3227</v>
      </c>
      <c r="E2458" s="1">
        <v>19.954999999999998</v>
      </c>
      <c r="F2458" s="1">
        <v>15.132</v>
      </c>
      <c r="G2458">
        <v>1</v>
      </c>
      <c r="H2458">
        <v>2</v>
      </c>
      <c r="I2458" t="s">
        <v>2058</v>
      </c>
      <c r="J2458" t="s">
        <v>1705</v>
      </c>
      <c r="K2458" s="39">
        <v>1.1258060000000001</v>
      </c>
      <c r="L2458" s="1">
        <v>1.2852600000000001</v>
      </c>
      <c r="M2458" s="1" t="s">
        <v>3228</v>
      </c>
      <c r="N2458" s="1">
        <v>980.04499999999996</v>
      </c>
      <c r="O2458" s="1">
        <f>ABS(Table4[[#This Row],[EndMP]]-Table4[[#This Row],[StartMP]])</f>
        <v>4.8229999999999986</v>
      </c>
      <c r="P2458" s="1" t="str">
        <f>IF( AND( Table4[[#This Row],[Route]]=ClosureLocation!$B$3, ClosureLocation!$B$6 &gt;= Table4[[#This Row],[StartMP]], ClosureLocation!$B$6 &lt;= Table4[[#This Row],[EndMP]]), "Yes", "")</f>
        <v/>
      </c>
      <c r="Q2458" s="1" t="str">
        <f>IF( AND( Table4[[#This Row],[Route]]=ClosureLocation!$B$3, ClosureLocation!$B$6 &lt;= Table4[[#This Row],[StartMP]], ClosureLocation!$B$6 &gt;= Table4[[#This Row],[EndMP]]), "Yes", "")</f>
        <v/>
      </c>
      <c r="R2458" s="1" t="str">
        <f>IF( OR( Table4[[#This Row],[PrimaryMatch]]="Yes", Table4[[#This Row],[SecondaryMatch]]="Yes"), "Yes", "")</f>
        <v/>
      </c>
    </row>
    <row r="2459" spans="1:18" hidden="1" x14ac:dyDescent="0.25">
      <c r="A2459" t="s">
        <v>191</v>
      </c>
      <c r="B2459" t="s">
        <v>3205</v>
      </c>
      <c r="C2459" t="s">
        <v>3206</v>
      </c>
      <c r="D2459" t="s">
        <v>3331</v>
      </c>
      <c r="E2459" s="1">
        <v>89.58</v>
      </c>
      <c r="F2459" s="1">
        <v>89.706000000000003</v>
      </c>
      <c r="G2459">
        <v>1</v>
      </c>
      <c r="H2459">
        <v>1</v>
      </c>
      <c r="I2459" t="s">
        <v>2137</v>
      </c>
      <c r="J2459" t="s">
        <v>1695</v>
      </c>
      <c r="K2459" s="39">
        <v>1.121909</v>
      </c>
      <c r="L2459" s="1">
        <v>0.62096499999999999</v>
      </c>
      <c r="M2459" s="1" t="s">
        <v>5041</v>
      </c>
      <c r="N2459" s="1">
        <v>89.58</v>
      </c>
      <c r="O2459" s="1">
        <f>ABS(Table4[[#This Row],[EndMP]]-Table4[[#This Row],[StartMP]])</f>
        <v>0.12600000000000477</v>
      </c>
      <c r="P2459" s="1" t="str">
        <f>IF( AND( Table4[[#This Row],[Route]]=ClosureLocation!$B$3, ClosureLocation!$B$6 &gt;= Table4[[#This Row],[StartMP]], ClosureLocation!$B$6 &lt;= Table4[[#This Row],[EndMP]]), "Yes", "")</f>
        <v/>
      </c>
      <c r="Q2459" s="1" t="str">
        <f>IF( AND( Table4[[#This Row],[Route]]=ClosureLocation!$B$3, ClosureLocation!$B$6 &lt;= Table4[[#This Row],[StartMP]], ClosureLocation!$B$6 &gt;= Table4[[#This Row],[EndMP]]), "Yes", "")</f>
        <v/>
      </c>
      <c r="R2459" s="1" t="str">
        <f>IF( OR( Table4[[#This Row],[PrimaryMatch]]="Yes", Table4[[#This Row],[SecondaryMatch]]="Yes"), "Yes", "")</f>
        <v/>
      </c>
    </row>
    <row r="2460" spans="1:18" hidden="1" x14ac:dyDescent="0.25">
      <c r="A2460" t="s">
        <v>1313</v>
      </c>
      <c r="B2460" t="s">
        <v>3209</v>
      </c>
      <c r="C2460" t="s">
        <v>3226</v>
      </c>
      <c r="D2460" t="s">
        <v>4150</v>
      </c>
      <c r="E2460" s="1">
        <v>86.075000000000003</v>
      </c>
      <c r="F2460" s="1">
        <v>83.945999999999998</v>
      </c>
      <c r="G2460">
        <v>4</v>
      </c>
      <c r="H2460">
        <v>4</v>
      </c>
      <c r="I2460" t="s">
        <v>2986</v>
      </c>
      <c r="J2460" t="s">
        <v>1694</v>
      </c>
      <c r="K2460" s="39">
        <v>1.117794</v>
      </c>
      <c r="L2460" s="1">
        <v>0.46506700000000001</v>
      </c>
      <c r="M2460" s="1" t="s">
        <v>23</v>
      </c>
      <c r="N2460" s="1">
        <v>913.92499999999995</v>
      </c>
      <c r="O2460" s="1">
        <f>ABS(Table4[[#This Row],[EndMP]]-Table4[[#This Row],[StartMP]])</f>
        <v>2.1290000000000049</v>
      </c>
      <c r="P2460" s="1" t="str">
        <f>IF( AND( Table4[[#This Row],[Route]]=ClosureLocation!$B$3, ClosureLocation!$B$6 &gt;= Table4[[#This Row],[StartMP]], ClosureLocation!$B$6 &lt;= Table4[[#This Row],[EndMP]]), "Yes", "")</f>
        <v/>
      </c>
      <c r="Q2460" s="1" t="str">
        <f>IF( AND( Table4[[#This Row],[Route]]=ClosureLocation!$B$3, ClosureLocation!$B$6 &lt;= Table4[[#This Row],[StartMP]], ClosureLocation!$B$6 &gt;= Table4[[#This Row],[EndMP]]), "Yes", "")</f>
        <v/>
      </c>
      <c r="R2460" s="1" t="str">
        <f>IF( OR( Table4[[#This Row],[PrimaryMatch]]="Yes", Table4[[#This Row],[SecondaryMatch]]="Yes"), "Yes", "")</f>
        <v/>
      </c>
    </row>
    <row r="2461" spans="1:18" hidden="1" x14ac:dyDescent="0.25">
      <c r="A2461" t="s">
        <v>81</v>
      </c>
      <c r="B2461" t="s">
        <v>3209</v>
      </c>
      <c r="C2461" t="s">
        <v>3226</v>
      </c>
      <c r="D2461" t="s">
        <v>3260</v>
      </c>
      <c r="E2461" s="1">
        <v>295.58100000000002</v>
      </c>
      <c r="F2461" s="1">
        <v>292.88900000000001</v>
      </c>
      <c r="G2461">
        <v>1</v>
      </c>
      <c r="H2461">
        <v>4</v>
      </c>
      <c r="I2461" t="s">
        <v>2085</v>
      </c>
      <c r="J2461" t="s">
        <v>1696</v>
      </c>
      <c r="K2461" s="39">
        <v>1.116768</v>
      </c>
      <c r="L2461" s="1">
        <v>2.1870750000000001</v>
      </c>
      <c r="M2461" s="1" t="s">
        <v>3261</v>
      </c>
      <c r="N2461" s="1">
        <v>704.41899999999998</v>
      </c>
      <c r="O2461" s="1">
        <f>ABS(Table4[[#This Row],[EndMP]]-Table4[[#This Row],[StartMP]])</f>
        <v>2.6920000000000073</v>
      </c>
      <c r="P2461" s="1" t="str">
        <f>IF( AND( Table4[[#This Row],[Route]]=ClosureLocation!$B$3, ClosureLocation!$B$6 &gt;= Table4[[#This Row],[StartMP]], ClosureLocation!$B$6 &lt;= Table4[[#This Row],[EndMP]]), "Yes", "")</f>
        <v/>
      </c>
      <c r="Q2461" s="1" t="str">
        <f>IF( AND( Table4[[#This Row],[Route]]=ClosureLocation!$B$3, ClosureLocation!$B$6 &lt;= Table4[[#This Row],[StartMP]], ClosureLocation!$B$6 &gt;= Table4[[#This Row],[EndMP]]), "Yes", "")</f>
        <v/>
      </c>
      <c r="R2461" s="1" t="str">
        <f>IF( OR( Table4[[#This Row],[PrimaryMatch]]="Yes", Table4[[#This Row],[SecondaryMatch]]="Yes"), "Yes", "")</f>
        <v/>
      </c>
    </row>
    <row r="2462" spans="1:18" hidden="1" x14ac:dyDescent="0.25">
      <c r="A2462" t="s">
        <v>1313</v>
      </c>
      <c r="B2462" t="s">
        <v>3205</v>
      </c>
      <c r="C2462" t="s">
        <v>3222</v>
      </c>
      <c r="D2462" t="s">
        <v>4149</v>
      </c>
      <c r="E2462" s="1">
        <v>83.945999999999998</v>
      </c>
      <c r="F2462" s="1">
        <v>86.075000000000003</v>
      </c>
      <c r="G2462">
        <v>5</v>
      </c>
      <c r="H2462">
        <v>12</v>
      </c>
      <c r="I2462" t="s">
        <v>2979</v>
      </c>
      <c r="J2462" t="s">
        <v>1694</v>
      </c>
      <c r="K2462" s="39">
        <v>1.111863</v>
      </c>
      <c r="L2462" s="1">
        <v>0.46506700000000001</v>
      </c>
      <c r="M2462" s="1" t="s">
        <v>23</v>
      </c>
      <c r="N2462" s="1">
        <v>83.945999999999998</v>
      </c>
      <c r="O2462" s="1">
        <f>ABS(Table4[[#This Row],[EndMP]]-Table4[[#This Row],[StartMP]])</f>
        <v>2.1290000000000049</v>
      </c>
      <c r="P2462" s="1" t="str">
        <f>IF( AND( Table4[[#This Row],[Route]]=ClosureLocation!$B$3, ClosureLocation!$B$6 &gt;= Table4[[#This Row],[StartMP]], ClosureLocation!$B$6 &lt;= Table4[[#This Row],[EndMP]]), "Yes", "")</f>
        <v/>
      </c>
      <c r="Q2462" s="1" t="str">
        <f>IF( AND( Table4[[#This Row],[Route]]=ClosureLocation!$B$3, ClosureLocation!$B$6 &lt;= Table4[[#This Row],[StartMP]], ClosureLocation!$B$6 &gt;= Table4[[#This Row],[EndMP]]), "Yes", "")</f>
        <v/>
      </c>
      <c r="R2462" s="1" t="str">
        <f>IF( OR( Table4[[#This Row],[PrimaryMatch]]="Yes", Table4[[#This Row],[SecondaryMatch]]="Yes"), "Yes", "")</f>
        <v/>
      </c>
    </row>
    <row r="2463" spans="1:18" hidden="1" x14ac:dyDescent="0.25">
      <c r="A2463" t="s">
        <v>1674</v>
      </c>
      <c r="B2463" t="s">
        <v>3205</v>
      </c>
      <c r="C2463" t="s">
        <v>3206</v>
      </c>
      <c r="D2463" t="s">
        <v>4415</v>
      </c>
      <c r="E2463" s="1">
        <v>0</v>
      </c>
      <c r="F2463" s="1">
        <v>0.24199999999999999</v>
      </c>
      <c r="G2463">
        <v>1</v>
      </c>
      <c r="H2463">
        <v>1</v>
      </c>
      <c r="I2463" t="s">
        <v>3197</v>
      </c>
      <c r="J2463" t="s">
        <v>1691</v>
      </c>
      <c r="K2463" s="39">
        <v>1.1116779999999999</v>
      </c>
      <c r="L2463" s="1">
        <v>0.66543300000000005</v>
      </c>
      <c r="M2463" s="1" t="s">
        <v>4416</v>
      </c>
      <c r="N2463" s="1">
        <v>0</v>
      </c>
      <c r="O2463" s="1">
        <f>ABS(Table4[[#This Row],[EndMP]]-Table4[[#This Row],[StartMP]])</f>
        <v>0.24199999999999999</v>
      </c>
      <c r="P2463" s="1" t="str">
        <f>IF( AND( Table4[[#This Row],[Route]]=ClosureLocation!$B$3, ClosureLocation!$B$6 &gt;= Table4[[#This Row],[StartMP]], ClosureLocation!$B$6 &lt;= Table4[[#This Row],[EndMP]]), "Yes", "")</f>
        <v/>
      </c>
      <c r="Q2463" s="1" t="str">
        <f>IF( AND( Table4[[#This Row],[Route]]=ClosureLocation!$B$3, ClosureLocation!$B$6 &lt;= Table4[[#This Row],[StartMP]], ClosureLocation!$B$6 &gt;= Table4[[#This Row],[EndMP]]), "Yes", "")</f>
        <v/>
      </c>
      <c r="R2463" s="1" t="str">
        <f>IF( OR( Table4[[#This Row],[PrimaryMatch]]="Yes", Table4[[#This Row],[SecondaryMatch]]="Yes"), "Yes", "")</f>
        <v/>
      </c>
    </row>
    <row r="2464" spans="1:18" hidden="1" x14ac:dyDescent="0.25">
      <c r="A2464" t="s">
        <v>1674</v>
      </c>
      <c r="B2464" t="s">
        <v>3209</v>
      </c>
      <c r="C2464" t="s">
        <v>3210</v>
      </c>
      <c r="D2464" t="s">
        <v>4417</v>
      </c>
      <c r="E2464" s="1">
        <v>0.24199999999999999</v>
      </c>
      <c r="F2464" s="1">
        <v>0</v>
      </c>
      <c r="G2464">
        <v>1</v>
      </c>
      <c r="H2464">
        <v>2</v>
      </c>
      <c r="I2464" t="s">
        <v>3198</v>
      </c>
      <c r="J2464" t="s">
        <v>1691</v>
      </c>
      <c r="K2464" s="39">
        <v>1.1116470000000001</v>
      </c>
      <c r="L2464" s="1">
        <v>0.66543300000000005</v>
      </c>
      <c r="M2464" s="1" t="s">
        <v>4418</v>
      </c>
      <c r="N2464" s="1">
        <v>999.75800000000004</v>
      </c>
      <c r="O2464" s="1">
        <f>ABS(Table4[[#This Row],[EndMP]]-Table4[[#This Row],[StartMP]])</f>
        <v>0.24199999999999999</v>
      </c>
      <c r="P2464" s="1" t="str">
        <f>IF( AND( Table4[[#This Row],[Route]]=ClosureLocation!$B$3, ClosureLocation!$B$6 &gt;= Table4[[#This Row],[StartMP]], ClosureLocation!$B$6 &lt;= Table4[[#This Row],[EndMP]]), "Yes", "")</f>
        <v/>
      </c>
      <c r="Q2464" s="1" t="str">
        <f>IF( AND( Table4[[#This Row],[Route]]=ClosureLocation!$B$3, ClosureLocation!$B$6 &lt;= Table4[[#This Row],[StartMP]], ClosureLocation!$B$6 &gt;= Table4[[#This Row],[EndMP]]), "Yes", "")</f>
        <v/>
      </c>
      <c r="R2464" s="1" t="str">
        <f>IF( OR( Table4[[#This Row],[PrimaryMatch]]="Yes", Table4[[#This Row],[SecondaryMatch]]="Yes"), "Yes", "")</f>
        <v/>
      </c>
    </row>
    <row r="2465" spans="1:18" hidden="1" x14ac:dyDescent="0.25">
      <c r="A2465" t="s">
        <v>206</v>
      </c>
      <c r="B2465" t="s">
        <v>3205</v>
      </c>
      <c r="C2465" t="s">
        <v>3222</v>
      </c>
      <c r="D2465" t="s">
        <v>3343</v>
      </c>
      <c r="E2465" s="1">
        <v>236.82400000000001</v>
      </c>
      <c r="F2465" s="1">
        <v>236.92400000000001</v>
      </c>
      <c r="G2465">
        <v>7</v>
      </c>
      <c r="H2465">
        <v>3</v>
      </c>
      <c r="I2465" t="s">
        <v>2151</v>
      </c>
      <c r="J2465" t="s">
        <v>1702</v>
      </c>
      <c r="K2465" s="39">
        <v>1.099993</v>
      </c>
      <c r="L2465" s="1">
        <v>0.586673</v>
      </c>
      <c r="M2465" s="1" t="s">
        <v>3350</v>
      </c>
      <c r="N2465" s="1">
        <v>236.82400000000001</v>
      </c>
      <c r="O2465" s="1">
        <f>ABS(Table4[[#This Row],[EndMP]]-Table4[[#This Row],[StartMP]])</f>
        <v>9.9999999999994316E-2</v>
      </c>
      <c r="P2465" s="1" t="str">
        <f>IF( AND( Table4[[#This Row],[Route]]=ClosureLocation!$B$3, ClosureLocation!$B$6 &gt;= Table4[[#This Row],[StartMP]], ClosureLocation!$B$6 &lt;= Table4[[#This Row],[EndMP]]), "Yes", "")</f>
        <v/>
      </c>
      <c r="Q2465" s="1" t="str">
        <f>IF( AND( Table4[[#This Row],[Route]]=ClosureLocation!$B$3, ClosureLocation!$B$6 &lt;= Table4[[#This Row],[StartMP]], ClosureLocation!$B$6 &gt;= Table4[[#This Row],[EndMP]]), "Yes", "")</f>
        <v/>
      </c>
      <c r="R2465" s="1" t="str">
        <f>IF( OR( Table4[[#This Row],[PrimaryMatch]]="Yes", Table4[[#This Row],[SecondaryMatch]]="Yes"), "Yes", "")</f>
        <v/>
      </c>
    </row>
    <row r="2466" spans="1:18" hidden="1" x14ac:dyDescent="0.25">
      <c r="A2466" t="s">
        <v>1180</v>
      </c>
      <c r="B2466" t="s">
        <v>3205</v>
      </c>
      <c r="C2466" t="s">
        <v>3206</v>
      </c>
      <c r="D2466" t="s">
        <v>4038</v>
      </c>
      <c r="E2466" s="1">
        <v>17.04</v>
      </c>
      <c r="F2466" s="1">
        <v>25.881</v>
      </c>
      <c r="G2466">
        <v>5</v>
      </c>
      <c r="H2466">
        <v>3</v>
      </c>
      <c r="I2466" t="s">
        <v>2898</v>
      </c>
      <c r="J2466" t="s">
        <v>1708</v>
      </c>
      <c r="K2466" s="39">
        <v>1.0863</v>
      </c>
      <c r="L2466" s="1">
        <v>1.0733809999999999</v>
      </c>
      <c r="M2466" s="1" t="s">
        <v>4042</v>
      </c>
      <c r="N2466" s="1">
        <v>17.04</v>
      </c>
      <c r="O2466" s="1">
        <f>ABS(Table4[[#This Row],[EndMP]]-Table4[[#This Row],[StartMP]])</f>
        <v>8.8410000000000011</v>
      </c>
      <c r="P2466" s="1" t="str">
        <f>IF( AND( Table4[[#This Row],[Route]]=ClosureLocation!$B$3, ClosureLocation!$B$6 &gt;= Table4[[#This Row],[StartMP]], ClosureLocation!$B$6 &lt;= Table4[[#This Row],[EndMP]]), "Yes", "")</f>
        <v/>
      </c>
      <c r="Q2466" s="1" t="str">
        <f>IF( AND( Table4[[#This Row],[Route]]=ClosureLocation!$B$3, ClosureLocation!$B$6 &lt;= Table4[[#This Row],[StartMP]], ClosureLocation!$B$6 &gt;= Table4[[#This Row],[EndMP]]), "Yes", "")</f>
        <v/>
      </c>
      <c r="R2466" s="1" t="str">
        <f>IF( OR( Table4[[#This Row],[PrimaryMatch]]="Yes", Table4[[#This Row],[SecondaryMatch]]="Yes"), "Yes", "")</f>
        <v/>
      </c>
    </row>
    <row r="2467" spans="1:18" hidden="1" x14ac:dyDescent="0.25">
      <c r="A2467" t="s">
        <v>1639</v>
      </c>
      <c r="B2467" t="s">
        <v>3209</v>
      </c>
      <c r="C2467" t="s">
        <v>3206</v>
      </c>
      <c r="D2467" t="s">
        <v>4389</v>
      </c>
      <c r="E2467" s="1">
        <v>0.123</v>
      </c>
      <c r="F2467" s="1">
        <v>0</v>
      </c>
      <c r="H2467">
        <v>1</v>
      </c>
      <c r="I2467" t="s">
        <v>3176</v>
      </c>
      <c r="J2467" t="s">
        <v>1711</v>
      </c>
      <c r="K2467" s="39">
        <v>1.0841259999999999</v>
      </c>
      <c r="L2467" s="1">
        <v>0.61376799999999998</v>
      </c>
      <c r="M2467" s="1" t="s">
        <v>4390</v>
      </c>
      <c r="N2467" s="1">
        <v>999.87699999999995</v>
      </c>
      <c r="O2467" s="1">
        <f>ABS(Table4[[#This Row],[EndMP]]-Table4[[#This Row],[StartMP]])</f>
        <v>0.123</v>
      </c>
      <c r="P2467" s="1" t="str">
        <f>IF( AND( Table4[[#This Row],[Route]]=ClosureLocation!$B$3, ClosureLocation!$B$6 &gt;= Table4[[#This Row],[StartMP]], ClosureLocation!$B$6 &lt;= Table4[[#This Row],[EndMP]]), "Yes", "")</f>
        <v/>
      </c>
      <c r="Q2467" s="1" t="str">
        <f>IF( AND( Table4[[#This Row],[Route]]=ClosureLocation!$B$3, ClosureLocation!$B$6 &lt;= Table4[[#This Row],[StartMP]], ClosureLocation!$B$6 &gt;= Table4[[#This Row],[EndMP]]), "Yes", "")</f>
        <v/>
      </c>
      <c r="R2467" s="1" t="str">
        <f>IF( OR( Table4[[#This Row],[PrimaryMatch]]="Yes", Table4[[#This Row],[SecondaryMatch]]="Yes"), "Yes", "")</f>
        <v/>
      </c>
    </row>
    <row r="2468" spans="1:18" hidden="1" x14ac:dyDescent="0.25">
      <c r="A2468" t="s">
        <v>454</v>
      </c>
      <c r="B2468" t="s">
        <v>3209</v>
      </c>
      <c r="C2468" t="s">
        <v>3226</v>
      </c>
      <c r="D2468" t="s">
        <v>3532</v>
      </c>
      <c r="E2468" s="1">
        <v>38.981000000000002</v>
      </c>
      <c r="F2468" s="1">
        <v>36.533000000000001</v>
      </c>
      <c r="G2468">
        <v>7</v>
      </c>
      <c r="H2468">
        <v>3</v>
      </c>
      <c r="I2468" t="s">
        <v>2337</v>
      </c>
      <c r="J2468" t="s">
        <v>1701</v>
      </c>
      <c r="K2468" s="39">
        <v>1.070063</v>
      </c>
      <c r="L2468" s="1">
        <v>0.321851</v>
      </c>
      <c r="M2468" s="1" t="s">
        <v>3536</v>
      </c>
      <c r="N2468" s="1">
        <v>961.01900000000001</v>
      </c>
      <c r="O2468" s="1">
        <f>ABS(Table4[[#This Row],[EndMP]]-Table4[[#This Row],[StartMP]])</f>
        <v>2.4480000000000004</v>
      </c>
      <c r="P2468" s="1" t="str">
        <f>IF( AND( Table4[[#This Row],[Route]]=ClosureLocation!$B$3, ClosureLocation!$B$6 &gt;= Table4[[#This Row],[StartMP]], ClosureLocation!$B$6 &lt;= Table4[[#This Row],[EndMP]]), "Yes", "")</f>
        <v/>
      </c>
      <c r="Q2468" s="1" t="str">
        <f>IF( AND( Table4[[#This Row],[Route]]=ClosureLocation!$B$3, ClosureLocation!$B$6 &lt;= Table4[[#This Row],[StartMP]], ClosureLocation!$B$6 &gt;= Table4[[#This Row],[EndMP]]), "Yes", "")</f>
        <v/>
      </c>
      <c r="R2468" s="1" t="str">
        <f>IF( OR( Table4[[#This Row],[PrimaryMatch]]="Yes", Table4[[#This Row],[SecondaryMatch]]="Yes"), "Yes", "")</f>
        <v/>
      </c>
    </row>
    <row r="2469" spans="1:18" hidden="1" x14ac:dyDescent="0.25">
      <c r="A2469" t="s">
        <v>12</v>
      </c>
      <c r="B2469" t="s">
        <v>3209</v>
      </c>
      <c r="C2469" t="s">
        <v>3210</v>
      </c>
      <c r="D2469" t="s">
        <v>3218</v>
      </c>
      <c r="E2469" s="1">
        <v>9.4429999999999996</v>
      </c>
      <c r="F2469" s="1">
        <v>8.8559999999999999</v>
      </c>
      <c r="G2469">
        <v>1</v>
      </c>
      <c r="H2469">
        <v>5</v>
      </c>
      <c r="I2469" t="s">
        <v>2053</v>
      </c>
      <c r="J2469" t="s">
        <v>1696</v>
      </c>
      <c r="K2469" s="39">
        <v>1.043623</v>
      </c>
      <c r="L2469" s="1">
        <v>0.64241599999999999</v>
      </c>
      <c r="M2469" s="1" t="s">
        <v>3219</v>
      </c>
      <c r="N2469" s="1">
        <v>990.55700000000002</v>
      </c>
      <c r="O2469" s="1">
        <f>ABS(Table4[[#This Row],[EndMP]]-Table4[[#This Row],[StartMP]])</f>
        <v>0.58699999999999974</v>
      </c>
      <c r="P2469" s="1" t="str">
        <f>IF( AND( Table4[[#This Row],[Route]]=ClosureLocation!$B$3, ClosureLocation!$B$6 &gt;= Table4[[#This Row],[StartMP]], ClosureLocation!$B$6 &lt;= Table4[[#This Row],[EndMP]]), "Yes", "")</f>
        <v/>
      </c>
      <c r="Q2469" s="1" t="str">
        <f>IF( AND( Table4[[#This Row],[Route]]=ClosureLocation!$B$3, ClosureLocation!$B$6 &lt;= Table4[[#This Row],[StartMP]], ClosureLocation!$B$6 &gt;= Table4[[#This Row],[EndMP]]), "Yes", "")</f>
        <v/>
      </c>
      <c r="R2469" s="1" t="str">
        <f>IF( OR( Table4[[#This Row],[PrimaryMatch]]="Yes", Table4[[#This Row],[SecondaryMatch]]="Yes"), "Yes", "")</f>
        <v/>
      </c>
    </row>
    <row r="2470" spans="1:18" hidden="1" x14ac:dyDescent="0.25">
      <c r="A2470" t="s">
        <v>1516</v>
      </c>
      <c r="B2470" t="s">
        <v>3205</v>
      </c>
      <c r="C2470" t="s">
        <v>3206</v>
      </c>
      <c r="D2470" t="s">
        <v>4285</v>
      </c>
      <c r="E2470" s="1">
        <v>282.86</v>
      </c>
      <c r="F2470" s="1">
        <v>289.154</v>
      </c>
      <c r="G2470">
        <v>1</v>
      </c>
      <c r="H2470">
        <v>1</v>
      </c>
      <c r="I2470" t="s">
        <v>3097</v>
      </c>
      <c r="J2470" t="s">
        <v>1700</v>
      </c>
      <c r="K2470" s="39">
        <v>1.0017959999999999</v>
      </c>
      <c r="L2470" s="1">
        <v>3.6049440000000001</v>
      </c>
      <c r="M2470" s="1" t="s">
        <v>4286</v>
      </c>
      <c r="N2470" s="1">
        <v>282.86</v>
      </c>
      <c r="O2470" s="1">
        <f>ABS(Table4[[#This Row],[EndMP]]-Table4[[#This Row],[StartMP]])</f>
        <v>6.2939999999999827</v>
      </c>
      <c r="P2470" s="1" t="str">
        <f>IF( AND( Table4[[#This Row],[Route]]=ClosureLocation!$B$3, ClosureLocation!$B$6 &gt;= Table4[[#This Row],[StartMP]], ClosureLocation!$B$6 &lt;= Table4[[#This Row],[EndMP]]), "Yes", "")</f>
        <v/>
      </c>
      <c r="Q2470" s="1" t="str">
        <f>IF( AND( Table4[[#This Row],[Route]]=ClosureLocation!$B$3, ClosureLocation!$B$6 &lt;= Table4[[#This Row],[StartMP]], ClosureLocation!$B$6 &gt;= Table4[[#This Row],[EndMP]]), "Yes", "")</f>
        <v/>
      </c>
      <c r="R2470" s="1" t="str">
        <f>IF( OR( Table4[[#This Row],[PrimaryMatch]]="Yes", Table4[[#This Row],[SecondaryMatch]]="Yes"), "Yes", "")</f>
        <v/>
      </c>
    </row>
    <row r="2471" spans="1:18" hidden="1" x14ac:dyDescent="0.25">
      <c r="A2471" t="s">
        <v>1008</v>
      </c>
      <c r="B2471" t="s">
        <v>3205</v>
      </c>
      <c r="C2471" t="s">
        <v>3206</v>
      </c>
      <c r="D2471" t="s">
        <v>3901</v>
      </c>
      <c r="E2471" s="1">
        <v>0.501</v>
      </c>
      <c r="F2471" s="1">
        <v>1.629</v>
      </c>
      <c r="G2471">
        <v>1</v>
      </c>
      <c r="H2471">
        <v>1</v>
      </c>
      <c r="I2471" t="s">
        <v>2793</v>
      </c>
      <c r="J2471" t="s">
        <v>1689</v>
      </c>
      <c r="K2471" s="39">
        <v>0.99855000000000005</v>
      </c>
      <c r="L2471" s="1">
        <v>0.77786900000000003</v>
      </c>
      <c r="M2471" s="1" t="s">
        <v>3902</v>
      </c>
      <c r="N2471" s="1">
        <v>0.501</v>
      </c>
      <c r="O2471" s="1">
        <f>ABS(Table4[[#This Row],[EndMP]]-Table4[[#This Row],[StartMP]])</f>
        <v>1.1280000000000001</v>
      </c>
      <c r="P2471" s="1" t="str">
        <f>IF( AND( Table4[[#This Row],[Route]]=ClosureLocation!$B$3, ClosureLocation!$B$6 &gt;= Table4[[#This Row],[StartMP]], ClosureLocation!$B$6 &lt;= Table4[[#This Row],[EndMP]]), "Yes", "")</f>
        <v/>
      </c>
      <c r="Q2471" s="1" t="str">
        <f>IF( AND( Table4[[#This Row],[Route]]=ClosureLocation!$B$3, ClosureLocation!$B$6 &lt;= Table4[[#This Row],[StartMP]], ClosureLocation!$B$6 &gt;= Table4[[#This Row],[EndMP]]), "Yes", "")</f>
        <v/>
      </c>
      <c r="R2471" s="1" t="str">
        <f>IF( OR( Table4[[#This Row],[PrimaryMatch]]="Yes", Table4[[#This Row],[SecondaryMatch]]="Yes"), "Yes", "")</f>
        <v/>
      </c>
    </row>
    <row r="2472" spans="1:18" hidden="1" x14ac:dyDescent="0.25">
      <c r="A2472" t="s">
        <v>602</v>
      </c>
      <c r="B2472" t="s">
        <v>3205</v>
      </c>
      <c r="C2472" t="s">
        <v>3222</v>
      </c>
      <c r="D2472" t="s">
        <v>3612</v>
      </c>
      <c r="E2472" s="1">
        <v>82.613</v>
      </c>
      <c r="F2472" s="1">
        <v>83.144999999999996</v>
      </c>
      <c r="G2472">
        <v>7</v>
      </c>
      <c r="H2472">
        <v>7</v>
      </c>
      <c r="I2472" t="s">
        <v>2414</v>
      </c>
      <c r="J2472" t="s">
        <v>1700</v>
      </c>
      <c r="K2472" s="39">
        <v>0.98610799999999998</v>
      </c>
      <c r="L2472" s="1">
        <v>0.312085</v>
      </c>
      <c r="M2472" s="1" t="s">
        <v>3617</v>
      </c>
      <c r="N2472" s="1">
        <v>82.613</v>
      </c>
      <c r="O2472" s="1">
        <f>ABS(Table4[[#This Row],[EndMP]]-Table4[[#This Row],[StartMP]])</f>
        <v>0.53199999999999648</v>
      </c>
      <c r="P2472" s="1" t="str">
        <f>IF( AND( Table4[[#This Row],[Route]]=ClosureLocation!$B$3, ClosureLocation!$B$6 &gt;= Table4[[#This Row],[StartMP]], ClosureLocation!$B$6 &lt;= Table4[[#This Row],[EndMP]]), "Yes", "")</f>
        <v/>
      </c>
      <c r="Q2472" s="1" t="str">
        <f>IF( AND( Table4[[#This Row],[Route]]=ClosureLocation!$B$3, ClosureLocation!$B$6 &lt;= Table4[[#This Row],[StartMP]], ClosureLocation!$B$6 &gt;= Table4[[#This Row],[EndMP]]), "Yes", "")</f>
        <v/>
      </c>
      <c r="R2472" s="1" t="str">
        <f>IF( OR( Table4[[#This Row],[PrimaryMatch]]="Yes", Table4[[#This Row],[SecondaryMatch]]="Yes"), "Yes", "")</f>
        <v/>
      </c>
    </row>
    <row r="2473" spans="1:18" hidden="1" x14ac:dyDescent="0.25">
      <c r="A2473" t="s">
        <v>602</v>
      </c>
      <c r="B2473" t="s">
        <v>3209</v>
      </c>
      <c r="C2473" t="s">
        <v>3226</v>
      </c>
      <c r="D2473" t="s">
        <v>3626</v>
      </c>
      <c r="E2473" s="1">
        <v>83.144999999999996</v>
      </c>
      <c r="F2473" s="1">
        <v>82.613</v>
      </c>
      <c r="G2473">
        <v>13</v>
      </c>
      <c r="H2473">
        <v>9</v>
      </c>
      <c r="I2473" t="s">
        <v>2438</v>
      </c>
      <c r="J2473" t="s">
        <v>1700</v>
      </c>
      <c r="K2473" s="39">
        <v>0.98579600000000001</v>
      </c>
      <c r="L2473" s="1">
        <v>0.312085</v>
      </c>
      <c r="M2473" s="1" t="s">
        <v>3616</v>
      </c>
      <c r="N2473" s="1">
        <v>916.85500000000002</v>
      </c>
      <c r="O2473" s="1">
        <f>ABS(Table4[[#This Row],[EndMP]]-Table4[[#This Row],[StartMP]])</f>
        <v>0.53199999999999648</v>
      </c>
      <c r="P2473" s="1" t="str">
        <f>IF( AND( Table4[[#This Row],[Route]]=ClosureLocation!$B$3, ClosureLocation!$B$6 &gt;= Table4[[#This Row],[StartMP]], ClosureLocation!$B$6 &lt;= Table4[[#This Row],[EndMP]]), "Yes", "")</f>
        <v/>
      </c>
      <c r="Q2473" s="1" t="str">
        <f>IF( AND( Table4[[#This Row],[Route]]=ClosureLocation!$B$3, ClosureLocation!$B$6 &lt;= Table4[[#This Row],[StartMP]], ClosureLocation!$B$6 &gt;= Table4[[#This Row],[EndMP]]), "Yes", "")</f>
        <v/>
      </c>
      <c r="R2473" s="1" t="str">
        <f>IF( OR( Table4[[#This Row],[PrimaryMatch]]="Yes", Table4[[#This Row],[SecondaryMatch]]="Yes"), "Yes", "")</f>
        <v/>
      </c>
    </row>
    <row r="2474" spans="1:18" hidden="1" x14ac:dyDescent="0.25">
      <c r="A2474" t="s">
        <v>546</v>
      </c>
      <c r="B2474" t="s">
        <v>3209</v>
      </c>
      <c r="C2474" t="s">
        <v>3226</v>
      </c>
      <c r="D2474" t="s">
        <v>3585</v>
      </c>
      <c r="E2474" s="1">
        <v>311.38099999999997</v>
      </c>
      <c r="F2474" s="1">
        <v>306.38299999999998</v>
      </c>
      <c r="H2474">
        <v>2</v>
      </c>
      <c r="I2474" t="s">
        <v>2386</v>
      </c>
      <c r="J2474" t="s">
        <v>1704</v>
      </c>
      <c r="K2474" s="39">
        <v>0.98442600000000002</v>
      </c>
      <c r="L2474" s="1">
        <v>2.7977949999999998</v>
      </c>
      <c r="M2474" s="1" t="s">
        <v>3458</v>
      </c>
      <c r="N2474" s="1">
        <v>688.61900000000003</v>
      </c>
      <c r="O2474" s="1">
        <f>ABS(Table4[[#This Row],[EndMP]]-Table4[[#This Row],[StartMP]])</f>
        <v>4.9979999999999905</v>
      </c>
      <c r="P2474" s="1" t="str">
        <f>IF( AND( Table4[[#This Row],[Route]]=ClosureLocation!$B$3, ClosureLocation!$B$6 &gt;= Table4[[#This Row],[StartMP]], ClosureLocation!$B$6 &lt;= Table4[[#This Row],[EndMP]]), "Yes", "")</f>
        <v/>
      </c>
      <c r="Q2474" s="1" t="str">
        <f>IF( AND( Table4[[#This Row],[Route]]=ClosureLocation!$B$3, ClosureLocation!$B$6 &lt;= Table4[[#This Row],[StartMP]], ClosureLocation!$B$6 &gt;= Table4[[#This Row],[EndMP]]), "Yes", "")</f>
        <v/>
      </c>
      <c r="R2474" s="1" t="str">
        <f>IF( OR( Table4[[#This Row],[PrimaryMatch]]="Yes", Table4[[#This Row],[SecondaryMatch]]="Yes"), "Yes", "")</f>
        <v/>
      </c>
    </row>
    <row r="2475" spans="1:18" hidden="1" x14ac:dyDescent="0.25">
      <c r="A2475" t="s">
        <v>29</v>
      </c>
      <c r="B2475" t="s">
        <v>3205</v>
      </c>
      <c r="C2475" t="s">
        <v>3222</v>
      </c>
      <c r="D2475" t="s">
        <v>3223</v>
      </c>
      <c r="E2475" s="1">
        <v>11.221</v>
      </c>
      <c r="F2475" s="1">
        <v>15.132</v>
      </c>
      <c r="G2475">
        <v>1</v>
      </c>
      <c r="H2475">
        <v>1</v>
      </c>
      <c r="I2475" t="s">
        <v>2056</v>
      </c>
      <c r="J2475" t="s">
        <v>1705</v>
      </c>
      <c r="K2475" s="39">
        <v>0.97588600000000003</v>
      </c>
      <c r="L2475" s="1">
        <v>1.327205</v>
      </c>
      <c r="M2475" s="1" t="s">
        <v>3224</v>
      </c>
      <c r="N2475" s="1">
        <v>11.221</v>
      </c>
      <c r="O2475" s="1">
        <f>ABS(Table4[[#This Row],[EndMP]]-Table4[[#This Row],[StartMP]])</f>
        <v>3.9109999999999996</v>
      </c>
      <c r="P2475" s="1" t="str">
        <f>IF( AND( Table4[[#This Row],[Route]]=ClosureLocation!$B$3, ClosureLocation!$B$6 &gt;= Table4[[#This Row],[StartMP]], ClosureLocation!$B$6 &lt;= Table4[[#This Row],[EndMP]]), "Yes", "")</f>
        <v/>
      </c>
      <c r="Q2475" s="1" t="str">
        <f>IF( AND( Table4[[#This Row],[Route]]=ClosureLocation!$B$3, ClosureLocation!$B$6 &lt;= Table4[[#This Row],[StartMP]], ClosureLocation!$B$6 &gt;= Table4[[#This Row],[EndMP]]), "Yes", "")</f>
        <v/>
      </c>
      <c r="R2475" s="1" t="str">
        <f>IF( OR( Table4[[#This Row],[PrimaryMatch]]="Yes", Table4[[#This Row],[SecondaryMatch]]="Yes"), "Yes", "")</f>
        <v/>
      </c>
    </row>
    <row r="2476" spans="1:18" hidden="1" x14ac:dyDescent="0.25">
      <c r="A2476" t="s">
        <v>1008</v>
      </c>
      <c r="B2476" t="s">
        <v>3209</v>
      </c>
      <c r="C2476" t="s">
        <v>3210</v>
      </c>
      <c r="D2476" t="s">
        <v>3903</v>
      </c>
      <c r="E2476" s="1">
        <v>1.629</v>
      </c>
      <c r="F2476" s="1">
        <v>0.501</v>
      </c>
      <c r="G2476">
        <v>1</v>
      </c>
      <c r="H2476">
        <v>2</v>
      </c>
      <c r="I2476" t="s">
        <v>2794</v>
      </c>
      <c r="J2476" t="s">
        <v>1689</v>
      </c>
      <c r="K2476" s="39">
        <v>0.97529999999999994</v>
      </c>
      <c r="L2476" s="1">
        <v>0.86241900000000005</v>
      </c>
      <c r="M2476" s="1" t="s">
        <v>3904</v>
      </c>
      <c r="N2476" s="1">
        <v>998.37099999999998</v>
      </c>
      <c r="O2476" s="1">
        <f>ABS(Table4[[#This Row],[EndMP]]-Table4[[#This Row],[StartMP]])</f>
        <v>1.1280000000000001</v>
      </c>
      <c r="P2476" s="1" t="str">
        <f>IF( AND( Table4[[#This Row],[Route]]=ClosureLocation!$B$3, ClosureLocation!$B$6 &gt;= Table4[[#This Row],[StartMP]], ClosureLocation!$B$6 &lt;= Table4[[#This Row],[EndMP]]), "Yes", "")</f>
        <v/>
      </c>
      <c r="Q2476" s="1" t="str">
        <f>IF( AND( Table4[[#This Row],[Route]]=ClosureLocation!$B$3, ClosureLocation!$B$6 &lt;= Table4[[#This Row],[StartMP]], ClosureLocation!$B$6 &gt;= Table4[[#This Row],[EndMP]]), "Yes", "")</f>
        <v/>
      </c>
      <c r="R2476" s="1" t="str">
        <f>IF( OR( Table4[[#This Row],[PrimaryMatch]]="Yes", Table4[[#This Row],[SecondaryMatch]]="Yes"), "Yes", "")</f>
        <v/>
      </c>
    </row>
    <row r="2477" spans="1:18" hidden="1" x14ac:dyDescent="0.25">
      <c r="A2477" t="s">
        <v>1070</v>
      </c>
      <c r="B2477" t="s">
        <v>3205</v>
      </c>
      <c r="C2477" t="s">
        <v>3206</v>
      </c>
      <c r="D2477" t="s">
        <v>3961</v>
      </c>
      <c r="E2477" s="1">
        <v>0.10100000000000001</v>
      </c>
      <c r="F2477" s="1">
        <v>14.153</v>
      </c>
      <c r="G2477">
        <v>1</v>
      </c>
      <c r="H2477">
        <v>1</v>
      </c>
      <c r="I2477" t="s">
        <v>2838</v>
      </c>
      <c r="J2477" t="s">
        <v>1689</v>
      </c>
      <c r="K2477" s="39">
        <v>0.95785399999999998</v>
      </c>
      <c r="L2477" s="1">
        <v>6.5991169999999997</v>
      </c>
      <c r="M2477" s="1" t="s">
        <v>3962</v>
      </c>
      <c r="N2477" s="1">
        <v>0.10100000000000001</v>
      </c>
      <c r="O2477" s="1">
        <f>ABS(Table4[[#This Row],[EndMP]]-Table4[[#This Row],[StartMP]])</f>
        <v>14.052</v>
      </c>
      <c r="P2477" s="1" t="str">
        <f>IF( AND( Table4[[#This Row],[Route]]=ClosureLocation!$B$3, ClosureLocation!$B$6 &gt;= Table4[[#This Row],[StartMP]], ClosureLocation!$B$6 &lt;= Table4[[#This Row],[EndMP]]), "Yes", "")</f>
        <v/>
      </c>
      <c r="Q2477" s="1" t="str">
        <f>IF( AND( Table4[[#This Row],[Route]]=ClosureLocation!$B$3, ClosureLocation!$B$6 &lt;= Table4[[#This Row],[StartMP]], ClosureLocation!$B$6 &gt;= Table4[[#This Row],[EndMP]]), "Yes", "")</f>
        <v/>
      </c>
      <c r="R2477" s="1" t="str">
        <f>IF( OR( Table4[[#This Row],[PrimaryMatch]]="Yes", Table4[[#This Row],[SecondaryMatch]]="Yes"), "Yes", "")</f>
        <v/>
      </c>
    </row>
    <row r="2478" spans="1:18" hidden="1" x14ac:dyDescent="0.25">
      <c r="A2478" t="s">
        <v>29</v>
      </c>
      <c r="B2478" t="s">
        <v>3209</v>
      </c>
      <c r="C2478" t="s">
        <v>3226</v>
      </c>
      <c r="D2478" t="s">
        <v>3227</v>
      </c>
      <c r="E2478" s="1">
        <v>15.132</v>
      </c>
      <c r="F2478" s="1">
        <v>11.221</v>
      </c>
      <c r="G2478">
        <v>2</v>
      </c>
      <c r="H2478">
        <v>2</v>
      </c>
      <c r="I2478" t="s">
        <v>2059</v>
      </c>
      <c r="J2478" t="s">
        <v>1705</v>
      </c>
      <c r="K2478" s="39">
        <v>0.95451299999999994</v>
      </c>
      <c r="L2478" s="1">
        <v>1.3750819999999999</v>
      </c>
      <c r="M2478" s="1" t="s">
        <v>3229</v>
      </c>
      <c r="N2478" s="1">
        <v>984.86800000000005</v>
      </c>
      <c r="O2478" s="1">
        <f>ABS(Table4[[#This Row],[EndMP]]-Table4[[#This Row],[StartMP]])</f>
        <v>3.9109999999999996</v>
      </c>
      <c r="P2478" s="1" t="str">
        <f>IF( AND( Table4[[#This Row],[Route]]=ClosureLocation!$B$3, ClosureLocation!$B$6 &gt;= Table4[[#This Row],[StartMP]], ClosureLocation!$B$6 &lt;= Table4[[#This Row],[EndMP]]), "Yes", "")</f>
        <v/>
      </c>
      <c r="Q2478" s="1" t="str">
        <f>IF( AND( Table4[[#This Row],[Route]]=ClosureLocation!$B$3, ClosureLocation!$B$6 &lt;= Table4[[#This Row],[StartMP]], ClosureLocation!$B$6 &gt;= Table4[[#This Row],[EndMP]]), "Yes", "")</f>
        <v/>
      </c>
      <c r="R2478" s="1" t="str">
        <f>IF( OR( Table4[[#This Row],[PrimaryMatch]]="Yes", Table4[[#This Row],[SecondaryMatch]]="Yes"), "Yes", "")</f>
        <v/>
      </c>
    </row>
    <row r="2479" spans="1:18" hidden="1" x14ac:dyDescent="0.25">
      <c r="A2479" t="s">
        <v>1070</v>
      </c>
      <c r="B2479" t="s">
        <v>3209</v>
      </c>
      <c r="C2479" t="s">
        <v>3210</v>
      </c>
      <c r="D2479" t="s">
        <v>3963</v>
      </c>
      <c r="E2479" s="1">
        <v>14.153</v>
      </c>
      <c r="F2479" s="1">
        <v>0.10100000000000001</v>
      </c>
      <c r="G2479">
        <v>1</v>
      </c>
      <c r="H2479">
        <v>2</v>
      </c>
      <c r="I2479" t="s">
        <v>2839</v>
      </c>
      <c r="J2479" t="s">
        <v>1689</v>
      </c>
      <c r="K2479" s="39">
        <v>0.95322399999999996</v>
      </c>
      <c r="L2479" s="1">
        <v>6.4420679999999999</v>
      </c>
      <c r="M2479" s="1" t="s">
        <v>3964</v>
      </c>
      <c r="N2479" s="1">
        <v>985.84699999999998</v>
      </c>
      <c r="O2479" s="1">
        <f>ABS(Table4[[#This Row],[EndMP]]-Table4[[#This Row],[StartMP]])</f>
        <v>14.052</v>
      </c>
      <c r="P2479" s="1" t="str">
        <f>IF( AND( Table4[[#This Row],[Route]]=ClosureLocation!$B$3, ClosureLocation!$B$6 &gt;= Table4[[#This Row],[StartMP]], ClosureLocation!$B$6 &lt;= Table4[[#This Row],[EndMP]]), "Yes", "")</f>
        <v/>
      </c>
      <c r="Q2479" s="1" t="str">
        <f>IF( AND( Table4[[#This Row],[Route]]=ClosureLocation!$B$3, ClosureLocation!$B$6 &lt;= Table4[[#This Row],[StartMP]], ClosureLocation!$B$6 &gt;= Table4[[#This Row],[EndMP]]), "Yes", "")</f>
        <v/>
      </c>
      <c r="R2479" s="1" t="str">
        <f>IF( OR( Table4[[#This Row],[PrimaryMatch]]="Yes", Table4[[#This Row],[SecondaryMatch]]="Yes"), "Yes", "")</f>
        <v/>
      </c>
    </row>
    <row r="2480" spans="1:18" hidden="1" x14ac:dyDescent="0.25">
      <c r="A2480" t="s">
        <v>602</v>
      </c>
      <c r="B2480" t="s">
        <v>3205</v>
      </c>
      <c r="C2480" t="s">
        <v>3222</v>
      </c>
      <c r="D2480" t="s">
        <v>3612</v>
      </c>
      <c r="E2480" s="1">
        <v>81.471999999999994</v>
      </c>
      <c r="F2480" s="1">
        <v>82.613</v>
      </c>
      <c r="G2480">
        <v>6</v>
      </c>
      <c r="H2480">
        <v>6</v>
      </c>
      <c r="I2480" t="s">
        <v>2413</v>
      </c>
      <c r="J2480" t="s">
        <v>1700</v>
      </c>
      <c r="K2480" s="39">
        <v>0.91236799999999996</v>
      </c>
      <c r="L2480" s="1">
        <v>0.147011</v>
      </c>
      <c r="M2480" s="1" t="s">
        <v>3616</v>
      </c>
      <c r="N2480" s="1">
        <v>81.471999999999994</v>
      </c>
      <c r="O2480" s="1">
        <f>ABS(Table4[[#This Row],[EndMP]]-Table4[[#This Row],[StartMP]])</f>
        <v>1.1410000000000053</v>
      </c>
      <c r="P2480" s="1" t="str">
        <f>IF( AND( Table4[[#This Row],[Route]]=ClosureLocation!$B$3, ClosureLocation!$B$6 &gt;= Table4[[#This Row],[StartMP]], ClosureLocation!$B$6 &lt;= Table4[[#This Row],[EndMP]]), "Yes", "")</f>
        <v/>
      </c>
      <c r="Q2480" s="1" t="str">
        <f>IF( AND( Table4[[#This Row],[Route]]=ClosureLocation!$B$3, ClosureLocation!$B$6 &lt;= Table4[[#This Row],[StartMP]], ClosureLocation!$B$6 &gt;= Table4[[#This Row],[EndMP]]), "Yes", "")</f>
        <v/>
      </c>
      <c r="R2480" s="1" t="str">
        <f>IF( OR( Table4[[#This Row],[PrimaryMatch]]="Yes", Table4[[#This Row],[SecondaryMatch]]="Yes"), "Yes", "")</f>
        <v/>
      </c>
    </row>
    <row r="2481" spans="1:18" hidden="1" x14ac:dyDescent="0.25">
      <c r="A2481" t="s">
        <v>602</v>
      </c>
      <c r="B2481" t="s">
        <v>3209</v>
      </c>
      <c r="C2481" t="s">
        <v>3226</v>
      </c>
      <c r="D2481" t="s">
        <v>3626</v>
      </c>
      <c r="E2481" s="1">
        <v>82.613</v>
      </c>
      <c r="F2481" s="1">
        <v>81.471999999999994</v>
      </c>
      <c r="G2481">
        <v>14</v>
      </c>
      <c r="H2481">
        <v>10</v>
      </c>
      <c r="I2481" t="s">
        <v>2439</v>
      </c>
      <c r="J2481" t="s">
        <v>1700</v>
      </c>
      <c r="K2481" s="39">
        <v>0.91174900000000003</v>
      </c>
      <c r="L2481" s="1">
        <v>0.147011</v>
      </c>
      <c r="M2481" s="1" t="s">
        <v>3617</v>
      </c>
      <c r="N2481" s="1">
        <v>917.38699999999994</v>
      </c>
      <c r="O2481" s="1">
        <f>ABS(Table4[[#This Row],[EndMP]]-Table4[[#This Row],[StartMP]])</f>
        <v>1.1410000000000053</v>
      </c>
      <c r="P2481" s="1" t="str">
        <f>IF( AND( Table4[[#This Row],[Route]]=ClosureLocation!$B$3, ClosureLocation!$B$6 &gt;= Table4[[#This Row],[StartMP]], ClosureLocation!$B$6 &lt;= Table4[[#This Row],[EndMP]]), "Yes", "")</f>
        <v/>
      </c>
      <c r="Q2481" s="1" t="str">
        <f>IF( AND( Table4[[#This Row],[Route]]=ClosureLocation!$B$3, ClosureLocation!$B$6 &lt;= Table4[[#This Row],[StartMP]], ClosureLocation!$B$6 &gt;= Table4[[#This Row],[EndMP]]), "Yes", "")</f>
        <v/>
      </c>
      <c r="R2481" s="1" t="str">
        <f>IF( OR( Table4[[#This Row],[PrimaryMatch]]="Yes", Table4[[#This Row],[SecondaryMatch]]="Yes"), "Yes", "")</f>
        <v/>
      </c>
    </row>
    <row r="2482" spans="1:18" hidden="1" x14ac:dyDescent="0.25">
      <c r="A2482" t="s">
        <v>394</v>
      </c>
      <c r="B2482" t="s">
        <v>3209</v>
      </c>
      <c r="C2482" t="s">
        <v>3226</v>
      </c>
      <c r="D2482" t="s">
        <v>3487</v>
      </c>
      <c r="E2482" s="1">
        <v>92.009</v>
      </c>
      <c r="F2482" s="1">
        <v>91.924000000000007</v>
      </c>
      <c r="G2482">
        <v>7</v>
      </c>
      <c r="H2482">
        <v>6</v>
      </c>
      <c r="I2482" t="s">
        <v>2303</v>
      </c>
      <c r="J2482" t="s">
        <v>1702</v>
      </c>
      <c r="K2482" s="39">
        <v>0.88463400000000003</v>
      </c>
      <c r="L2482" s="1">
        <v>0.52119499999999996</v>
      </c>
      <c r="M2482" s="1" t="s">
        <v>3493</v>
      </c>
      <c r="N2482" s="1">
        <v>907.99099999999999</v>
      </c>
      <c r="O2482" s="1">
        <f>ABS(Table4[[#This Row],[EndMP]]-Table4[[#This Row],[StartMP]])</f>
        <v>8.4999999999993747E-2</v>
      </c>
      <c r="P2482" s="1" t="str">
        <f>IF( AND( Table4[[#This Row],[Route]]=ClosureLocation!$B$3, ClosureLocation!$B$6 &gt;= Table4[[#This Row],[StartMP]], ClosureLocation!$B$6 &lt;= Table4[[#This Row],[EndMP]]), "Yes", "")</f>
        <v/>
      </c>
      <c r="Q2482" s="1" t="str">
        <f>IF( AND( Table4[[#This Row],[Route]]=ClosureLocation!$B$3, ClosureLocation!$B$6 &lt;= Table4[[#This Row],[StartMP]], ClosureLocation!$B$6 &gt;= Table4[[#This Row],[EndMP]]), "Yes", "")</f>
        <v/>
      </c>
      <c r="R2482" s="1" t="str">
        <f>IF( OR( Table4[[#This Row],[PrimaryMatch]]="Yes", Table4[[#This Row],[SecondaryMatch]]="Yes"), "Yes", "")</f>
        <v/>
      </c>
    </row>
    <row r="2483" spans="1:18" hidden="1" x14ac:dyDescent="0.25">
      <c r="A2483" t="s">
        <v>1464</v>
      </c>
      <c r="B2483" t="s">
        <v>3209</v>
      </c>
      <c r="C2483" t="s">
        <v>3226</v>
      </c>
      <c r="D2483" t="s">
        <v>4690</v>
      </c>
      <c r="E2483" s="1">
        <v>5.1260000000000003</v>
      </c>
      <c r="F2483" s="1">
        <v>4.2549999999999999</v>
      </c>
      <c r="G2483">
        <v>1</v>
      </c>
      <c r="H2483">
        <v>5</v>
      </c>
      <c r="I2483" t="s">
        <v>3044</v>
      </c>
      <c r="J2483" t="s">
        <v>1704</v>
      </c>
      <c r="K2483" s="39">
        <v>0.84699899999999995</v>
      </c>
      <c r="L2483" s="1">
        <v>0.31220100000000001</v>
      </c>
      <c r="M2483" s="1" t="s">
        <v>4233</v>
      </c>
      <c r="N2483" s="1">
        <v>994.87400000000002</v>
      </c>
      <c r="O2483" s="1">
        <f>ABS(Table4[[#This Row],[EndMP]]-Table4[[#This Row],[StartMP]])</f>
        <v>0.87100000000000044</v>
      </c>
      <c r="P2483" s="1" t="str">
        <f>IF( AND( Table4[[#This Row],[Route]]=ClosureLocation!$B$3, ClosureLocation!$B$6 &gt;= Table4[[#This Row],[StartMP]], ClosureLocation!$B$6 &lt;= Table4[[#This Row],[EndMP]]), "Yes", "")</f>
        <v/>
      </c>
      <c r="Q2483" s="1" t="str">
        <f>IF( AND( Table4[[#This Row],[Route]]=ClosureLocation!$B$3, ClosureLocation!$B$6 &lt;= Table4[[#This Row],[StartMP]], ClosureLocation!$B$6 &gt;= Table4[[#This Row],[EndMP]]), "Yes", "")</f>
        <v/>
      </c>
      <c r="R2483" s="1" t="str">
        <f>IF( OR( Table4[[#This Row],[PrimaryMatch]]="Yes", Table4[[#This Row],[SecondaryMatch]]="Yes"), "Yes", "")</f>
        <v/>
      </c>
    </row>
    <row r="2484" spans="1:18" hidden="1" x14ac:dyDescent="0.25">
      <c r="A2484" t="s">
        <v>202</v>
      </c>
      <c r="B2484" t="s">
        <v>3209</v>
      </c>
      <c r="C2484" t="s">
        <v>3226</v>
      </c>
      <c r="D2484" t="s">
        <v>3341</v>
      </c>
      <c r="E2484" s="1">
        <v>121.71299999999999</v>
      </c>
      <c r="F2484" s="1">
        <v>34.090000000000003</v>
      </c>
      <c r="G2484">
        <v>1</v>
      </c>
      <c r="H2484">
        <v>2</v>
      </c>
      <c r="I2484" t="s">
        <v>2144</v>
      </c>
      <c r="J2484" t="s">
        <v>1696</v>
      </c>
      <c r="K2484" s="39">
        <v>0.84160199999999996</v>
      </c>
      <c r="L2484" s="1">
        <v>30.120978000000001</v>
      </c>
      <c r="M2484" s="58" t="s">
        <v>3342</v>
      </c>
      <c r="N2484" s="1">
        <v>878.28700000000003</v>
      </c>
      <c r="O2484" s="1">
        <f>ABS(Table4[[#This Row],[EndMP]]-Table4[[#This Row],[StartMP]])</f>
        <v>87.62299999999999</v>
      </c>
      <c r="P2484" s="1" t="str">
        <f>IF( AND( Table4[[#This Row],[Route]]=ClosureLocation!$B$3, ClosureLocation!$B$6 &gt;= Table4[[#This Row],[StartMP]], ClosureLocation!$B$6 &lt;= Table4[[#This Row],[EndMP]]), "Yes", "")</f>
        <v/>
      </c>
      <c r="Q2484" s="1" t="str">
        <f>IF( AND( Table4[[#This Row],[Route]]=ClosureLocation!$B$3, ClosureLocation!$B$6 &lt;= Table4[[#This Row],[StartMP]], ClosureLocation!$B$6 &gt;= Table4[[#This Row],[EndMP]]), "Yes", "")</f>
        <v/>
      </c>
      <c r="R2484" s="1" t="str">
        <f>IF( OR( Table4[[#This Row],[PrimaryMatch]]="Yes", Table4[[#This Row],[SecondaryMatch]]="Yes"), "Yes", "")</f>
        <v/>
      </c>
    </row>
    <row r="2485" spans="1:18" hidden="1" x14ac:dyDescent="0.25">
      <c r="A2485" t="s">
        <v>1605</v>
      </c>
      <c r="B2485" t="s">
        <v>3209</v>
      </c>
      <c r="C2485" t="s">
        <v>3210</v>
      </c>
      <c r="D2485" t="s">
        <v>4350</v>
      </c>
      <c r="E2485" s="1">
        <v>188.85499999999999</v>
      </c>
      <c r="F2485" s="1">
        <v>187.886</v>
      </c>
      <c r="G2485">
        <v>2</v>
      </c>
      <c r="H2485">
        <v>4</v>
      </c>
      <c r="I2485" t="s">
        <v>3146</v>
      </c>
      <c r="J2485" t="s">
        <v>1708</v>
      </c>
      <c r="K2485" s="39">
        <v>0.83517399999999997</v>
      </c>
      <c r="L2485" s="1">
        <v>1.011441</v>
      </c>
      <c r="M2485" s="1" t="s">
        <v>4352</v>
      </c>
      <c r="N2485" s="1">
        <v>811.14499999999998</v>
      </c>
      <c r="O2485" s="1">
        <f>ABS(Table4[[#This Row],[EndMP]]-Table4[[#This Row],[StartMP]])</f>
        <v>0.96899999999999409</v>
      </c>
      <c r="P2485" s="1" t="str">
        <f>IF( AND( Table4[[#This Row],[Route]]=ClosureLocation!$B$3, ClosureLocation!$B$6 &gt;= Table4[[#This Row],[StartMP]], ClosureLocation!$B$6 &lt;= Table4[[#This Row],[EndMP]]), "Yes", "")</f>
        <v/>
      </c>
      <c r="Q2485" s="1" t="str">
        <f>IF( AND( Table4[[#This Row],[Route]]=ClosureLocation!$B$3, ClosureLocation!$B$6 &lt;= Table4[[#This Row],[StartMP]], ClosureLocation!$B$6 &gt;= Table4[[#This Row],[EndMP]]), "Yes", "")</f>
        <v/>
      </c>
      <c r="R2485" s="1" t="str">
        <f>IF( OR( Table4[[#This Row],[PrimaryMatch]]="Yes", Table4[[#This Row],[SecondaryMatch]]="Yes"), "Yes", "")</f>
        <v/>
      </c>
    </row>
    <row r="2486" spans="1:18" hidden="1" x14ac:dyDescent="0.25">
      <c r="A2486" t="s">
        <v>202</v>
      </c>
      <c r="B2486" t="s">
        <v>3205</v>
      </c>
      <c r="C2486" t="s">
        <v>3222</v>
      </c>
      <c r="D2486" t="s">
        <v>3339</v>
      </c>
      <c r="E2486" s="1">
        <v>34.090000000000003</v>
      </c>
      <c r="F2486" s="1">
        <v>121.71299999999999</v>
      </c>
      <c r="G2486">
        <v>1</v>
      </c>
      <c r="H2486">
        <v>1</v>
      </c>
      <c r="I2486" t="s">
        <v>2143</v>
      </c>
      <c r="J2486" t="s">
        <v>1696</v>
      </c>
      <c r="K2486" s="39">
        <v>0.81990700000000005</v>
      </c>
      <c r="L2486" s="1">
        <v>30.120978000000001</v>
      </c>
      <c r="M2486" s="58" t="s">
        <v>3340</v>
      </c>
      <c r="N2486" s="1">
        <v>34.090000000000003</v>
      </c>
      <c r="O2486" s="1">
        <f>ABS(Table4[[#This Row],[EndMP]]-Table4[[#This Row],[StartMP]])</f>
        <v>87.62299999999999</v>
      </c>
      <c r="P2486" s="1" t="str">
        <f>IF( AND( Table4[[#This Row],[Route]]=ClosureLocation!$B$3, ClosureLocation!$B$6 &gt;= Table4[[#This Row],[StartMP]], ClosureLocation!$B$6 &lt;= Table4[[#This Row],[EndMP]]), "Yes", "")</f>
        <v/>
      </c>
      <c r="Q2486" s="1" t="str">
        <f>IF( AND( Table4[[#This Row],[Route]]=ClosureLocation!$B$3, ClosureLocation!$B$6 &lt;= Table4[[#This Row],[StartMP]], ClosureLocation!$B$6 &gt;= Table4[[#This Row],[EndMP]]), "Yes", "")</f>
        <v/>
      </c>
      <c r="R2486" s="1" t="str">
        <f>IF( OR( Table4[[#This Row],[PrimaryMatch]]="Yes", Table4[[#This Row],[SecondaryMatch]]="Yes"), "Yes", "")</f>
        <v/>
      </c>
    </row>
    <row r="2487" spans="1:18" hidden="1" x14ac:dyDescent="0.25">
      <c r="A2487" t="s">
        <v>1471</v>
      </c>
      <c r="B2487" t="s">
        <v>3209</v>
      </c>
      <c r="C2487" t="s">
        <v>3210</v>
      </c>
      <c r="D2487" t="s">
        <v>4237</v>
      </c>
      <c r="E2487" s="1">
        <v>34.101999999999997</v>
      </c>
      <c r="F2487" s="1">
        <v>34.027999999999999</v>
      </c>
      <c r="G2487">
        <v>1</v>
      </c>
      <c r="H2487">
        <v>7</v>
      </c>
      <c r="I2487" t="s">
        <v>3054</v>
      </c>
      <c r="J2487" t="s">
        <v>1695</v>
      </c>
      <c r="K2487" s="39">
        <v>0.81461300000000003</v>
      </c>
      <c r="L2487" s="1">
        <v>0.47234300000000001</v>
      </c>
      <c r="M2487" s="1" t="s">
        <v>5020</v>
      </c>
      <c r="N2487" s="1">
        <v>965.89800000000002</v>
      </c>
      <c r="O2487" s="1">
        <f>ABS(Table4[[#This Row],[EndMP]]-Table4[[#This Row],[StartMP]])</f>
        <v>7.3999999999998067E-2</v>
      </c>
      <c r="P2487" s="1" t="str">
        <f>IF( AND( Table4[[#This Row],[Route]]=ClosureLocation!$B$3, ClosureLocation!$B$6 &gt;= Table4[[#This Row],[StartMP]], ClosureLocation!$B$6 &lt;= Table4[[#This Row],[EndMP]]), "Yes", "")</f>
        <v/>
      </c>
      <c r="Q2487" s="1" t="str">
        <f>IF( AND( Table4[[#This Row],[Route]]=ClosureLocation!$B$3, ClosureLocation!$B$6 &lt;= Table4[[#This Row],[StartMP]], ClosureLocation!$B$6 &gt;= Table4[[#This Row],[EndMP]]), "Yes", "")</f>
        <v/>
      </c>
      <c r="R2487" s="1" t="str">
        <f>IF( OR( Table4[[#This Row],[PrimaryMatch]]="Yes", Table4[[#This Row],[SecondaryMatch]]="Yes"), "Yes", "")</f>
        <v/>
      </c>
    </row>
    <row r="2488" spans="1:18" hidden="1" x14ac:dyDescent="0.25">
      <c r="A2488" t="s">
        <v>143</v>
      </c>
      <c r="B2488" t="s">
        <v>3209</v>
      </c>
      <c r="C2488" t="s">
        <v>3226</v>
      </c>
      <c r="D2488" t="s">
        <v>3289</v>
      </c>
      <c r="E2488" s="1">
        <v>76.956999999999994</v>
      </c>
      <c r="F2488" s="1">
        <v>61.877000000000002</v>
      </c>
      <c r="G2488">
        <v>1</v>
      </c>
      <c r="H2488">
        <v>2</v>
      </c>
      <c r="I2488" t="s">
        <v>2112</v>
      </c>
      <c r="J2488" t="s">
        <v>1693</v>
      </c>
      <c r="K2488" s="39">
        <v>0.76832800000000001</v>
      </c>
      <c r="L2488" s="1">
        <v>7.6033759999999999</v>
      </c>
      <c r="M2488" s="1" t="s">
        <v>3290</v>
      </c>
      <c r="N2488" s="1">
        <v>923.04300000000001</v>
      </c>
      <c r="O2488" s="1">
        <f>ABS(Table4[[#This Row],[EndMP]]-Table4[[#This Row],[StartMP]])</f>
        <v>15.079999999999991</v>
      </c>
      <c r="P2488" s="1" t="str">
        <f>IF( AND( Table4[[#This Row],[Route]]=ClosureLocation!$B$3, ClosureLocation!$B$6 &gt;= Table4[[#This Row],[StartMP]], ClosureLocation!$B$6 &lt;= Table4[[#This Row],[EndMP]]), "Yes", "")</f>
        <v/>
      </c>
      <c r="Q2488" s="1" t="str">
        <f>IF( AND( Table4[[#This Row],[Route]]=ClosureLocation!$B$3, ClosureLocation!$B$6 &lt;= Table4[[#This Row],[StartMP]], ClosureLocation!$B$6 &gt;= Table4[[#This Row],[EndMP]]), "Yes", "")</f>
        <v/>
      </c>
      <c r="R2488" s="1" t="str">
        <f>IF( OR( Table4[[#This Row],[PrimaryMatch]]="Yes", Table4[[#This Row],[SecondaryMatch]]="Yes"), "Yes", "")</f>
        <v/>
      </c>
    </row>
    <row r="2489" spans="1:18" hidden="1" x14ac:dyDescent="0.25">
      <c r="A2489" t="s">
        <v>546</v>
      </c>
      <c r="B2489" t="s">
        <v>3209</v>
      </c>
      <c r="C2489" t="s">
        <v>3226</v>
      </c>
      <c r="D2489" t="s">
        <v>3585</v>
      </c>
      <c r="E2489" s="1">
        <v>296</v>
      </c>
      <c r="F2489" s="1">
        <v>291.44400000000002</v>
      </c>
      <c r="H2489">
        <v>2</v>
      </c>
      <c r="I2489" t="s">
        <v>2390</v>
      </c>
      <c r="J2489" t="s">
        <v>1702</v>
      </c>
      <c r="K2489" s="39">
        <v>0.73612999999999995</v>
      </c>
      <c r="L2489" s="1">
        <v>2.1215259999999998</v>
      </c>
      <c r="M2489" s="1" t="s">
        <v>3589</v>
      </c>
      <c r="N2489" s="1">
        <v>704</v>
      </c>
      <c r="O2489" s="1">
        <f>ABS(Table4[[#This Row],[EndMP]]-Table4[[#This Row],[StartMP]])</f>
        <v>4.5559999999999832</v>
      </c>
      <c r="P2489" s="1" t="str">
        <f>IF( AND( Table4[[#This Row],[Route]]=ClosureLocation!$B$3, ClosureLocation!$B$6 &gt;= Table4[[#This Row],[StartMP]], ClosureLocation!$B$6 &lt;= Table4[[#This Row],[EndMP]]), "Yes", "")</f>
        <v/>
      </c>
      <c r="Q2489" s="1" t="str">
        <f>IF( AND( Table4[[#This Row],[Route]]=ClosureLocation!$B$3, ClosureLocation!$B$6 &lt;= Table4[[#This Row],[StartMP]], ClosureLocation!$B$6 &gt;= Table4[[#This Row],[EndMP]]), "Yes", "")</f>
        <v/>
      </c>
      <c r="R2489" s="1" t="str">
        <f>IF( OR( Table4[[#This Row],[PrimaryMatch]]="Yes", Table4[[#This Row],[SecondaryMatch]]="Yes"), "Yes", "")</f>
        <v/>
      </c>
    </row>
    <row r="2490" spans="1:18" hidden="1" x14ac:dyDescent="0.25">
      <c r="A2490" t="s">
        <v>206</v>
      </c>
      <c r="B2490" t="s">
        <v>3209</v>
      </c>
      <c r="C2490" t="s">
        <v>3226</v>
      </c>
      <c r="D2490" t="s">
        <v>3351</v>
      </c>
      <c r="E2490" s="1">
        <v>236.92400000000001</v>
      </c>
      <c r="F2490" s="1">
        <v>236.82400000000001</v>
      </c>
      <c r="G2490">
        <v>1</v>
      </c>
      <c r="H2490">
        <v>4</v>
      </c>
      <c r="I2490" t="s">
        <v>2152</v>
      </c>
      <c r="J2490" t="s">
        <v>1702</v>
      </c>
      <c r="K2490" s="39">
        <v>0.71206199999999997</v>
      </c>
      <c r="L2490" s="1">
        <v>0.37968499999999999</v>
      </c>
      <c r="M2490" s="1" t="s">
        <v>3352</v>
      </c>
      <c r="N2490" s="1">
        <v>763.07600000000002</v>
      </c>
      <c r="O2490" s="1">
        <f>ABS(Table4[[#This Row],[EndMP]]-Table4[[#This Row],[StartMP]])</f>
        <v>9.9999999999994316E-2</v>
      </c>
      <c r="P2490" s="1" t="str">
        <f>IF( AND( Table4[[#This Row],[Route]]=ClosureLocation!$B$3, ClosureLocation!$B$6 &gt;= Table4[[#This Row],[StartMP]], ClosureLocation!$B$6 &lt;= Table4[[#This Row],[EndMP]]), "Yes", "")</f>
        <v/>
      </c>
      <c r="Q2490" s="1" t="str">
        <f>IF( AND( Table4[[#This Row],[Route]]=ClosureLocation!$B$3, ClosureLocation!$B$6 &lt;= Table4[[#This Row],[StartMP]], ClosureLocation!$B$6 &gt;= Table4[[#This Row],[EndMP]]), "Yes", "")</f>
        <v/>
      </c>
      <c r="R2490" s="1" t="str">
        <f>IF( OR( Table4[[#This Row],[PrimaryMatch]]="Yes", Table4[[#This Row],[SecondaryMatch]]="Yes"), "Yes", "")</f>
        <v/>
      </c>
    </row>
    <row r="2491" spans="1:18" hidden="1" x14ac:dyDescent="0.25">
      <c r="A2491" t="s">
        <v>377</v>
      </c>
      <c r="B2491" t="s">
        <v>3209</v>
      </c>
      <c r="C2491" t="s">
        <v>3210</v>
      </c>
      <c r="D2491" t="s">
        <v>3465</v>
      </c>
      <c r="E2491" s="1">
        <v>3.6429999999999998</v>
      </c>
      <c r="F2491" s="1">
        <v>1.51</v>
      </c>
      <c r="G2491">
        <v>2</v>
      </c>
      <c r="H2491">
        <v>2</v>
      </c>
      <c r="I2491" t="s">
        <v>2279</v>
      </c>
      <c r="J2491" t="s">
        <v>1705</v>
      </c>
      <c r="K2491" s="39">
        <v>0.68681800000000004</v>
      </c>
      <c r="L2491" s="1">
        <v>1.5200670000000001</v>
      </c>
      <c r="M2491" s="1" t="s">
        <v>3466</v>
      </c>
      <c r="N2491" s="1">
        <v>996.35699999999997</v>
      </c>
      <c r="O2491" s="1">
        <f>ABS(Table4[[#This Row],[EndMP]]-Table4[[#This Row],[StartMP]])</f>
        <v>2.133</v>
      </c>
      <c r="P2491" s="1" t="str">
        <f>IF( AND( Table4[[#This Row],[Route]]=ClosureLocation!$B$3, ClosureLocation!$B$6 &gt;= Table4[[#This Row],[StartMP]], ClosureLocation!$B$6 &lt;= Table4[[#This Row],[EndMP]]), "Yes", "")</f>
        <v/>
      </c>
      <c r="Q2491" s="1" t="str">
        <f>IF( AND( Table4[[#This Row],[Route]]=ClosureLocation!$B$3, ClosureLocation!$B$6 &lt;= Table4[[#This Row],[StartMP]], ClosureLocation!$B$6 &gt;= Table4[[#This Row],[EndMP]]), "Yes", "")</f>
        <v/>
      </c>
      <c r="R2491" s="1" t="str">
        <f>IF( OR( Table4[[#This Row],[PrimaryMatch]]="Yes", Table4[[#This Row],[SecondaryMatch]]="Yes"), "Yes", "")</f>
        <v/>
      </c>
    </row>
    <row r="2492" spans="1:18" hidden="1" x14ac:dyDescent="0.25">
      <c r="A2492" t="s">
        <v>292</v>
      </c>
      <c r="B2492" t="s">
        <v>3205</v>
      </c>
      <c r="C2492" t="s">
        <v>3222</v>
      </c>
      <c r="D2492" t="s">
        <v>3411</v>
      </c>
      <c r="E2492" s="1">
        <v>376.714</v>
      </c>
      <c r="F2492" s="1">
        <v>378.79500000000002</v>
      </c>
      <c r="G2492">
        <v>3</v>
      </c>
      <c r="H2492">
        <v>3</v>
      </c>
      <c r="I2492" t="s">
        <v>2195</v>
      </c>
      <c r="J2492" t="s">
        <v>1702</v>
      </c>
      <c r="K2492" s="39">
        <v>0.66090599999999999</v>
      </c>
      <c r="L2492" s="1">
        <v>1.1620459999999999</v>
      </c>
      <c r="M2492" s="1" t="s">
        <v>3414</v>
      </c>
      <c r="N2492" s="1">
        <v>376.714</v>
      </c>
      <c r="O2492" s="1">
        <f>ABS(Table4[[#This Row],[EndMP]]-Table4[[#This Row],[StartMP]])</f>
        <v>2.0810000000000173</v>
      </c>
      <c r="P2492" s="1" t="str">
        <f>IF( AND( Table4[[#This Row],[Route]]=ClosureLocation!$B$3, ClosureLocation!$B$6 &gt;= Table4[[#This Row],[StartMP]], ClosureLocation!$B$6 &lt;= Table4[[#This Row],[EndMP]]), "Yes", "")</f>
        <v/>
      </c>
      <c r="Q2492" s="1" t="str">
        <f>IF( AND( Table4[[#This Row],[Route]]=ClosureLocation!$B$3, ClosureLocation!$B$6 &lt;= Table4[[#This Row],[StartMP]], ClosureLocation!$B$6 &gt;= Table4[[#This Row],[EndMP]]), "Yes", "")</f>
        <v/>
      </c>
      <c r="R2492" s="1" t="str">
        <f>IF( OR( Table4[[#This Row],[PrimaryMatch]]="Yes", Table4[[#This Row],[SecondaryMatch]]="Yes"), "Yes", "")</f>
        <v/>
      </c>
    </row>
    <row r="2493" spans="1:18" hidden="1" x14ac:dyDescent="0.25">
      <c r="A2493" t="s">
        <v>81</v>
      </c>
      <c r="B2493" t="s">
        <v>3209</v>
      </c>
      <c r="C2493" t="s">
        <v>3226</v>
      </c>
      <c r="D2493" t="s">
        <v>3260</v>
      </c>
      <c r="E2493" s="1">
        <v>292.38299999999998</v>
      </c>
      <c r="F2493" s="1">
        <v>291.10000000000002</v>
      </c>
      <c r="G2493">
        <v>3</v>
      </c>
      <c r="H2493">
        <v>6</v>
      </c>
      <c r="I2493" t="s">
        <v>2087</v>
      </c>
      <c r="J2493" t="s">
        <v>1696</v>
      </c>
      <c r="K2493" s="39">
        <v>0.65847100000000003</v>
      </c>
      <c r="L2493" s="1">
        <v>0.49205199999999999</v>
      </c>
      <c r="M2493" s="1" t="s">
        <v>3263</v>
      </c>
      <c r="N2493" s="1">
        <v>707.61699999999996</v>
      </c>
      <c r="O2493" s="1">
        <f>ABS(Table4[[#This Row],[EndMP]]-Table4[[#This Row],[StartMP]])</f>
        <v>1.2829999999999586</v>
      </c>
      <c r="P2493" s="1" t="str">
        <f>IF( AND( Table4[[#This Row],[Route]]=ClosureLocation!$B$3, ClosureLocation!$B$6 &gt;= Table4[[#This Row],[StartMP]], ClosureLocation!$B$6 &lt;= Table4[[#This Row],[EndMP]]), "Yes", "")</f>
        <v/>
      </c>
      <c r="Q2493" s="1" t="str">
        <f>IF( AND( Table4[[#This Row],[Route]]=ClosureLocation!$B$3, ClosureLocation!$B$6 &lt;= Table4[[#This Row],[StartMP]], ClosureLocation!$B$6 &gt;= Table4[[#This Row],[EndMP]]), "Yes", "")</f>
        <v/>
      </c>
      <c r="R2493" s="1" t="str">
        <f>IF( OR( Table4[[#This Row],[PrimaryMatch]]="Yes", Table4[[#This Row],[SecondaryMatch]]="Yes"), "Yes", "")</f>
        <v/>
      </c>
    </row>
    <row r="2494" spans="1:18" hidden="1" x14ac:dyDescent="0.25">
      <c r="A2494" t="s">
        <v>384</v>
      </c>
      <c r="B2494" t="s">
        <v>3205</v>
      </c>
      <c r="C2494" t="s">
        <v>3222</v>
      </c>
      <c r="D2494" t="s">
        <v>3467</v>
      </c>
      <c r="E2494" s="1">
        <v>11.17</v>
      </c>
      <c r="F2494" s="1">
        <v>14.06</v>
      </c>
      <c r="G2494">
        <v>1</v>
      </c>
      <c r="H2494">
        <v>1</v>
      </c>
      <c r="I2494" t="s">
        <v>2281</v>
      </c>
      <c r="J2494" t="s">
        <v>1690</v>
      </c>
      <c r="K2494" s="39">
        <v>0.61502299999999999</v>
      </c>
      <c r="L2494" s="1">
        <v>1.4131039999999999</v>
      </c>
      <c r="M2494" s="1" t="s">
        <v>3468</v>
      </c>
      <c r="N2494" s="1">
        <v>11.17</v>
      </c>
      <c r="O2494" s="1">
        <f>ABS(Table4[[#This Row],[EndMP]]-Table4[[#This Row],[StartMP]])</f>
        <v>2.8900000000000006</v>
      </c>
      <c r="P2494" s="1" t="str">
        <f>IF( AND( Table4[[#This Row],[Route]]=ClosureLocation!$B$3, ClosureLocation!$B$6 &gt;= Table4[[#This Row],[StartMP]], ClosureLocation!$B$6 &lt;= Table4[[#This Row],[EndMP]]), "Yes", "")</f>
        <v/>
      </c>
      <c r="Q2494" s="1" t="str">
        <f>IF( AND( Table4[[#This Row],[Route]]=ClosureLocation!$B$3, ClosureLocation!$B$6 &lt;= Table4[[#This Row],[StartMP]], ClosureLocation!$B$6 &gt;= Table4[[#This Row],[EndMP]]), "Yes", "")</f>
        <v/>
      </c>
      <c r="R2494" s="1" t="str">
        <f>IF( OR( Table4[[#This Row],[PrimaryMatch]]="Yes", Table4[[#This Row],[SecondaryMatch]]="Yes"), "Yes", "")</f>
        <v/>
      </c>
    </row>
    <row r="2495" spans="1:18" hidden="1" x14ac:dyDescent="0.25">
      <c r="A2495" t="s">
        <v>1002</v>
      </c>
      <c r="B2495" t="s">
        <v>3209</v>
      </c>
      <c r="C2495" t="s">
        <v>3210</v>
      </c>
      <c r="D2495" t="s">
        <v>3899</v>
      </c>
      <c r="E2495" s="1">
        <v>1.5149999999999999</v>
      </c>
      <c r="F2495" s="1">
        <v>0</v>
      </c>
      <c r="G2495">
        <v>1</v>
      </c>
      <c r="H2495">
        <v>2</v>
      </c>
      <c r="I2495" t="s">
        <v>2792</v>
      </c>
      <c r="J2495" t="s">
        <v>1689</v>
      </c>
      <c r="K2495" s="39">
        <v>0.58701499999999995</v>
      </c>
      <c r="L2495" s="1">
        <v>0.66161199999999998</v>
      </c>
      <c r="M2495" s="1" t="s">
        <v>3900</v>
      </c>
      <c r="N2495" s="1">
        <v>998.48500000000001</v>
      </c>
      <c r="O2495" s="1">
        <f>ABS(Table4[[#This Row],[EndMP]]-Table4[[#This Row],[StartMP]])</f>
        <v>1.5149999999999999</v>
      </c>
      <c r="P2495" s="1" t="str">
        <f>IF( AND( Table4[[#This Row],[Route]]=ClosureLocation!$B$3, ClosureLocation!$B$6 &gt;= Table4[[#This Row],[StartMP]], ClosureLocation!$B$6 &lt;= Table4[[#This Row],[EndMP]]), "Yes", "")</f>
        <v/>
      </c>
      <c r="Q2495" s="1" t="str">
        <f>IF( AND( Table4[[#This Row],[Route]]=ClosureLocation!$B$3, ClosureLocation!$B$6 &lt;= Table4[[#This Row],[StartMP]], ClosureLocation!$B$6 &gt;= Table4[[#This Row],[EndMP]]), "Yes", "")</f>
        <v/>
      </c>
      <c r="R2495" s="1" t="str">
        <f>IF( OR( Table4[[#This Row],[PrimaryMatch]]="Yes", Table4[[#This Row],[SecondaryMatch]]="Yes"), "Yes", "")</f>
        <v/>
      </c>
    </row>
    <row r="2496" spans="1:18" hidden="1" x14ac:dyDescent="0.25">
      <c r="A2496" t="s">
        <v>454</v>
      </c>
      <c r="B2496" t="s">
        <v>3205</v>
      </c>
      <c r="C2496" t="s">
        <v>3222</v>
      </c>
      <c r="D2496" t="s">
        <v>3525</v>
      </c>
      <c r="E2496" s="1">
        <v>35.005000000000003</v>
      </c>
      <c r="F2496" s="1">
        <v>38.981000000000002</v>
      </c>
      <c r="G2496">
        <v>3</v>
      </c>
      <c r="H2496">
        <v>9</v>
      </c>
      <c r="I2496" t="s">
        <v>2333</v>
      </c>
      <c r="J2496" t="s">
        <v>1701</v>
      </c>
      <c r="K2496" s="39">
        <v>0.56642599999999999</v>
      </c>
      <c r="L2496" s="1">
        <v>0.31878099999999998</v>
      </c>
      <c r="M2496" s="1" t="s">
        <v>3528</v>
      </c>
      <c r="N2496" s="1">
        <v>35.005000000000003</v>
      </c>
      <c r="O2496" s="1">
        <f>ABS(Table4[[#This Row],[EndMP]]-Table4[[#This Row],[StartMP]])</f>
        <v>3.9759999999999991</v>
      </c>
      <c r="P2496" s="1" t="str">
        <f>IF( AND( Table4[[#This Row],[Route]]=ClosureLocation!$B$3, ClosureLocation!$B$6 &gt;= Table4[[#This Row],[StartMP]], ClosureLocation!$B$6 &lt;= Table4[[#This Row],[EndMP]]), "Yes", "")</f>
        <v/>
      </c>
      <c r="Q2496" s="1" t="str">
        <f>IF( AND( Table4[[#This Row],[Route]]=ClosureLocation!$B$3, ClosureLocation!$B$6 &lt;= Table4[[#This Row],[StartMP]], ClosureLocation!$B$6 &gt;= Table4[[#This Row],[EndMP]]), "Yes", "")</f>
        <v/>
      </c>
      <c r="R2496" s="1" t="str">
        <f>IF( OR( Table4[[#This Row],[PrimaryMatch]]="Yes", Table4[[#This Row],[SecondaryMatch]]="Yes"), "Yes", "")</f>
        <v/>
      </c>
    </row>
    <row r="2497" spans="1:18" hidden="1" x14ac:dyDescent="0.25">
      <c r="A2497" t="s">
        <v>81</v>
      </c>
      <c r="B2497" t="s">
        <v>3205</v>
      </c>
      <c r="C2497" t="s">
        <v>3222</v>
      </c>
      <c r="D2497" t="s">
        <v>3256</v>
      </c>
      <c r="E2497" s="1">
        <v>291.10000000000002</v>
      </c>
      <c r="F2497" s="1">
        <v>292.28399999999999</v>
      </c>
      <c r="G2497">
        <v>1</v>
      </c>
      <c r="H2497">
        <v>1</v>
      </c>
      <c r="I2497" t="s">
        <v>2082</v>
      </c>
      <c r="J2497" t="s">
        <v>1696</v>
      </c>
      <c r="K2497" s="39">
        <v>0.54870699999999994</v>
      </c>
      <c r="L2497" s="1">
        <v>0.47332999999999997</v>
      </c>
      <c r="M2497" s="1" t="s">
        <v>3257</v>
      </c>
      <c r="N2497" s="1">
        <v>291.10000000000002</v>
      </c>
      <c r="O2497" s="1">
        <f>ABS(Table4[[#This Row],[EndMP]]-Table4[[#This Row],[StartMP]])</f>
        <v>1.1839999999999691</v>
      </c>
      <c r="P2497" s="1" t="str">
        <f>IF( AND( Table4[[#This Row],[Route]]=ClosureLocation!$B$3, ClosureLocation!$B$6 &gt;= Table4[[#This Row],[StartMP]], ClosureLocation!$B$6 &lt;= Table4[[#This Row],[EndMP]]), "Yes", "")</f>
        <v/>
      </c>
      <c r="Q2497" s="1" t="str">
        <f>IF( AND( Table4[[#This Row],[Route]]=ClosureLocation!$B$3, ClosureLocation!$B$6 &lt;= Table4[[#This Row],[StartMP]], ClosureLocation!$B$6 &gt;= Table4[[#This Row],[EndMP]]), "Yes", "")</f>
        <v/>
      </c>
      <c r="R2497" s="1" t="str">
        <f>IF( OR( Table4[[#This Row],[PrimaryMatch]]="Yes", Table4[[#This Row],[SecondaryMatch]]="Yes"), "Yes", "")</f>
        <v/>
      </c>
    </row>
    <row r="2498" spans="1:18" hidden="1" x14ac:dyDescent="0.25">
      <c r="A2498" t="s">
        <v>1671</v>
      </c>
      <c r="B2498" t="s">
        <v>3209</v>
      </c>
      <c r="C2498" t="s">
        <v>3210</v>
      </c>
      <c r="D2498" t="s">
        <v>4413</v>
      </c>
      <c r="E2498" s="1">
        <v>26.718</v>
      </c>
      <c r="F2498" s="1">
        <v>26.216999999999999</v>
      </c>
      <c r="G2498">
        <v>3</v>
      </c>
      <c r="H2498">
        <v>6</v>
      </c>
      <c r="I2498" t="s">
        <v>3196</v>
      </c>
      <c r="J2498" t="s">
        <v>1694</v>
      </c>
      <c r="K2498" s="39">
        <v>0.54303400000000002</v>
      </c>
      <c r="L2498" s="1">
        <v>0.31500400000000001</v>
      </c>
      <c r="M2498" s="1" t="s">
        <v>5039</v>
      </c>
      <c r="N2498" s="1">
        <v>973.28200000000004</v>
      </c>
      <c r="O2498" s="1">
        <f>ABS(Table4[[#This Row],[EndMP]]-Table4[[#This Row],[StartMP]])</f>
        <v>0.50100000000000122</v>
      </c>
      <c r="P2498" s="1" t="str">
        <f>IF( AND( Table4[[#This Row],[Route]]=ClosureLocation!$B$3, ClosureLocation!$B$6 &gt;= Table4[[#This Row],[StartMP]], ClosureLocation!$B$6 &lt;= Table4[[#This Row],[EndMP]]), "Yes", "")</f>
        <v/>
      </c>
      <c r="Q2498" s="1" t="str">
        <f>IF( AND( Table4[[#This Row],[Route]]=ClosureLocation!$B$3, ClosureLocation!$B$6 &lt;= Table4[[#This Row],[StartMP]], ClosureLocation!$B$6 &gt;= Table4[[#This Row],[EndMP]]), "Yes", "")</f>
        <v/>
      </c>
      <c r="R2498" s="1" t="str">
        <f>IF( OR( Table4[[#This Row],[PrimaryMatch]]="Yes", Table4[[#This Row],[SecondaryMatch]]="Yes"), "Yes", "")</f>
        <v/>
      </c>
    </row>
    <row r="2499" spans="1:18" hidden="1" x14ac:dyDescent="0.25">
      <c r="A2499" t="s">
        <v>1671</v>
      </c>
      <c r="B2499" t="s">
        <v>3205</v>
      </c>
      <c r="C2499" t="s">
        <v>3206</v>
      </c>
      <c r="D2499" t="s">
        <v>4411</v>
      </c>
      <c r="E2499" s="1">
        <v>26.216999999999999</v>
      </c>
      <c r="F2499" s="1">
        <v>26.718</v>
      </c>
      <c r="G2499">
        <v>1</v>
      </c>
      <c r="H2499">
        <v>1</v>
      </c>
      <c r="I2499" t="s">
        <v>3191</v>
      </c>
      <c r="J2499" t="s">
        <v>1694</v>
      </c>
      <c r="K2499" s="39">
        <v>0.54300300000000001</v>
      </c>
      <c r="L2499" s="1">
        <v>0.31500400000000001</v>
      </c>
      <c r="M2499" s="1" t="s">
        <v>5036</v>
      </c>
      <c r="N2499" s="1">
        <v>26.216999999999999</v>
      </c>
      <c r="O2499" s="1">
        <f>ABS(Table4[[#This Row],[EndMP]]-Table4[[#This Row],[StartMP]])</f>
        <v>0.50100000000000122</v>
      </c>
      <c r="P2499" s="1" t="str">
        <f>IF( AND( Table4[[#This Row],[Route]]=ClosureLocation!$B$3, ClosureLocation!$B$6 &gt;= Table4[[#This Row],[StartMP]], ClosureLocation!$B$6 &lt;= Table4[[#This Row],[EndMP]]), "Yes", "")</f>
        <v/>
      </c>
      <c r="Q2499" s="1" t="str">
        <f>IF( AND( Table4[[#This Row],[Route]]=ClosureLocation!$B$3, ClosureLocation!$B$6 &lt;= Table4[[#This Row],[StartMP]], ClosureLocation!$B$6 &gt;= Table4[[#This Row],[EndMP]]), "Yes", "")</f>
        <v/>
      </c>
      <c r="R2499" s="1" t="str">
        <f>IF( OR( Table4[[#This Row],[PrimaryMatch]]="Yes", Table4[[#This Row],[SecondaryMatch]]="Yes"), "Yes", "")</f>
        <v/>
      </c>
    </row>
    <row r="2500" spans="1:18" hidden="1" x14ac:dyDescent="0.25">
      <c r="A2500" t="s">
        <v>108</v>
      </c>
      <c r="B2500" t="s">
        <v>3205</v>
      </c>
      <c r="C2500" t="s">
        <v>3222</v>
      </c>
      <c r="D2500" t="s">
        <v>3271</v>
      </c>
      <c r="E2500" s="1">
        <v>88.995000000000005</v>
      </c>
      <c r="F2500" s="1">
        <v>91.24</v>
      </c>
      <c r="G2500">
        <v>1</v>
      </c>
      <c r="H2500">
        <v>1</v>
      </c>
      <c r="I2500" t="s">
        <v>2097</v>
      </c>
      <c r="J2500" t="s">
        <v>1696</v>
      </c>
      <c r="K2500" s="39">
        <v>0.51899899999999999</v>
      </c>
      <c r="L2500" s="1">
        <v>2.3673660000000001</v>
      </c>
      <c r="M2500" s="1" t="s">
        <v>3272</v>
      </c>
      <c r="N2500" s="1">
        <v>88.995000000000005</v>
      </c>
      <c r="O2500" s="1">
        <f>ABS(Table4[[#This Row],[EndMP]]-Table4[[#This Row],[StartMP]])</f>
        <v>2.2449999999999903</v>
      </c>
      <c r="P2500" s="1" t="str">
        <f>IF( AND( Table4[[#This Row],[Route]]=ClosureLocation!$B$3, ClosureLocation!$B$6 &gt;= Table4[[#This Row],[StartMP]], ClosureLocation!$B$6 &lt;= Table4[[#This Row],[EndMP]]), "Yes", "")</f>
        <v/>
      </c>
      <c r="Q2500" s="1" t="str">
        <f>IF( AND( Table4[[#This Row],[Route]]=ClosureLocation!$B$3, ClosureLocation!$B$6 &lt;= Table4[[#This Row],[StartMP]], ClosureLocation!$B$6 &gt;= Table4[[#This Row],[EndMP]]), "Yes", "")</f>
        <v/>
      </c>
      <c r="R2500" s="1" t="str">
        <f>IF( OR( Table4[[#This Row],[PrimaryMatch]]="Yes", Table4[[#This Row],[SecondaryMatch]]="Yes"), "Yes", "")</f>
        <v/>
      </c>
    </row>
    <row r="2501" spans="1:18" hidden="1" x14ac:dyDescent="0.25">
      <c r="A2501" t="s">
        <v>1313</v>
      </c>
      <c r="B2501" t="s">
        <v>3205</v>
      </c>
      <c r="C2501" t="s">
        <v>3222</v>
      </c>
      <c r="D2501" t="s">
        <v>4149</v>
      </c>
      <c r="E2501" s="1">
        <v>37.72</v>
      </c>
      <c r="F2501" s="1">
        <v>38.195999999999998</v>
      </c>
      <c r="G2501">
        <v>2</v>
      </c>
      <c r="H2501">
        <v>9</v>
      </c>
      <c r="I2501" t="s">
        <v>2976</v>
      </c>
      <c r="J2501" t="s">
        <v>1694</v>
      </c>
      <c r="K2501" s="39">
        <v>0.51248400000000005</v>
      </c>
      <c r="L2501" s="1">
        <v>0.33587899999999998</v>
      </c>
      <c r="M2501" s="1" t="s">
        <v>5004</v>
      </c>
      <c r="N2501" s="1">
        <v>37.72</v>
      </c>
      <c r="O2501" s="1">
        <f>ABS(Table4[[#This Row],[EndMP]]-Table4[[#This Row],[StartMP]])</f>
        <v>0.47599999999999909</v>
      </c>
      <c r="P2501" s="1" t="str">
        <f>IF( AND( Table4[[#This Row],[Route]]=ClosureLocation!$B$3, ClosureLocation!$B$6 &gt;= Table4[[#This Row],[StartMP]], ClosureLocation!$B$6 &lt;= Table4[[#This Row],[EndMP]]), "Yes", "")</f>
        <v/>
      </c>
      <c r="Q2501" s="1" t="str">
        <f>IF( AND( Table4[[#This Row],[Route]]=ClosureLocation!$B$3, ClosureLocation!$B$6 &lt;= Table4[[#This Row],[StartMP]], ClosureLocation!$B$6 &gt;= Table4[[#This Row],[EndMP]]), "Yes", "")</f>
        <v/>
      </c>
      <c r="R2501" s="1" t="str">
        <f>IF( OR( Table4[[#This Row],[PrimaryMatch]]="Yes", Table4[[#This Row],[SecondaryMatch]]="Yes"), "Yes", "")</f>
        <v/>
      </c>
    </row>
    <row r="2502" spans="1:18" hidden="1" x14ac:dyDescent="0.25">
      <c r="A2502" t="s">
        <v>1313</v>
      </c>
      <c r="B2502" t="s">
        <v>3209</v>
      </c>
      <c r="C2502" t="s">
        <v>3226</v>
      </c>
      <c r="D2502" t="s">
        <v>4150</v>
      </c>
      <c r="E2502" s="1">
        <v>38.195999999999998</v>
      </c>
      <c r="F2502" s="1">
        <v>37.72</v>
      </c>
      <c r="G2502">
        <v>7</v>
      </c>
      <c r="H2502">
        <v>7</v>
      </c>
      <c r="I2502" t="s">
        <v>2989</v>
      </c>
      <c r="J2502" t="s">
        <v>1694</v>
      </c>
      <c r="K2502" s="39">
        <v>0.51245300000000005</v>
      </c>
      <c r="L2502" s="1">
        <v>0.33587899999999998</v>
      </c>
      <c r="M2502" s="1" t="s">
        <v>5012</v>
      </c>
      <c r="N2502" s="1">
        <v>961.80399999999997</v>
      </c>
      <c r="O2502" s="1">
        <f>ABS(Table4[[#This Row],[EndMP]]-Table4[[#This Row],[StartMP]])</f>
        <v>0.47599999999999909</v>
      </c>
      <c r="P2502" s="1" t="str">
        <f>IF( AND( Table4[[#This Row],[Route]]=ClosureLocation!$B$3, ClosureLocation!$B$6 &gt;= Table4[[#This Row],[StartMP]], ClosureLocation!$B$6 &lt;= Table4[[#This Row],[EndMP]]), "Yes", "")</f>
        <v/>
      </c>
      <c r="Q2502" s="1" t="str">
        <f>IF( AND( Table4[[#This Row],[Route]]=ClosureLocation!$B$3, ClosureLocation!$B$6 &lt;= Table4[[#This Row],[StartMP]], ClosureLocation!$B$6 &gt;= Table4[[#This Row],[EndMP]]), "Yes", "")</f>
        <v/>
      </c>
      <c r="R2502" s="1" t="str">
        <f>IF( OR( Table4[[#This Row],[PrimaryMatch]]="Yes", Table4[[#This Row],[SecondaryMatch]]="Yes"), "Yes", "")</f>
        <v/>
      </c>
    </row>
    <row r="2503" spans="1:18" hidden="1" x14ac:dyDescent="0.25">
      <c r="A2503" t="s">
        <v>1002</v>
      </c>
      <c r="B2503" t="s">
        <v>3205</v>
      </c>
      <c r="C2503" t="s">
        <v>3206</v>
      </c>
      <c r="D2503" t="s">
        <v>3897</v>
      </c>
      <c r="E2503" s="1">
        <v>0</v>
      </c>
      <c r="F2503" s="1">
        <v>1.5149999999999999</v>
      </c>
      <c r="G2503">
        <v>1</v>
      </c>
      <c r="H2503">
        <v>1</v>
      </c>
      <c r="I2503" t="s">
        <v>2791</v>
      </c>
      <c r="J2503" t="s">
        <v>1689</v>
      </c>
      <c r="K2503" s="39">
        <v>0.46574900000000002</v>
      </c>
      <c r="L2503" s="1">
        <v>0.58860599999999996</v>
      </c>
      <c r="M2503" s="1" t="s">
        <v>3898</v>
      </c>
      <c r="N2503" s="1">
        <v>0</v>
      </c>
      <c r="O2503" s="1">
        <f>ABS(Table4[[#This Row],[EndMP]]-Table4[[#This Row],[StartMP]])</f>
        <v>1.5149999999999999</v>
      </c>
      <c r="P2503" s="1" t="str">
        <f>IF( AND( Table4[[#This Row],[Route]]=ClosureLocation!$B$3, ClosureLocation!$B$6 &gt;= Table4[[#This Row],[StartMP]], ClosureLocation!$B$6 &lt;= Table4[[#This Row],[EndMP]]), "Yes", "")</f>
        <v/>
      </c>
      <c r="Q2503" s="1" t="str">
        <f>IF( AND( Table4[[#This Row],[Route]]=ClosureLocation!$B$3, ClosureLocation!$B$6 &lt;= Table4[[#This Row],[StartMP]], ClosureLocation!$B$6 &gt;= Table4[[#This Row],[EndMP]]), "Yes", "")</f>
        <v/>
      </c>
      <c r="R2503" s="1" t="str">
        <f>IF( OR( Table4[[#This Row],[PrimaryMatch]]="Yes", Table4[[#This Row],[SecondaryMatch]]="Yes"), "Yes", "")</f>
        <v/>
      </c>
    </row>
    <row r="2504" spans="1:18" hidden="1" x14ac:dyDescent="0.25">
      <c r="A2504" t="s">
        <v>1516</v>
      </c>
      <c r="B2504" t="s">
        <v>3209</v>
      </c>
      <c r="C2504" t="s">
        <v>3210</v>
      </c>
      <c r="D2504" t="s">
        <v>4296</v>
      </c>
      <c r="E2504" s="1">
        <v>289.154</v>
      </c>
      <c r="F2504" s="1">
        <v>282.86</v>
      </c>
      <c r="G2504">
        <v>10</v>
      </c>
      <c r="H2504">
        <v>2</v>
      </c>
      <c r="I2504" t="s">
        <v>3118</v>
      </c>
      <c r="J2504" t="s">
        <v>1700</v>
      </c>
      <c r="K2504" s="39">
        <v>0.41748600000000002</v>
      </c>
      <c r="L2504" s="1">
        <v>3.3163999999999998</v>
      </c>
      <c r="M2504" s="1" t="s">
        <v>4305</v>
      </c>
      <c r="N2504" s="1">
        <v>710.846</v>
      </c>
      <c r="O2504" s="1">
        <f>ABS(Table4[[#This Row],[EndMP]]-Table4[[#This Row],[StartMP]])</f>
        <v>6.2939999999999827</v>
      </c>
      <c r="P2504" s="1" t="str">
        <f>IF( AND( Table4[[#This Row],[Route]]=ClosureLocation!$B$3, ClosureLocation!$B$6 &gt;= Table4[[#This Row],[StartMP]], ClosureLocation!$B$6 &lt;= Table4[[#This Row],[EndMP]]), "Yes", "")</f>
        <v/>
      </c>
      <c r="Q2504" s="1" t="str">
        <f>IF( AND( Table4[[#This Row],[Route]]=ClosureLocation!$B$3, ClosureLocation!$B$6 &lt;= Table4[[#This Row],[StartMP]], ClosureLocation!$B$6 &gt;= Table4[[#This Row],[EndMP]]), "Yes", "")</f>
        <v/>
      </c>
      <c r="R2504" s="1" t="str">
        <f>IF( OR( Table4[[#This Row],[PrimaryMatch]]="Yes", Table4[[#This Row],[SecondaryMatch]]="Yes"), "Yes", "")</f>
        <v/>
      </c>
    </row>
    <row r="2505" spans="1:18" hidden="1" x14ac:dyDescent="0.25">
      <c r="A2505" t="s">
        <v>108</v>
      </c>
      <c r="B2505" t="s">
        <v>3209</v>
      </c>
      <c r="C2505" t="s">
        <v>3226</v>
      </c>
      <c r="D2505" t="s">
        <v>3273</v>
      </c>
      <c r="E2505" s="1">
        <v>91.24</v>
      </c>
      <c r="F2505" s="1">
        <v>88.995000000000005</v>
      </c>
      <c r="G2505">
        <v>1</v>
      </c>
      <c r="H2505">
        <v>2</v>
      </c>
      <c r="I2505" t="s">
        <v>2098</v>
      </c>
      <c r="J2505" t="s">
        <v>1696</v>
      </c>
      <c r="K2505" s="39">
        <v>0.35352</v>
      </c>
      <c r="L2505" s="1">
        <v>2.2480319999999998</v>
      </c>
      <c r="M2505" s="1" t="s">
        <v>3274</v>
      </c>
      <c r="N2505" s="1">
        <v>908.76</v>
      </c>
      <c r="O2505" s="1">
        <f>ABS(Table4[[#This Row],[EndMP]]-Table4[[#This Row],[StartMP]])</f>
        <v>2.2449999999999903</v>
      </c>
      <c r="P2505" s="1" t="str">
        <f>IF( AND( Table4[[#This Row],[Route]]=ClosureLocation!$B$3, ClosureLocation!$B$6 &gt;= Table4[[#This Row],[StartMP]], ClosureLocation!$B$6 &lt;= Table4[[#This Row],[EndMP]]), "Yes", "")</f>
        <v/>
      </c>
      <c r="Q2505" s="1" t="str">
        <f>IF( AND( Table4[[#This Row],[Route]]=ClosureLocation!$B$3, ClosureLocation!$B$6 &lt;= Table4[[#This Row],[StartMP]], ClosureLocation!$B$6 &gt;= Table4[[#This Row],[EndMP]]), "Yes", "")</f>
        <v/>
      </c>
      <c r="R2505" s="1" t="str">
        <f>IF( OR( Table4[[#This Row],[PrimaryMatch]]="Yes", Table4[[#This Row],[SecondaryMatch]]="Yes"), "Yes", "")</f>
        <v/>
      </c>
    </row>
    <row r="2506" spans="1:18" hidden="1" x14ac:dyDescent="0.25">
      <c r="A2506" t="s">
        <v>377</v>
      </c>
      <c r="B2506" t="s">
        <v>3205</v>
      </c>
      <c r="C2506" t="s">
        <v>3206</v>
      </c>
      <c r="D2506" t="s">
        <v>3462</v>
      </c>
      <c r="E2506" s="1">
        <v>0.10299999999999999</v>
      </c>
      <c r="F2506" s="1">
        <v>1.51</v>
      </c>
      <c r="G2506">
        <v>1</v>
      </c>
      <c r="H2506">
        <v>1</v>
      </c>
      <c r="I2506" t="s">
        <v>2275</v>
      </c>
      <c r="J2506" t="s">
        <v>1705</v>
      </c>
      <c r="K2506" s="39">
        <v>0.32274000000000003</v>
      </c>
      <c r="L2506" s="1">
        <v>0.57408099999999995</v>
      </c>
      <c r="M2506" s="1" t="s">
        <v>3463</v>
      </c>
      <c r="N2506" s="1">
        <v>0.10299999999999999</v>
      </c>
      <c r="O2506" s="1">
        <f>ABS(Table4[[#This Row],[EndMP]]-Table4[[#This Row],[StartMP]])</f>
        <v>1.407</v>
      </c>
      <c r="P2506" s="1" t="str">
        <f>IF( AND( Table4[[#This Row],[Route]]=ClosureLocation!$B$3, ClosureLocation!$B$6 &gt;= Table4[[#This Row],[StartMP]], ClosureLocation!$B$6 &lt;= Table4[[#This Row],[EndMP]]), "Yes", "")</f>
        <v/>
      </c>
      <c r="Q2506" s="1" t="str">
        <f>IF( AND( Table4[[#This Row],[Route]]=ClosureLocation!$B$3, ClosureLocation!$B$6 &lt;= Table4[[#This Row],[StartMP]], ClosureLocation!$B$6 &gt;= Table4[[#This Row],[EndMP]]), "Yes", "")</f>
        <v/>
      </c>
      <c r="R2506" s="1" t="str">
        <f>IF( OR( Table4[[#This Row],[PrimaryMatch]]="Yes", Table4[[#This Row],[SecondaryMatch]]="Yes"), "Yes", "")</f>
        <v/>
      </c>
    </row>
    <row r="2507" spans="1:18" hidden="1" x14ac:dyDescent="0.25">
      <c r="A2507" t="s">
        <v>430</v>
      </c>
      <c r="B2507" t="s">
        <v>3205</v>
      </c>
      <c r="C2507" t="s">
        <v>3222</v>
      </c>
      <c r="D2507" t="s">
        <v>3503</v>
      </c>
      <c r="E2507" s="1">
        <v>0.26700000000000002</v>
      </c>
      <c r="F2507" s="1">
        <v>0.67800000000000005</v>
      </c>
      <c r="G2507">
        <v>1</v>
      </c>
      <c r="H2507">
        <v>4</v>
      </c>
      <c r="I2507" t="s">
        <v>2314</v>
      </c>
      <c r="J2507" t="s">
        <v>1702</v>
      </c>
      <c r="K2507" s="39">
        <v>0.27598400000000001</v>
      </c>
      <c r="L2507" s="1">
        <v>0.22140599999999999</v>
      </c>
      <c r="M2507" s="1" t="s">
        <v>3504</v>
      </c>
      <c r="N2507" s="1">
        <v>0.26700000000000002</v>
      </c>
      <c r="O2507" s="1">
        <f>ABS(Table4[[#This Row],[EndMP]]-Table4[[#This Row],[StartMP]])</f>
        <v>0.41100000000000003</v>
      </c>
      <c r="P2507" s="1" t="str">
        <f>IF( AND( Table4[[#This Row],[Route]]=ClosureLocation!$B$3, ClosureLocation!$B$6 &gt;= Table4[[#This Row],[StartMP]], ClosureLocation!$B$6 &lt;= Table4[[#This Row],[EndMP]]), "Yes", "")</f>
        <v/>
      </c>
      <c r="Q2507" s="1" t="str">
        <f>IF( AND( Table4[[#This Row],[Route]]=ClosureLocation!$B$3, ClosureLocation!$B$6 &lt;= Table4[[#This Row],[StartMP]], ClosureLocation!$B$6 &gt;= Table4[[#This Row],[EndMP]]), "Yes", "")</f>
        <v/>
      </c>
      <c r="R2507" s="1" t="str">
        <f>IF( OR( Table4[[#This Row],[PrimaryMatch]]="Yes", Table4[[#This Row],[SecondaryMatch]]="Yes"), "Yes", "")</f>
        <v/>
      </c>
    </row>
    <row r="2508" spans="1:18" hidden="1" x14ac:dyDescent="0.25">
      <c r="A2508" t="s">
        <v>599</v>
      </c>
      <c r="B2508" t="s">
        <v>3209</v>
      </c>
      <c r="C2508" t="s">
        <v>3226</v>
      </c>
      <c r="D2508" t="s">
        <v>3610</v>
      </c>
      <c r="E2508" s="1">
        <v>4.4660000000000002</v>
      </c>
      <c r="F2508" s="1">
        <v>8.4000000000000005E-2</v>
      </c>
      <c r="G2508">
        <v>1</v>
      </c>
      <c r="H2508">
        <v>2</v>
      </c>
      <c r="I2508" t="s">
        <v>2407</v>
      </c>
      <c r="J2508" t="s">
        <v>1690</v>
      </c>
      <c r="K2508" s="39">
        <v>0.26716800000000002</v>
      </c>
      <c r="L2508" s="1">
        <v>-0.250745</v>
      </c>
      <c r="M2508" s="1" t="s">
        <v>3611</v>
      </c>
      <c r="N2508" s="1">
        <v>995.53399999999999</v>
      </c>
      <c r="O2508" s="1">
        <f>ABS(Table4[[#This Row],[EndMP]]-Table4[[#This Row],[StartMP]])</f>
        <v>4.3820000000000006</v>
      </c>
      <c r="P2508" s="1" t="str">
        <f>IF( AND( Table4[[#This Row],[Route]]=ClosureLocation!$B$3, ClosureLocation!$B$6 &gt;= Table4[[#This Row],[StartMP]], ClosureLocation!$B$6 &lt;= Table4[[#This Row],[EndMP]]), "Yes", "")</f>
        <v/>
      </c>
      <c r="Q2508" s="1" t="str">
        <f>IF( AND( Table4[[#This Row],[Route]]=ClosureLocation!$B$3, ClosureLocation!$B$6 &lt;= Table4[[#This Row],[StartMP]], ClosureLocation!$B$6 &gt;= Table4[[#This Row],[EndMP]]), "Yes", "")</f>
        <v/>
      </c>
      <c r="R2508" s="1" t="str">
        <f>IF( OR( Table4[[#This Row],[PrimaryMatch]]="Yes", Table4[[#This Row],[SecondaryMatch]]="Yes"), "Yes", "")</f>
        <v/>
      </c>
    </row>
    <row r="2509" spans="1:18" hidden="1" x14ac:dyDescent="0.25">
      <c r="A2509" t="s">
        <v>143</v>
      </c>
      <c r="B2509" t="s">
        <v>3205</v>
      </c>
      <c r="C2509" t="s">
        <v>3222</v>
      </c>
      <c r="D2509" t="s">
        <v>3287</v>
      </c>
      <c r="E2509" s="1">
        <v>61.877000000000002</v>
      </c>
      <c r="F2509" s="1">
        <v>76.956999999999994</v>
      </c>
      <c r="G2509">
        <v>1</v>
      </c>
      <c r="H2509">
        <v>1</v>
      </c>
      <c r="I2509" t="s">
        <v>2111</v>
      </c>
      <c r="J2509" t="s">
        <v>1693</v>
      </c>
      <c r="K2509" s="39">
        <v>0.26672699999999999</v>
      </c>
      <c r="L2509" s="1">
        <v>7.1092950000000004</v>
      </c>
      <c r="M2509" s="1" t="s">
        <v>3288</v>
      </c>
      <c r="N2509" s="1">
        <v>61.877000000000002</v>
      </c>
      <c r="O2509" s="1">
        <f>ABS(Table4[[#This Row],[EndMP]]-Table4[[#This Row],[StartMP]])</f>
        <v>15.079999999999991</v>
      </c>
      <c r="P2509" s="1" t="str">
        <f>IF( AND( Table4[[#This Row],[Route]]=ClosureLocation!$B$3, ClosureLocation!$B$6 &gt;= Table4[[#This Row],[StartMP]], ClosureLocation!$B$6 &lt;= Table4[[#This Row],[EndMP]]), "Yes", "")</f>
        <v/>
      </c>
      <c r="Q2509" s="1" t="str">
        <f>IF( AND( Table4[[#This Row],[Route]]=ClosureLocation!$B$3, ClosureLocation!$B$6 &lt;= Table4[[#This Row],[StartMP]], ClosureLocation!$B$6 &gt;= Table4[[#This Row],[EndMP]]), "Yes", "")</f>
        <v/>
      </c>
      <c r="R2509" s="1" t="str">
        <f>IF( OR( Table4[[#This Row],[PrimaryMatch]]="Yes", Table4[[#This Row],[SecondaryMatch]]="Yes"), "Yes", "")</f>
        <v/>
      </c>
    </row>
    <row r="2510" spans="1:18" hidden="1" x14ac:dyDescent="0.25">
      <c r="A2510" t="s">
        <v>535</v>
      </c>
      <c r="B2510" t="s">
        <v>3209</v>
      </c>
      <c r="C2510" t="s">
        <v>3226</v>
      </c>
      <c r="D2510" t="s">
        <v>3573</v>
      </c>
      <c r="E2510" s="1">
        <v>271.48899999999998</v>
      </c>
      <c r="F2510" s="1">
        <v>269.44099999999997</v>
      </c>
      <c r="H2510">
        <v>2</v>
      </c>
      <c r="I2510" t="s">
        <v>2376</v>
      </c>
      <c r="J2510" t="s">
        <v>1702</v>
      </c>
      <c r="K2510" s="39">
        <v>0.258932</v>
      </c>
      <c r="L2510" s="1">
        <v>0.80299900000000002</v>
      </c>
      <c r="M2510" s="1" t="s">
        <v>3576</v>
      </c>
      <c r="N2510" s="1">
        <v>728.51099999999997</v>
      </c>
      <c r="O2510" s="1">
        <f>ABS(Table4[[#This Row],[EndMP]]-Table4[[#This Row],[StartMP]])</f>
        <v>2.0480000000000018</v>
      </c>
      <c r="P2510" s="1" t="str">
        <f>IF( AND( Table4[[#This Row],[Route]]=ClosureLocation!$B$3, ClosureLocation!$B$6 &gt;= Table4[[#This Row],[StartMP]], ClosureLocation!$B$6 &lt;= Table4[[#This Row],[EndMP]]), "Yes", "")</f>
        <v/>
      </c>
      <c r="Q2510" s="1" t="str">
        <f>IF( AND( Table4[[#This Row],[Route]]=ClosureLocation!$B$3, ClosureLocation!$B$6 &lt;= Table4[[#This Row],[StartMP]], ClosureLocation!$B$6 &gt;= Table4[[#This Row],[EndMP]]), "Yes", "")</f>
        <v/>
      </c>
      <c r="R2510" s="1" t="str">
        <f>IF( OR( Table4[[#This Row],[PrimaryMatch]]="Yes", Table4[[#This Row],[SecondaryMatch]]="Yes"), "Yes", "")</f>
        <v/>
      </c>
    </row>
    <row r="2511" spans="1:18" hidden="1" x14ac:dyDescent="0.25">
      <c r="A2511" t="s">
        <v>377</v>
      </c>
      <c r="B2511" t="s">
        <v>3209</v>
      </c>
      <c r="C2511" t="s">
        <v>3210</v>
      </c>
      <c r="D2511" t="s">
        <v>3465</v>
      </c>
      <c r="E2511" s="1">
        <v>1.51</v>
      </c>
      <c r="F2511" s="1">
        <v>0.10299999999999999</v>
      </c>
      <c r="G2511">
        <v>3</v>
      </c>
      <c r="H2511">
        <v>2</v>
      </c>
      <c r="I2511" t="s">
        <v>2280</v>
      </c>
      <c r="J2511" t="s">
        <v>1705</v>
      </c>
      <c r="K2511" s="39">
        <v>0.25236700000000001</v>
      </c>
      <c r="L2511" s="1">
        <v>0.48294100000000001</v>
      </c>
      <c r="M2511" s="1" t="s">
        <v>3464</v>
      </c>
      <c r="N2511" s="1">
        <v>998.49</v>
      </c>
      <c r="O2511" s="1">
        <f>ABS(Table4[[#This Row],[EndMP]]-Table4[[#This Row],[StartMP]])</f>
        <v>1.407</v>
      </c>
      <c r="P2511" s="1" t="str">
        <f>IF( AND( Table4[[#This Row],[Route]]=ClosureLocation!$B$3, ClosureLocation!$B$6 &gt;= Table4[[#This Row],[StartMP]], ClosureLocation!$B$6 &lt;= Table4[[#This Row],[EndMP]]), "Yes", "")</f>
        <v/>
      </c>
      <c r="Q2511" s="1" t="str">
        <f>IF( AND( Table4[[#This Row],[Route]]=ClosureLocation!$B$3, ClosureLocation!$B$6 &lt;= Table4[[#This Row],[StartMP]], ClosureLocation!$B$6 &gt;= Table4[[#This Row],[EndMP]]), "Yes", "")</f>
        <v/>
      </c>
      <c r="R2511" s="1" t="str">
        <f>IF( OR( Table4[[#This Row],[PrimaryMatch]]="Yes", Table4[[#This Row],[SecondaryMatch]]="Yes"), "Yes", "")</f>
        <v/>
      </c>
    </row>
    <row r="2512" spans="1:18" hidden="1" x14ac:dyDescent="0.25">
      <c r="A2512" t="s">
        <v>1639</v>
      </c>
      <c r="B2512" t="s">
        <v>3205</v>
      </c>
      <c r="C2512" t="s">
        <v>3210</v>
      </c>
      <c r="D2512" t="s">
        <v>4391</v>
      </c>
      <c r="E2512" s="1">
        <v>0</v>
      </c>
      <c r="F2512" s="1">
        <v>0.123</v>
      </c>
      <c r="G2512">
        <v>1</v>
      </c>
      <c r="H2512">
        <v>2</v>
      </c>
      <c r="I2512" t="s">
        <v>3175</v>
      </c>
      <c r="J2512" t="s">
        <v>1711</v>
      </c>
      <c r="K2512" s="39">
        <v>0.22467200000000001</v>
      </c>
      <c r="L2512" s="1">
        <v>0.187638</v>
      </c>
      <c r="M2512" s="1" t="s">
        <v>4392</v>
      </c>
      <c r="N2512" s="1">
        <v>0</v>
      </c>
      <c r="O2512" s="1">
        <f>ABS(Table4[[#This Row],[EndMP]]-Table4[[#This Row],[StartMP]])</f>
        <v>0.123</v>
      </c>
      <c r="P2512" s="1" t="str">
        <f>IF( AND( Table4[[#This Row],[Route]]=ClosureLocation!$B$3, ClosureLocation!$B$6 &gt;= Table4[[#This Row],[StartMP]], ClosureLocation!$B$6 &lt;= Table4[[#This Row],[EndMP]]), "Yes", "")</f>
        <v/>
      </c>
      <c r="Q2512" s="1" t="str">
        <f>IF( AND( Table4[[#This Row],[Route]]=ClosureLocation!$B$3, ClosureLocation!$B$6 &lt;= Table4[[#This Row],[StartMP]], ClosureLocation!$B$6 &gt;= Table4[[#This Row],[EndMP]]), "Yes", "")</f>
        <v/>
      </c>
      <c r="R2512" s="1" t="str">
        <f>IF( OR( Table4[[#This Row],[PrimaryMatch]]="Yes", Table4[[#This Row],[SecondaryMatch]]="Yes"), "Yes", "")</f>
        <v/>
      </c>
    </row>
    <row r="2513" spans="1:18" hidden="1" x14ac:dyDescent="0.25">
      <c r="A2513" t="s">
        <v>81</v>
      </c>
      <c r="B2513" t="s">
        <v>3205</v>
      </c>
      <c r="C2513" t="s">
        <v>3222</v>
      </c>
      <c r="D2513" t="s">
        <v>3256</v>
      </c>
      <c r="E2513" s="1">
        <v>292.88900000000001</v>
      </c>
      <c r="F2513" s="1">
        <v>295.58100000000002</v>
      </c>
      <c r="G2513">
        <v>3</v>
      </c>
      <c r="H2513">
        <v>3</v>
      </c>
      <c r="I2513" t="s">
        <v>2084</v>
      </c>
      <c r="J2513" t="s">
        <v>1696</v>
      </c>
      <c r="K2513" s="39">
        <v>0.20549500000000001</v>
      </c>
      <c r="L2513" s="1">
        <v>1.7439849999999999</v>
      </c>
      <c r="M2513" s="1" t="s">
        <v>3259</v>
      </c>
      <c r="N2513" s="1">
        <v>292.88900000000001</v>
      </c>
      <c r="O2513" s="1">
        <f>ABS(Table4[[#This Row],[EndMP]]-Table4[[#This Row],[StartMP]])</f>
        <v>2.6920000000000073</v>
      </c>
      <c r="P2513" s="1" t="str">
        <f>IF( AND( Table4[[#This Row],[Route]]=ClosureLocation!$B$3, ClosureLocation!$B$6 &gt;= Table4[[#This Row],[StartMP]], ClosureLocation!$B$6 &lt;= Table4[[#This Row],[EndMP]]), "Yes", "")</f>
        <v/>
      </c>
      <c r="Q2513" s="1" t="str">
        <f>IF( AND( Table4[[#This Row],[Route]]=ClosureLocation!$B$3, ClosureLocation!$B$6 &lt;= Table4[[#This Row],[StartMP]], ClosureLocation!$B$6 &gt;= Table4[[#This Row],[EndMP]]), "Yes", "")</f>
        <v/>
      </c>
      <c r="R2513" s="1" t="str">
        <f>IF( OR( Table4[[#This Row],[PrimaryMatch]]="Yes", Table4[[#This Row],[SecondaryMatch]]="Yes"), "Yes", "")</f>
        <v/>
      </c>
    </row>
    <row r="2514" spans="1:18" hidden="1" x14ac:dyDescent="0.25">
      <c r="A2514" t="s">
        <v>599</v>
      </c>
      <c r="B2514" t="s">
        <v>3205</v>
      </c>
      <c r="C2514" t="s">
        <v>3222</v>
      </c>
      <c r="D2514" t="s">
        <v>3609</v>
      </c>
      <c r="E2514" s="1">
        <v>8.4000000000000005E-2</v>
      </c>
      <c r="F2514" s="1">
        <v>4.4660000000000002</v>
      </c>
      <c r="G2514">
        <v>1</v>
      </c>
      <c r="H2514">
        <v>1</v>
      </c>
      <c r="I2514" t="s">
        <v>2406</v>
      </c>
      <c r="J2514" t="s">
        <v>1690</v>
      </c>
      <c r="K2514" s="39">
        <v>0.18432899999999999</v>
      </c>
      <c r="L2514" s="1">
        <v>-0.30866100000000002</v>
      </c>
      <c r="M2514" s="1" t="s">
        <v>3316</v>
      </c>
      <c r="N2514" s="1">
        <v>8.4000000000000005E-2</v>
      </c>
      <c r="O2514" s="1">
        <f>ABS(Table4[[#This Row],[EndMP]]-Table4[[#This Row],[StartMP]])</f>
        <v>4.3820000000000006</v>
      </c>
      <c r="P2514" s="1" t="str">
        <f>IF( AND( Table4[[#This Row],[Route]]=ClosureLocation!$B$3, ClosureLocation!$B$6 &gt;= Table4[[#This Row],[StartMP]], ClosureLocation!$B$6 &lt;= Table4[[#This Row],[EndMP]]), "Yes", "")</f>
        <v/>
      </c>
      <c r="Q2514" s="1" t="str">
        <f>IF( AND( Table4[[#This Row],[Route]]=ClosureLocation!$B$3, ClosureLocation!$B$6 &lt;= Table4[[#This Row],[StartMP]], ClosureLocation!$B$6 &gt;= Table4[[#This Row],[EndMP]]), "Yes", "")</f>
        <v/>
      </c>
      <c r="R2514" s="1" t="str">
        <f>IF( OR( Table4[[#This Row],[PrimaryMatch]]="Yes", Table4[[#This Row],[SecondaryMatch]]="Yes"), "Yes", "")</f>
        <v/>
      </c>
    </row>
    <row r="2515" spans="1:18" hidden="1" x14ac:dyDescent="0.25">
      <c r="A2515" t="s">
        <v>546</v>
      </c>
      <c r="B2515" t="s">
        <v>3209</v>
      </c>
      <c r="C2515" t="s">
        <v>3226</v>
      </c>
      <c r="D2515" t="s">
        <v>3585</v>
      </c>
      <c r="E2515" s="1">
        <v>289</v>
      </c>
      <c r="F2515" s="1">
        <v>288.06900000000002</v>
      </c>
      <c r="H2515">
        <v>4</v>
      </c>
      <c r="I2515" t="s">
        <v>2392</v>
      </c>
      <c r="J2515" t="s">
        <v>1704</v>
      </c>
      <c r="K2515" s="39">
        <v>0.18271899999999999</v>
      </c>
      <c r="L2515" s="1">
        <v>0.21899199999999999</v>
      </c>
      <c r="M2515" s="1" t="s">
        <v>3591</v>
      </c>
      <c r="N2515" s="1">
        <v>711</v>
      </c>
      <c r="O2515" s="1">
        <f>ABS(Table4[[#This Row],[EndMP]]-Table4[[#This Row],[StartMP]])</f>
        <v>0.93099999999998317</v>
      </c>
      <c r="P2515" s="1" t="str">
        <f>IF( AND( Table4[[#This Row],[Route]]=ClosureLocation!$B$3, ClosureLocation!$B$6 &gt;= Table4[[#This Row],[StartMP]], ClosureLocation!$B$6 &lt;= Table4[[#This Row],[EndMP]]), "Yes", "")</f>
        <v/>
      </c>
      <c r="Q2515" s="1" t="str">
        <f>IF( AND( Table4[[#This Row],[Route]]=ClosureLocation!$B$3, ClosureLocation!$B$6 &lt;= Table4[[#This Row],[StartMP]], ClosureLocation!$B$6 &gt;= Table4[[#This Row],[EndMP]]), "Yes", "")</f>
        <v/>
      </c>
      <c r="R2515" s="1" t="str">
        <f>IF( OR( Table4[[#This Row],[PrimaryMatch]]="Yes", Table4[[#This Row],[SecondaryMatch]]="Yes"), "Yes", "")</f>
        <v/>
      </c>
    </row>
    <row r="2516" spans="1:18" hidden="1" x14ac:dyDescent="0.25">
      <c r="A2516" t="s">
        <v>546</v>
      </c>
      <c r="B2516" t="s">
        <v>3205</v>
      </c>
      <c r="C2516" t="s">
        <v>3222</v>
      </c>
      <c r="D2516" t="s">
        <v>3577</v>
      </c>
      <c r="E2516" s="1">
        <v>288.06900000000002</v>
      </c>
      <c r="F2516" s="1">
        <v>289</v>
      </c>
      <c r="H2516">
        <v>1</v>
      </c>
      <c r="I2516" t="s">
        <v>2379</v>
      </c>
      <c r="J2516" t="s">
        <v>1704</v>
      </c>
      <c r="K2516" s="39">
        <v>0.17282900000000001</v>
      </c>
      <c r="L2516" s="1">
        <v>0.146951</v>
      </c>
      <c r="M2516" s="1" t="s">
        <v>3579</v>
      </c>
      <c r="N2516" s="1">
        <v>288.06900000000002</v>
      </c>
      <c r="O2516" s="1">
        <f>ABS(Table4[[#This Row],[EndMP]]-Table4[[#This Row],[StartMP]])</f>
        <v>0.93099999999998317</v>
      </c>
      <c r="P2516" s="1" t="str">
        <f>IF( AND( Table4[[#This Row],[Route]]=ClosureLocation!$B$3, ClosureLocation!$B$6 &gt;= Table4[[#This Row],[StartMP]], ClosureLocation!$B$6 &lt;= Table4[[#This Row],[EndMP]]), "Yes", "")</f>
        <v/>
      </c>
      <c r="Q2516" s="1" t="str">
        <f>IF( AND( Table4[[#This Row],[Route]]=ClosureLocation!$B$3, ClosureLocation!$B$6 &lt;= Table4[[#This Row],[StartMP]], ClosureLocation!$B$6 &gt;= Table4[[#This Row],[EndMP]]), "Yes", "")</f>
        <v/>
      </c>
      <c r="R2516" s="1" t="str">
        <f>IF( OR( Table4[[#This Row],[PrimaryMatch]]="Yes", Table4[[#This Row],[SecondaryMatch]]="Yes"), "Yes", "")</f>
        <v/>
      </c>
    </row>
    <row r="2517" spans="1:18" hidden="1" x14ac:dyDescent="0.25">
      <c r="A2517" t="s">
        <v>1222</v>
      </c>
      <c r="B2517" t="s">
        <v>3209</v>
      </c>
      <c r="C2517" t="s">
        <v>3210</v>
      </c>
      <c r="D2517" t="s">
        <v>4079</v>
      </c>
      <c r="E2517" s="1">
        <v>16</v>
      </c>
      <c r="F2517" s="1">
        <v>12.17</v>
      </c>
      <c r="G2517">
        <v>2</v>
      </c>
      <c r="H2517">
        <v>4</v>
      </c>
      <c r="I2517" t="s">
        <v>2926</v>
      </c>
      <c r="J2517" t="s">
        <v>1693</v>
      </c>
      <c r="K2517" s="39">
        <v>0.138132</v>
      </c>
      <c r="L2517" s="1">
        <v>0.11103300000000001</v>
      </c>
      <c r="M2517" s="1" t="s">
        <v>1223</v>
      </c>
      <c r="N2517" s="1">
        <v>984</v>
      </c>
      <c r="O2517" s="1">
        <f>ABS(Table4[[#This Row],[EndMP]]-Table4[[#This Row],[StartMP]])</f>
        <v>3.83</v>
      </c>
      <c r="P2517" s="1" t="str">
        <f>IF( AND( Table4[[#This Row],[Route]]=ClosureLocation!$B$3, ClosureLocation!$B$6 &gt;= Table4[[#This Row],[StartMP]], ClosureLocation!$B$6 &lt;= Table4[[#This Row],[EndMP]]), "Yes", "")</f>
        <v/>
      </c>
      <c r="Q2517" s="1" t="str">
        <f>IF( AND( Table4[[#This Row],[Route]]=ClosureLocation!$B$3, ClosureLocation!$B$6 &lt;= Table4[[#This Row],[StartMP]], ClosureLocation!$B$6 &gt;= Table4[[#This Row],[EndMP]]), "Yes", "")</f>
        <v/>
      </c>
      <c r="R2517" s="1" t="str">
        <f>IF( OR( Table4[[#This Row],[PrimaryMatch]]="Yes", Table4[[#This Row],[SecondaryMatch]]="Yes"), "Yes", "")</f>
        <v/>
      </c>
    </row>
    <row r="2518" spans="1:18" hidden="1" x14ac:dyDescent="0.25">
      <c r="A2518" t="s">
        <v>1222</v>
      </c>
      <c r="B2518" t="s">
        <v>3205</v>
      </c>
      <c r="C2518" t="s">
        <v>3206</v>
      </c>
      <c r="D2518" t="s">
        <v>4077</v>
      </c>
      <c r="E2518" s="1">
        <v>12.17</v>
      </c>
      <c r="F2518" s="1">
        <v>16</v>
      </c>
      <c r="G2518">
        <v>2</v>
      </c>
      <c r="H2518">
        <v>2</v>
      </c>
      <c r="I2518" t="s">
        <v>2924</v>
      </c>
      <c r="J2518" t="s">
        <v>1693</v>
      </c>
      <c r="K2518" s="39">
        <v>0.13792399999999999</v>
      </c>
      <c r="L2518" s="1">
        <v>0.11103300000000001</v>
      </c>
      <c r="M2518" s="1" t="s">
        <v>1223</v>
      </c>
      <c r="N2518" s="1">
        <v>12.17</v>
      </c>
      <c r="O2518" s="1">
        <f>ABS(Table4[[#This Row],[EndMP]]-Table4[[#This Row],[StartMP]])</f>
        <v>3.83</v>
      </c>
      <c r="P2518" s="1" t="str">
        <f>IF( AND( Table4[[#This Row],[Route]]=ClosureLocation!$B$3, ClosureLocation!$B$6 &gt;= Table4[[#This Row],[StartMP]], ClosureLocation!$B$6 &lt;= Table4[[#This Row],[EndMP]]), "Yes", "")</f>
        <v/>
      </c>
      <c r="Q2518" s="1" t="str">
        <f>IF( AND( Table4[[#This Row],[Route]]=ClosureLocation!$B$3, ClosureLocation!$B$6 &lt;= Table4[[#This Row],[StartMP]], ClosureLocation!$B$6 &gt;= Table4[[#This Row],[EndMP]]), "Yes", "")</f>
        <v/>
      </c>
      <c r="R2518" s="1" t="str">
        <f>IF( OR( Table4[[#This Row],[PrimaryMatch]]="Yes", Table4[[#This Row],[SecondaryMatch]]="Yes"), "Yes", "")</f>
        <v/>
      </c>
    </row>
    <row r="2519" spans="1:18" hidden="1" x14ac:dyDescent="0.25">
      <c r="A2519" t="s">
        <v>1424</v>
      </c>
      <c r="B2519" t="s">
        <v>3209</v>
      </c>
      <c r="C2519" t="s">
        <v>3226</v>
      </c>
      <c r="D2519" t="s">
        <v>4204</v>
      </c>
      <c r="E2519" s="1">
        <v>2.4540000000000002</v>
      </c>
      <c r="F2519" s="1">
        <v>0.26800000000000002</v>
      </c>
      <c r="G2519">
        <v>2</v>
      </c>
      <c r="H2519">
        <v>4</v>
      </c>
      <c r="I2519" t="s">
        <v>3022</v>
      </c>
      <c r="J2519" t="s">
        <v>1708</v>
      </c>
      <c r="K2519" s="39">
        <v>8.8272000000000003E-2</v>
      </c>
      <c r="L2519" s="1">
        <v>0.68717799999999996</v>
      </c>
      <c r="M2519" s="1" t="s">
        <v>4206</v>
      </c>
      <c r="N2519" s="1">
        <v>997.54600000000005</v>
      </c>
      <c r="O2519" s="1">
        <f>ABS(Table4[[#This Row],[EndMP]]-Table4[[#This Row],[StartMP]])</f>
        <v>2.1859999999999999</v>
      </c>
      <c r="P2519" s="1" t="str">
        <f>IF( AND( Table4[[#This Row],[Route]]=ClosureLocation!$B$3, ClosureLocation!$B$6 &gt;= Table4[[#This Row],[StartMP]], ClosureLocation!$B$6 &lt;= Table4[[#This Row],[EndMP]]), "Yes", "")</f>
        <v/>
      </c>
      <c r="Q2519" s="1" t="str">
        <f>IF( AND( Table4[[#This Row],[Route]]=ClosureLocation!$B$3, ClosureLocation!$B$6 &lt;= Table4[[#This Row],[StartMP]], ClosureLocation!$B$6 &gt;= Table4[[#This Row],[EndMP]]), "Yes", "")</f>
        <v/>
      </c>
      <c r="R2519" s="1" t="str">
        <f>IF( OR( Table4[[#This Row],[PrimaryMatch]]="Yes", Table4[[#This Row],[SecondaryMatch]]="Yes"), "Yes", "")</f>
        <v/>
      </c>
    </row>
    <row r="2520" spans="1:18" hidden="1" x14ac:dyDescent="0.25">
      <c r="A2520" t="s">
        <v>640</v>
      </c>
      <c r="B2520" t="s">
        <v>3205</v>
      </c>
      <c r="C2520" t="s">
        <v>3222</v>
      </c>
      <c r="D2520" t="s">
        <v>3638</v>
      </c>
      <c r="E2520" s="1">
        <v>378.88499999999999</v>
      </c>
      <c r="F2520" s="1">
        <v>379</v>
      </c>
      <c r="G2520">
        <v>11</v>
      </c>
      <c r="H2520">
        <v>25</v>
      </c>
      <c r="I2520" t="s">
        <v>2455</v>
      </c>
      <c r="J2520" t="s">
        <v>1694</v>
      </c>
      <c r="K2520" s="39">
        <v>8.2808000000000007E-2</v>
      </c>
      <c r="L2520" s="1">
        <v>8.1041000000000002E-2</v>
      </c>
      <c r="M2520" s="1" t="s">
        <v>4934</v>
      </c>
      <c r="N2520" s="1">
        <v>378.88499999999999</v>
      </c>
      <c r="O2520" s="1">
        <f>ABS(Table4[[#This Row],[EndMP]]-Table4[[#This Row],[StartMP]])</f>
        <v>0.11500000000000909</v>
      </c>
      <c r="P2520" s="1" t="str">
        <f>IF( AND( Table4[[#This Row],[Route]]=ClosureLocation!$B$3, ClosureLocation!$B$6 &gt;= Table4[[#This Row],[StartMP]], ClosureLocation!$B$6 &lt;= Table4[[#This Row],[EndMP]]), "Yes", "")</f>
        <v/>
      </c>
      <c r="Q2520" s="1" t="str">
        <f>IF( AND( Table4[[#This Row],[Route]]=ClosureLocation!$B$3, ClosureLocation!$B$6 &lt;= Table4[[#This Row],[StartMP]], ClosureLocation!$B$6 &gt;= Table4[[#This Row],[EndMP]]), "Yes", "")</f>
        <v/>
      </c>
      <c r="R2520" s="1" t="str">
        <f>IF( OR( Table4[[#This Row],[PrimaryMatch]]="Yes", Table4[[#This Row],[SecondaryMatch]]="Yes"), "Yes", "")</f>
        <v/>
      </c>
    </row>
    <row r="2521" spans="1:18" hidden="1" x14ac:dyDescent="0.25">
      <c r="A2521" t="s">
        <v>640</v>
      </c>
      <c r="B2521" t="s">
        <v>3209</v>
      </c>
      <c r="C2521" t="s">
        <v>3226</v>
      </c>
      <c r="D2521" t="s">
        <v>3640</v>
      </c>
      <c r="E2521" s="1">
        <v>379</v>
      </c>
      <c r="F2521" s="1">
        <v>378.88499999999999</v>
      </c>
      <c r="G2521">
        <v>6</v>
      </c>
      <c r="H2521">
        <v>6</v>
      </c>
      <c r="I2521" t="s">
        <v>2464</v>
      </c>
      <c r="J2521" t="s">
        <v>1694</v>
      </c>
      <c r="K2521" s="39">
        <v>8.2554000000000002E-2</v>
      </c>
      <c r="L2521" s="1">
        <v>8.1041000000000002E-2</v>
      </c>
      <c r="M2521" s="1" t="s">
        <v>4943</v>
      </c>
      <c r="N2521" s="1">
        <v>621</v>
      </c>
      <c r="O2521" s="1">
        <f>ABS(Table4[[#This Row],[EndMP]]-Table4[[#This Row],[StartMP]])</f>
        <v>0.11500000000000909</v>
      </c>
      <c r="P2521" s="1" t="str">
        <f>IF( AND( Table4[[#This Row],[Route]]=ClosureLocation!$B$3, ClosureLocation!$B$6 &gt;= Table4[[#This Row],[StartMP]], ClosureLocation!$B$6 &lt;= Table4[[#This Row],[EndMP]]), "Yes", "")</f>
        <v/>
      </c>
      <c r="Q2521" s="1" t="str">
        <f>IF( AND( Table4[[#This Row],[Route]]=ClosureLocation!$B$3, ClosureLocation!$B$6 &lt;= Table4[[#This Row],[StartMP]], ClosureLocation!$B$6 &gt;= Table4[[#This Row],[EndMP]]), "Yes", "")</f>
        <v/>
      </c>
      <c r="R2521" s="1" t="str">
        <f>IF( OR( Table4[[#This Row],[PrimaryMatch]]="Yes", Table4[[#This Row],[SecondaryMatch]]="Yes"), "Yes", "")</f>
        <v/>
      </c>
    </row>
    <row r="2522" spans="1:18" hidden="1" x14ac:dyDescent="0.25">
      <c r="A2522" t="s">
        <v>1025</v>
      </c>
      <c r="B2522" t="s">
        <v>3205</v>
      </c>
      <c r="C2522" t="s">
        <v>3222</v>
      </c>
      <c r="D2522" t="s">
        <v>3918</v>
      </c>
      <c r="E2522" s="1">
        <v>6.0119999999999996</v>
      </c>
      <c r="F2522" s="1">
        <v>8.7110000000000003</v>
      </c>
      <c r="G2522">
        <v>4</v>
      </c>
      <c r="I2522" t="s">
        <v>4791</v>
      </c>
      <c r="J2522" t="s">
        <v>1724</v>
      </c>
      <c r="K2522" s="39">
        <v>1.345E-2</v>
      </c>
      <c r="L2522" s="1">
        <v>0.77995199999999998</v>
      </c>
      <c r="M2522" s="1" t="s">
        <v>4792</v>
      </c>
      <c r="N2522" s="1">
        <v>6.0119999999999996</v>
      </c>
      <c r="O2522" s="1">
        <f>ABS(Table4[[#This Row],[EndMP]]-Table4[[#This Row],[StartMP]])</f>
        <v>2.6990000000000007</v>
      </c>
      <c r="P2522" s="1" t="str">
        <f>IF( AND( Table4[[#This Row],[Route]]=ClosureLocation!$B$3, ClosureLocation!$B$6 &gt;= Table4[[#This Row],[StartMP]], ClosureLocation!$B$6 &lt;= Table4[[#This Row],[EndMP]]), "Yes", "")</f>
        <v/>
      </c>
      <c r="Q2522" s="1" t="str">
        <f>IF( AND( Table4[[#This Row],[Route]]=ClosureLocation!$B$3, ClosureLocation!$B$6 &lt;= Table4[[#This Row],[StartMP]], ClosureLocation!$B$6 &gt;= Table4[[#This Row],[EndMP]]), "Yes", "")</f>
        <v/>
      </c>
      <c r="R2522" s="1" t="str">
        <f>IF( OR( Table4[[#This Row],[PrimaryMatch]]="Yes", Table4[[#This Row],[SecondaryMatch]]="Yes"), "Yes", "")</f>
        <v/>
      </c>
    </row>
    <row r="2523" spans="1:18" hidden="1" x14ac:dyDescent="0.25">
      <c r="A2523" t="s">
        <v>23</v>
      </c>
      <c r="B2523" t="s">
        <v>3205</v>
      </c>
      <c r="C2523" t="s">
        <v>3206</v>
      </c>
      <c r="D2523" t="s">
        <v>4697</v>
      </c>
      <c r="E2523" s="1">
        <v>0</v>
      </c>
      <c r="F2523" s="1">
        <v>2.444</v>
      </c>
      <c r="K2523" s="39">
        <f>DefaultValues!$B$3</f>
        <v>0</v>
      </c>
      <c r="L2523" s="1">
        <f>DefaultValues!$C$3</f>
        <v>0</v>
      </c>
      <c r="M2523" s="1" t="s">
        <v>1313</v>
      </c>
      <c r="N2523" s="1">
        <v>0</v>
      </c>
      <c r="O2523" s="1">
        <f>ABS(Table4[[#This Row],[EndMP]]-Table4[[#This Row],[StartMP]])</f>
        <v>2.444</v>
      </c>
      <c r="P2523" s="1" t="str">
        <f>IF( AND( Table4[[#This Row],[Route]]=ClosureLocation!$B$3, ClosureLocation!$B$6 &gt;= Table4[[#This Row],[StartMP]], ClosureLocation!$B$6 &lt;= Table4[[#This Row],[EndMP]]), "Yes", "")</f>
        <v/>
      </c>
      <c r="Q2523" s="1" t="str">
        <f>IF( AND( Table4[[#This Row],[Route]]=ClosureLocation!$B$3, ClosureLocation!$B$6 &lt;= Table4[[#This Row],[StartMP]], ClosureLocation!$B$6 &gt;= Table4[[#This Row],[EndMP]]), "Yes", "")</f>
        <v/>
      </c>
      <c r="R2523" s="1" t="str">
        <f>IF( OR( Table4[[#This Row],[PrimaryMatch]]="Yes", Table4[[#This Row],[SecondaryMatch]]="Yes"), "Yes", "")</f>
        <v/>
      </c>
    </row>
    <row r="2524" spans="1:18" hidden="1" x14ac:dyDescent="0.25">
      <c r="A2524" t="s">
        <v>23</v>
      </c>
      <c r="B2524" t="s">
        <v>3209</v>
      </c>
      <c r="C2524" t="s">
        <v>3210</v>
      </c>
      <c r="D2524" t="s">
        <v>4698</v>
      </c>
      <c r="E2524" s="1">
        <v>2.444</v>
      </c>
      <c r="F2524" s="1">
        <v>0</v>
      </c>
      <c r="K2524" s="39">
        <f>DefaultValues!$B$3</f>
        <v>0</v>
      </c>
      <c r="L2524" s="1">
        <f>DefaultValues!$C$3</f>
        <v>0</v>
      </c>
      <c r="M2524" s="1" t="s">
        <v>1313</v>
      </c>
      <c r="N2524" s="1">
        <f>1000 - 2.444</f>
        <v>997.55600000000004</v>
      </c>
      <c r="O2524" s="1">
        <f>ABS(Table4[[#This Row],[EndMP]]-Table4[[#This Row],[StartMP]])</f>
        <v>2.444</v>
      </c>
      <c r="P2524" s="1" t="str">
        <f>IF( AND( Table4[[#This Row],[Route]]=ClosureLocation!$B$3, ClosureLocation!$B$6 &gt;= Table4[[#This Row],[StartMP]], ClosureLocation!$B$6 &lt;= Table4[[#This Row],[EndMP]]), "Yes", "")</f>
        <v/>
      </c>
      <c r="Q2524" s="1" t="str">
        <f>IF( AND( Table4[[#This Row],[Route]]=ClosureLocation!$B$3, ClosureLocation!$B$6 &lt;= Table4[[#This Row],[StartMP]], ClosureLocation!$B$6 &gt;= Table4[[#This Row],[EndMP]]), "Yes", "")</f>
        <v/>
      </c>
      <c r="R2524" s="1" t="str">
        <f>IF( OR( Table4[[#This Row],[PrimaryMatch]]="Yes", Table4[[#This Row],[SecondaryMatch]]="Yes"), "Yes", "")</f>
        <v/>
      </c>
    </row>
    <row r="2525" spans="1:18" hidden="1" x14ac:dyDescent="0.25">
      <c r="A2525" t="s">
        <v>29</v>
      </c>
      <c r="B2525" t="s">
        <v>3205</v>
      </c>
      <c r="C2525" t="s">
        <v>3222</v>
      </c>
      <c r="D2525" t="s">
        <v>3223</v>
      </c>
      <c r="E2525" s="1">
        <v>19.954999999999998</v>
      </c>
      <c r="F2525" s="1">
        <v>26.08</v>
      </c>
      <c r="K2525" s="39">
        <f>DefaultValues!$B$3</f>
        <v>0</v>
      </c>
      <c r="L2525" s="1">
        <f>DefaultValues!$C$3</f>
        <v>0</v>
      </c>
      <c r="M2525" s="1" t="s">
        <v>4699</v>
      </c>
      <c r="N2525" s="1">
        <v>19.954999999999998</v>
      </c>
      <c r="O2525" s="1">
        <f>ABS(Table4[[#This Row],[EndMP]]-Table4[[#This Row],[StartMP]])</f>
        <v>6.125</v>
      </c>
      <c r="P2525" s="1" t="str">
        <f>IF( AND( Table4[[#This Row],[Route]]=ClosureLocation!$B$3, ClosureLocation!$B$6 &gt;= Table4[[#This Row],[StartMP]], ClosureLocation!$B$6 &lt;= Table4[[#This Row],[EndMP]]), "Yes", "")</f>
        <v/>
      </c>
      <c r="Q2525" s="1" t="str">
        <f>IF( AND( Table4[[#This Row],[Route]]=ClosureLocation!$B$3, ClosureLocation!$B$6 &lt;= Table4[[#This Row],[StartMP]], ClosureLocation!$B$6 &gt;= Table4[[#This Row],[EndMP]]), "Yes", "")</f>
        <v/>
      </c>
      <c r="R2525" s="1" t="str">
        <f>IF( OR( Table4[[#This Row],[PrimaryMatch]]="Yes", Table4[[#This Row],[SecondaryMatch]]="Yes"), "Yes", "")</f>
        <v/>
      </c>
    </row>
    <row r="2526" spans="1:18" hidden="1" x14ac:dyDescent="0.25">
      <c r="A2526" t="s">
        <v>29</v>
      </c>
      <c r="B2526" t="s">
        <v>3209</v>
      </c>
      <c r="C2526" t="s">
        <v>3226</v>
      </c>
      <c r="D2526" t="s">
        <v>3227</v>
      </c>
      <c r="E2526" s="1">
        <v>26.08</v>
      </c>
      <c r="F2526" s="1">
        <v>19.954999999999998</v>
      </c>
      <c r="K2526" s="39">
        <f>DefaultValues!$B$3</f>
        <v>0</v>
      </c>
      <c r="L2526" s="1">
        <f>DefaultValues!$C$3</f>
        <v>0</v>
      </c>
      <c r="M2526" s="1" t="s">
        <v>4700</v>
      </c>
      <c r="N2526" s="1">
        <f>1000-26.08</f>
        <v>973.92</v>
      </c>
      <c r="O2526" s="1">
        <f>ABS(Table4[[#This Row],[EndMP]]-Table4[[#This Row],[StartMP]])</f>
        <v>6.125</v>
      </c>
      <c r="P2526" s="1" t="str">
        <f>IF( AND( Table4[[#This Row],[Route]]=ClosureLocation!$B$3, ClosureLocation!$B$6 &gt;= Table4[[#This Row],[StartMP]], ClosureLocation!$B$6 &lt;= Table4[[#This Row],[EndMP]]), "Yes", "")</f>
        <v/>
      </c>
      <c r="Q2526" s="1" t="str">
        <f>IF( AND( Table4[[#This Row],[Route]]=ClosureLocation!$B$3, ClosureLocation!$B$6 &lt;= Table4[[#This Row],[StartMP]], ClosureLocation!$B$6 &gt;= Table4[[#This Row],[EndMP]]), "Yes", "")</f>
        <v/>
      </c>
      <c r="R2526" s="1" t="str">
        <f>IF( OR( Table4[[#This Row],[PrimaryMatch]]="Yes", Table4[[#This Row],[SecondaryMatch]]="Yes"), "Yes", "")</f>
        <v/>
      </c>
    </row>
    <row r="2527" spans="1:18" hidden="1" x14ac:dyDescent="0.25">
      <c r="A2527" t="s">
        <v>38</v>
      </c>
      <c r="B2527" t="s">
        <v>3205</v>
      </c>
      <c r="C2527" t="s">
        <v>3222</v>
      </c>
      <c r="D2527" t="s">
        <v>4637</v>
      </c>
      <c r="E2527" s="1">
        <v>30.123000000000001</v>
      </c>
      <c r="F2527" s="1">
        <v>34.534999999999997</v>
      </c>
      <c r="K2527" s="39">
        <f>DefaultValues!$B$3</f>
        <v>0</v>
      </c>
      <c r="L2527" s="1">
        <f>DefaultValues!$C$3</f>
        <v>0</v>
      </c>
      <c r="M2527" s="1" t="s">
        <v>836</v>
      </c>
      <c r="N2527" s="1">
        <v>30.123000000000001</v>
      </c>
      <c r="O2527" s="1">
        <f>ABS(Table4[[#This Row],[EndMP]]-Table4[[#This Row],[StartMP]])</f>
        <v>4.4119999999999955</v>
      </c>
      <c r="P2527" s="1" t="str">
        <f>IF( AND( Table4[[#This Row],[Route]]=ClosureLocation!$B$3, ClosureLocation!$B$6 &gt;= Table4[[#This Row],[StartMP]], ClosureLocation!$B$6 &lt;= Table4[[#This Row],[EndMP]]), "Yes", "")</f>
        <v/>
      </c>
      <c r="Q2527" s="1" t="str">
        <f>IF( AND( Table4[[#This Row],[Route]]=ClosureLocation!$B$3, ClosureLocation!$B$6 &lt;= Table4[[#This Row],[StartMP]], ClosureLocation!$B$6 &gt;= Table4[[#This Row],[EndMP]]), "Yes", "")</f>
        <v/>
      </c>
      <c r="R2527" s="1" t="str">
        <f>IF( OR( Table4[[#This Row],[PrimaryMatch]]="Yes", Table4[[#This Row],[SecondaryMatch]]="Yes"), "Yes", "")</f>
        <v/>
      </c>
    </row>
    <row r="2528" spans="1:18" hidden="1" x14ac:dyDescent="0.25">
      <c r="A2528" t="s">
        <v>38</v>
      </c>
      <c r="B2528" t="s">
        <v>3209</v>
      </c>
      <c r="C2528" t="s">
        <v>3226</v>
      </c>
      <c r="D2528" t="s">
        <v>4638</v>
      </c>
      <c r="E2528" s="1">
        <v>34.534999999999997</v>
      </c>
      <c r="F2528" s="1">
        <v>30.123000000000001</v>
      </c>
      <c r="K2528" s="39">
        <f>DefaultValues!$B$3</f>
        <v>0</v>
      </c>
      <c r="L2528" s="1">
        <f>DefaultValues!$C$3</f>
        <v>0</v>
      </c>
      <c r="M2528" s="1" t="s">
        <v>4701</v>
      </c>
      <c r="N2528" s="1">
        <f>1000-34.535</f>
        <v>965.46500000000003</v>
      </c>
      <c r="O2528" s="1">
        <f>ABS(Table4[[#This Row],[EndMP]]-Table4[[#This Row],[StartMP]])</f>
        <v>4.4119999999999955</v>
      </c>
      <c r="P2528" s="1" t="str">
        <f>IF( AND( Table4[[#This Row],[Route]]=ClosureLocation!$B$3, ClosureLocation!$B$6 &gt;= Table4[[#This Row],[StartMP]], ClosureLocation!$B$6 &lt;= Table4[[#This Row],[EndMP]]), "Yes", "")</f>
        <v/>
      </c>
      <c r="Q2528" s="1" t="str">
        <f>IF( AND( Table4[[#This Row],[Route]]=ClosureLocation!$B$3, ClosureLocation!$B$6 &lt;= Table4[[#This Row],[StartMP]], ClosureLocation!$B$6 &gt;= Table4[[#This Row],[EndMP]]), "Yes", "")</f>
        <v/>
      </c>
      <c r="R2528" s="1" t="str">
        <f>IF( OR( Table4[[#This Row],[PrimaryMatch]]="Yes", Table4[[#This Row],[SecondaryMatch]]="Yes"), "Yes", "")</f>
        <v/>
      </c>
    </row>
    <row r="2529" spans="1:18" hidden="1" x14ac:dyDescent="0.25">
      <c r="A2529" t="s">
        <v>41</v>
      </c>
      <c r="B2529" t="s">
        <v>3205</v>
      </c>
      <c r="C2529" t="s">
        <v>3222</v>
      </c>
      <c r="D2529" t="s">
        <v>4702</v>
      </c>
      <c r="E2529" s="1">
        <v>37.161000000000001</v>
      </c>
      <c r="F2529" s="1">
        <v>46.058</v>
      </c>
      <c r="K2529" s="39">
        <f>DefaultValues!$B$3</f>
        <v>0</v>
      </c>
      <c r="L2529" s="1">
        <f>DefaultValues!$C$3</f>
        <v>0</v>
      </c>
      <c r="M2529" s="1" t="s">
        <v>4703</v>
      </c>
      <c r="N2529" s="1">
        <v>37.161000000000001</v>
      </c>
      <c r="O2529" s="1">
        <f>ABS(Table4[[#This Row],[EndMP]]-Table4[[#This Row],[StartMP]])</f>
        <v>8.8969999999999985</v>
      </c>
      <c r="P2529" s="1" t="str">
        <f>IF( AND( Table4[[#This Row],[Route]]=ClosureLocation!$B$3, ClosureLocation!$B$6 &gt;= Table4[[#This Row],[StartMP]], ClosureLocation!$B$6 &lt;= Table4[[#This Row],[EndMP]]), "Yes", "")</f>
        <v/>
      </c>
      <c r="Q2529" s="1" t="str">
        <f>IF( AND( Table4[[#This Row],[Route]]=ClosureLocation!$B$3, ClosureLocation!$B$6 &lt;= Table4[[#This Row],[StartMP]], ClosureLocation!$B$6 &gt;= Table4[[#This Row],[EndMP]]), "Yes", "")</f>
        <v/>
      </c>
      <c r="R2529" s="1" t="str">
        <f>IF( OR( Table4[[#This Row],[PrimaryMatch]]="Yes", Table4[[#This Row],[SecondaryMatch]]="Yes"), "Yes", "")</f>
        <v/>
      </c>
    </row>
    <row r="2530" spans="1:18" hidden="1" x14ac:dyDescent="0.25">
      <c r="A2530" t="s">
        <v>41</v>
      </c>
      <c r="B2530" t="s">
        <v>3209</v>
      </c>
      <c r="C2530" t="s">
        <v>3226</v>
      </c>
      <c r="D2530" t="s">
        <v>4639</v>
      </c>
      <c r="E2530" s="1">
        <v>46.058</v>
      </c>
      <c r="F2530" s="1">
        <v>37.161000000000001</v>
      </c>
      <c r="K2530" s="39">
        <f>DefaultValues!$B$3</f>
        <v>0</v>
      </c>
      <c r="L2530" s="1">
        <f>DefaultValues!$C$3</f>
        <v>0</v>
      </c>
      <c r="M2530" s="1" t="s">
        <v>4704</v>
      </c>
      <c r="N2530" s="1">
        <f>1000 - 46.058</f>
        <v>953.94200000000001</v>
      </c>
      <c r="O2530" s="1">
        <f>ABS(Table4[[#This Row],[EndMP]]-Table4[[#This Row],[StartMP]])</f>
        <v>8.8969999999999985</v>
      </c>
      <c r="P2530" s="1" t="str">
        <f>IF( AND( Table4[[#This Row],[Route]]=ClosureLocation!$B$3, ClosureLocation!$B$6 &gt;= Table4[[#This Row],[StartMP]], ClosureLocation!$B$6 &lt;= Table4[[#This Row],[EndMP]]), "Yes", "")</f>
        <v/>
      </c>
      <c r="Q2530" s="1" t="str">
        <f>IF( AND( Table4[[#This Row],[Route]]=ClosureLocation!$B$3, ClosureLocation!$B$6 &lt;= Table4[[#This Row],[StartMP]], ClosureLocation!$B$6 &gt;= Table4[[#This Row],[EndMP]]), "Yes", "")</f>
        <v/>
      </c>
      <c r="R2530" s="1" t="str">
        <f>IF( OR( Table4[[#This Row],[PrimaryMatch]]="Yes", Table4[[#This Row],[SecondaryMatch]]="Yes"), "Yes", "")</f>
        <v/>
      </c>
    </row>
    <row r="2531" spans="1:18" hidden="1" x14ac:dyDescent="0.25">
      <c r="A2531" t="s">
        <v>45</v>
      </c>
      <c r="B2531" t="s">
        <v>3205</v>
      </c>
      <c r="C2531" t="s">
        <v>3222</v>
      </c>
      <c r="D2531" t="s">
        <v>4640</v>
      </c>
      <c r="E2531" s="1">
        <v>92.275000000000006</v>
      </c>
      <c r="F2531" s="1">
        <v>99.231999999999999</v>
      </c>
      <c r="K2531" s="39">
        <f>DefaultValues!$B$3</f>
        <v>0</v>
      </c>
      <c r="L2531" s="1">
        <f>DefaultValues!$C$3</f>
        <v>0</v>
      </c>
      <c r="M2531" s="1" t="s">
        <v>4705</v>
      </c>
      <c r="N2531" s="1">
        <v>92.275000000000006</v>
      </c>
      <c r="O2531" s="1">
        <f>ABS(Table4[[#This Row],[EndMP]]-Table4[[#This Row],[StartMP]])</f>
        <v>6.9569999999999936</v>
      </c>
      <c r="P2531" s="1" t="str">
        <f>IF( AND( Table4[[#This Row],[Route]]=ClosureLocation!$B$3, ClosureLocation!$B$6 &gt;= Table4[[#This Row],[StartMP]], ClosureLocation!$B$6 &lt;= Table4[[#This Row],[EndMP]]), "Yes", "")</f>
        <v/>
      </c>
      <c r="Q2531" s="1" t="str">
        <f>IF( AND( Table4[[#This Row],[Route]]=ClosureLocation!$B$3, ClosureLocation!$B$6 &lt;= Table4[[#This Row],[StartMP]], ClosureLocation!$B$6 &gt;= Table4[[#This Row],[EndMP]]), "Yes", "")</f>
        <v/>
      </c>
      <c r="R2531" s="1" t="str">
        <f>IF( OR( Table4[[#This Row],[PrimaryMatch]]="Yes", Table4[[#This Row],[SecondaryMatch]]="Yes"), "Yes", "")</f>
        <v/>
      </c>
    </row>
    <row r="2532" spans="1:18" hidden="1" x14ac:dyDescent="0.25">
      <c r="A2532" t="s">
        <v>45</v>
      </c>
      <c r="B2532" t="s">
        <v>3205</v>
      </c>
      <c r="C2532" t="s">
        <v>3222</v>
      </c>
      <c r="D2532" t="s">
        <v>4640</v>
      </c>
      <c r="E2532" s="1">
        <v>99.231999999999999</v>
      </c>
      <c r="F2532" s="1">
        <v>107.21</v>
      </c>
      <c r="K2532" s="39">
        <f>DefaultValues!$B$3</f>
        <v>0</v>
      </c>
      <c r="L2532" s="1">
        <f>DefaultValues!$C$3</f>
        <v>0</v>
      </c>
      <c r="M2532" s="1" t="s">
        <v>4707</v>
      </c>
      <c r="N2532" s="1">
        <v>99.231999999999999</v>
      </c>
      <c r="O2532" s="1">
        <f>ABS(Table4[[#This Row],[EndMP]]-Table4[[#This Row],[StartMP]])</f>
        <v>7.9779999999999944</v>
      </c>
      <c r="P2532" s="1" t="str">
        <f>IF( AND( Table4[[#This Row],[Route]]=ClosureLocation!$B$3, ClosureLocation!$B$6 &gt;= Table4[[#This Row],[StartMP]], ClosureLocation!$B$6 &lt;= Table4[[#This Row],[EndMP]]), "Yes", "")</f>
        <v/>
      </c>
      <c r="Q2532" s="1" t="str">
        <f>IF( AND( Table4[[#This Row],[Route]]=ClosureLocation!$B$3, ClosureLocation!$B$6 &lt;= Table4[[#This Row],[StartMP]], ClosureLocation!$B$6 &gt;= Table4[[#This Row],[EndMP]]), "Yes", "")</f>
        <v/>
      </c>
      <c r="R2532" s="1" t="str">
        <f>IF( OR( Table4[[#This Row],[PrimaryMatch]]="Yes", Table4[[#This Row],[SecondaryMatch]]="Yes"), "Yes", "")</f>
        <v/>
      </c>
    </row>
    <row r="2533" spans="1:18" hidden="1" x14ac:dyDescent="0.25">
      <c r="A2533" t="s">
        <v>45</v>
      </c>
      <c r="B2533" t="s">
        <v>3205</v>
      </c>
      <c r="C2533" t="s">
        <v>3222</v>
      </c>
      <c r="D2533" t="s">
        <v>4640</v>
      </c>
      <c r="E2533" s="1">
        <v>107.21</v>
      </c>
      <c r="F2533" s="1">
        <v>110.806</v>
      </c>
      <c r="K2533" s="39">
        <f>DefaultValues!$B$3</f>
        <v>0</v>
      </c>
      <c r="L2533" s="1">
        <f>DefaultValues!$C$3</f>
        <v>0</v>
      </c>
      <c r="M2533" s="1" t="s">
        <v>4709</v>
      </c>
      <c r="N2533" s="1">
        <v>107.21</v>
      </c>
      <c r="O2533" s="1">
        <f>ABS(Table4[[#This Row],[EndMP]]-Table4[[#This Row],[StartMP]])</f>
        <v>3.5960000000000036</v>
      </c>
      <c r="P2533" s="1" t="str">
        <f>IF( AND( Table4[[#This Row],[Route]]=ClosureLocation!$B$3, ClosureLocation!$B$6 &gt;= Table4[[#This Row],[StartMP]], ClosureLocation!$B$6 &lt;= Table4[[#This Row],[EndMP]]), "Yes", "")</f>
        <v/>
      </c>
      <c r="Q2533" s="1" t="str">
        <f>IF( AND( Table4[[#This Row],[Route]]=ClosureLocation!$B$3, ClosureLocation!$B$6 &lt;= Table4[[#This Row],[StartMP]], ClosureLocation!$B$6 &gt;= Table4[[#This Row],[EndMP]]), "Yes", "")</f>
        <v/>
      </c>
      <c r="R2533" s="1" t="str">
        <f>IF( OR( Table4[[#This Row],[PrimaryMatch]]="Yes", Table4[[#This Row],[SecondaryMatch]]="Yes"), "Yes", "")</f>
        <v/>
      </c>
    </row>
    <row r="2534" spans="1:18" hidden="1" x14ac:dyDescent="0.25">
      <c r="A2534" t="s">
        <v>45</v>
      </c>
      <c r="B2534" t="s">
        <v>3209</v>
      </c>
      <c r="C2534" t="s">
        <v>3226</v>
      </c>
      <c r="D2534" t="s">
        <v>4641</v>
      </c>
      <c r="E2534" s="1">
        <v>110.806</v>
      </c>
      <c r="F2534" s="1">
        <v>107.21</v>
      </c>
      <c r="K2534" s="39">
        <f>DefaultValues!$B$3</f>
        <v>0</v>
      </c>
      <c r="L2534" s="1">
        <f>DefaultValues!$C$3</f>
        <v>0</v>
      </c>
      <c r="M2534" s="1" t="s">
        <v>4710</v>
      </c>
      <c r="N2534" s="1">
        <f xml:space="preserve"> 1000 - 110.806</f>
        <v>889.19399999999996</v>
      </c>
      <c r="O2534" s="1">
        <f>ABS(Table4[[#This Row],[EndMP]]-Table4[[#This Row],[StartMP]])</f>
        <v>3.5960000000000036</v>
      </c>
      <c r="P2534" s="1" t="str">
        <f>IF( AND( Table4[[#This Row],[Route]]=ClosureLocation!$B$3, ClosureLocation!$B$6 &gt;= Table4[[#This Row],[StartMP]], ClosureLocation!$B$6 &lt;= Table4[[#This Row],[EndMP]]), "Yes", "")</f>
        <v/>
      </c>
      <c r="Q2534" s="1" t="str">
        <f>IF( AND( Table4[[#This Row],[Route]]=ClosureLocation!$B$3, ClosureLocation!$B$6 &lt;= Table4[[#This Row],[StartMP]], ClosureLocation!$B$6 &gt;= Table4[[#This Row],[EndMP]]), "Yes", "")</f>
        <v/>
      </c>
      <c r="R2534" s="1" t="str">
        <f>IF( OR( Table4[[#This Row],[PrimaryMatch]]="Yes", Table4[[#This Row],[SecondaryMatch]]="Yes"), "Yes", "")</f>
        <v/>
      </c>
    </row>
    <row r="2535" spans="1:18" hidden="1" x14ac:dyDescent="0.25">
      <c r="A2535" t="s">
        <v>45</v>
      </c>
      <c r="B2535" t="s">
        <v>3209</v>
      </c>
      <c r="C2535" t="s">
        <v>3226</v>
      </c>
      <c r="D2535" t="s">
        <v>4641</v>
      </c>
      <c r="E2535" s="1">
        <v>107.21</v>
      </c>
      <c r="F2535" s="1">
        <v>99.231999999999999</v>
      </c>
      <c r="K2535" s="39">
        <f>DefaultValues!$B$3</f>
        <v>0</v>
      </c>
      <c r="L2535" s="1">
        <f>DefaultValues!$C$3</f>
        <v>0</v>
      </c>
      <c r="M2535" s="1" t="s">
        <v>4708</v>
      </c>
      <c r="N2535" s="1">
        <f>1000 - 107.21</f>
        <v>892.79</v>
      </c>
      <c r="O2535" s="1">
        <f>ABS(Table4[[#This Row],[EndMP]]-Table4[[#This Row],[StartMP]])</f>
        <v>7.9779999999999944</v>
      </c>
      <c r="P2535" s="1" t="str">
        <f>IF( AND( Table4[[#This Row],[Route]]=ClosureLocation!$B$3, ClosureLocation!$B$6 &gt;= Table4[[#This Row],[StartMP]], ClosureLocation!$B$6 &lt;= Table4[[#This Row],[EndMP]]), "Yes", "")</f>
        <v/>
      </c>
      <c r="Q2535" s="1" t="str">
        <f>IF( AND( Table4[[#This Row],[Route]]=ClosureLocation!$B$3, ClosureLocation!$B$6 &lt;= Table4[[#This Row],[StartMP]], ClosureLocation!$B$6 &gt;= Table4[[#This Row],[EndMP]]), "Yes", "")</f>
        <v/>
      </c>
      <c r="R2535" s="1" t="str">
        <f>IF( OR( Table4[[#This Row],[PrimaryMatch]]="Yes", Table4[[#This Row],[SecondaryMatch]]="Yes"), "Yes", "")</f>
        <v/>
      </c>
    </row>
    <row r="2536" spans="1:18" hidden="1" x14ac:dyDescent="0.25">
      <c r="A2536" t="s">
        <v>45</v>
      </c>
      <c r="B2536" t="s">
        <v>3209</v>
      </c>
      <c r="C2536" t="s">
        <v>3226</v>
      </c>
      <c r="D2536" t="s">
        <v>4641</v>
      </c>
      <c r="E2536" s="1">
        <v>99.231999999999999</v>
      </c>
      <c r="F2536" s="1">
        <v>92.275000000000006</v>
      </c>
      <c r="K2536" s="39">
        <f>DefaultValues!$B$3</f>
        <v>0</v>
      </c>
      <c r="L2536" s="1">
        <f>DefaultValues!$C$3</f>
        <v>0</v>
      </c>
      <c r="M2536" s="1" t="s">
        <v>4706</v>
      </c>
      <c r="N2536" s="1">
        <f xml:space="preserve"> 1000 - 99.232</f>
        <v>900.76800000000003</v>
      </c>
      <c r="O2536" s="1">
        <f>ABS(Table4[[#This Row],[EndMP]]-Table4[[#This Row],[StartMP]])</f>
        <v>6.9569999999999936</v>
      </c>
      <c r="P2536" s="1" t="str">
        <f>IF( AND( Table4[[#This Row],[Route]]=ClosureLocation!$B$3, ClosureLocation!$B$6 &gt;= Table4[[#This Row],[StartMP]], ClosureLocation!$B$6 &lt;= Table4[[#This Row],[EndMP]]), "Yes", "")</f>
        <v/>
      </c>
      <c r="Q2536" s="1" t="str">
        <f>IF( AND( Table4[[#This Row],[Route]]=ClosureLocation!$B$3, ClosureLocation!$B$6 &lt;= Table4[[#This Row],[StartMP]], ClosureLocation!$B$6 &gt;= Table4[[#This Row],[EndMP]]), "Yes", "")</f>
        <v/>
      </c>
      <c r="R2536" s="1" t="str">
        <f>IF( OR( Table4[[#This Row],[PrimaryMatch]]="Yes", Table4[[#This Row],[SecondaryMatch]]="Yes"), "Yes", "")</f>
        <v/>
      </c>
    </row>
    <row r="2537" spans="1:18" hidden="1" x14ac:dyDescent="0.25">
      <c r="A2537" t="s">
        <v>50</v>
      </c>
      <c r="B2537" t="s">
        <v>3205</v>
      </c>
      <c r="C2537" t="s">
        <v>3222</v>
      </c>
      <c r="D2537" t="s">
        <v>3230</v>
      </c>
      <c r="E2537" s="1">
        <v>149.71799999999999</v>
      </c>
      <c r="F2537" s="1">
        <v>159.184</v>
      </c>
      <c r="K2537" s="39">
        <f>DefaultValues!$B$3</f>
        <v>0</v>
      </c>
      <c r="L2537" s="1">
        <f>DefaultValues!$C$3</f>
        <v>0</v>
      </c>
      <c r="M2537" s="1" t="s">
        <v>3231</v>
      </c>
      <c r="N2537" s="1">
        <v>149.71799999999999</v>
      </c>
      <c r="O2537" s="1">
        <f>ABS(Table4[[#This Row],[EndMP]]-Table4[[#This Row],[StartMP]])</f>
        <v>9.4660000000000082</v>
      </c>
      <c r="P2537" s="1" t="str">
        <f>IF( AND( Table4[[#This Row],[Route]]=ClosureLocation!$B$3, ClosureLocation!$B$6 &gt;= Table4[[#This Row],[StartMP]], ClosureLocation!$B$6 &lt;= Table4[[#This Row],[EndMP]]), "Yes", "")</f>
        <v/>
      </c>
      <c r="Q2537" s="1" t="str">
        <f>IF( AND( Table4[[#This Row],[Route]]=ClosureLocation!$B$3, ClosureLocation!$B$6 &lt;= Table4[[#This Row],[StartMP]], ClosureLocation!$B$6 &gt;= Table4[[#This Row],[EndMP]]), "Yes", "")</f>
        <v/>
      </c>
      <c r="R2537" s="1" t="str">
        <f>IF( OR( Table4[[#This Row],[PrimaryMatch]]="Yes", Table4[[#This Row],[SecondaryMatch]]="Yes"), "Yes", "")</f>
        <v/>
      </c>
    </row>
    <row r="2538" spans="1:18" hidden="1" x14ac:dyDescent="0.25">
      <c r="A2538" t="s">
        <v>50</v>
      </c>
      <c r="B2538" t="s">
        <v>3205</v>
      </c>
      <c r="C2538" t="s">
        <v>3222</v>
      </c>
      <c r="D2538" t="s">
        <v>3230</v>
      </c>
      <c r="E2538" s="1">
        <v>159.57300000000001</v>
      </c>
      <c r="F2538" s="1">
        <v>165.995</v>
      </c>
      <c r="K2538" s="39">
        <f>DefaultValues!$B$3</f>
        <v>0</v>
      </c>
      <c r="L2538" s="1">
        <f>DefaultValues!$C$3</f>
        <v>0</v>
      </c>
      <c r="M2538" s="1" t="s">
        <v>4711</v>
      </c>
      <c r="N2538" s="1">
        <v>159.57300000000001</v>
      </c>
      <c r="O2538" s="1">
        <f>ABS(Table4[[#This Row],[EndMP]]-Table4[[#This Row],[StartMP]])</f>
        <v>6.421999999999997</v>
      </c>
      <c r="P2538" s="1" t="str">
        <f>IF( AND( Table4[[#This Row],[Route]]=ClosureLocation!$B$3, ClosureLocation!$B$6 &gt;= Table4[[#This Row],[StartMP]], ClosureLocation!$B$6 &lt;= Table4[[#This Row],[EndMP]]), "Yes", "")</f>
        <v/>
      </c>
      <c r="Q2538" s="1" t="str">
        <f>IF( AND( Table4[[#This Row],[Route]]=ClosureLocation!$B$3, ClosureLocation!$B$6 &lt;= Table4[[#This Row],[StartMP]], ClosureLocation!$B$6 &gt;= Table4[[#This Row],[EndMP]]), "Yes", "")</f>
        <v/>
      </c>
      <c r="R2538" s="1" t="str">
        <f>IF( OR( Table4[[#This Row],[PrimaryMatch]]="Yes", Table4[[#This Row],[SecondaryMatch]]="Yes"), "Yes", "")</f>
        <v/>
      </c>
    </row>
    <row r="2539" spans="1:18" hidden="1" x14ac:dyDescent="0.25">
      <c r="A2539" t="s">
        <v>50</v>
      </c>
      <c r="B2539" t="s">
        <v>3205</v>
      </c>
      <c r="C2539" t="s">
        <v>3222</v>
      </c>
      <c r="D2539" t="s">
        <v>3230</v>
      </c>
      <c r="E2539" s="1">
        <v>165.995</v>
      </c>
      <c r="F2539" s="1">
        <v>170.041</v>
      </c>
      <c r="K2539" s="39">
        <f>DefaultValues!$B$3</f>
        <v>0</v>
      </c>
      <c r="L2539" s="1">
        <f>DefaultValues!$C$3</f>
        <v>0</v>
      </c>
      <c r="M2539" s="1" t="s">
        <v>4713</v>
      </c>
      <c r="N2539" s="1">
        <v>165.995</v>
      </c>
      <c r="O2539" s="1">
        <f>ABS(Table4[[#This Row],[EndMP]]-Table4[[#This Row],[StartMP]])</f>
        <v>4.0459999999999923</v>
      </c>
      <c r="P2539" s="1" t="str">
        <f>IF( AND( Table4[[#This Row],[Route]]=ClosureLocation!$B$3, ClosureLocation!$B$6 &gt;= Table4[[#This Row],[StartMP]], ClosureLocation!$B$6 &lt;= Table4[[#This Row],[EndMP]]), "Yes", "")</f>
        <v/>
      </c>
      <c r="Q2539" s="1" t="str">
        <f>IF( AND( Table4[[#This Row],[Route]]=ClosureLocation!$B$3, ClosureLocation!$B$6 &lt;= Table4[[#This Row],[StartMP]], ClosureLocation!$B$6 &gt;= Table4[[#This Row],[EndMP]]), "Yes", "")</f>
        <v/>
      </c>
      <c r="R2539" s="1" t="str">
        <f>IF( OR( Table4[[#This Row],[PrimaryMatch]]="Yes", Table4[[#This Row],[SecondaryMatch]]="Yes"), "Yes", "")</f>
        <v/>
      </c>
    </row>
    <row r="2540" spans="1:18" hidden="1" x14ac:dyDescent="0.25">
      <c r="A2540" t="s">
        <v>50</v>
      </c>
      <c r="B2540" t="s">
        <v>3205</v>
      </c>
      <c r="C2540" t="s">
        <v>3222</v>
      </c>
      <c r="D2540" t="s">
        <v>3230</v>
      </c>
      <c r="E2540" s="1">
        <v>172.167</v>
      </c>
      <c r="F2540" s="1">
        <v>174.541</v>
      </c>
      <c r="K2540" s="39">
        <f>DefaultValues!$B$3</f>
        <v>0</v>
      </c>
      <c r="L2540" s="1">
        <f>DefaultValues!$C$3</f>
        <v>0</v>
      </c>
      <c r="M2540" s="1" t="s">
        <v>776</v>
      </c>
      <c r="N2540" s="1">
        <v>172.167</v>
      </c>
      <c r="O2540" s="1">
        <f>ABS(Table4[[#This Row],[EndMP]]-Table4[[#This Row],[StartMP]])</f>
        <v>2.3739999999999952</v>
      </c>
      <c r="P2540" s="1" t="str">
        <f>IF( AND( Table4[[#This Row],[Route]]=ClosureLocation!$B$3, ClosureLocation!$B$6 &gt;= Table4[[#This Row],[StartMP]], ClosureLocation!$B$6 &lt;= Table4[[#This Row],[EndMP]]), "Yes", "")</f>
        <v/>
      </c>
      <c r="Q2540" s="1" t="str">
        <f>IF( AND( Table4[[#This Row],[Route]]=ClosureLocation!$B$3, ClosureLocation!$B$6 &lt;= Table4[[#This Row],[StartMP]], ClosureLocation!$B$6 &gt;= Table4[[#This Row],[EndMP]]), "Yes", "")</f>
        <v/>
      </c>
      <c r="R2540" s="1" t="str">
        <f>IF( OR( Table4[[#This Row],[PrimaryMatch]]="Yes", Table4[[#This Row],[SecondaryMatch]]="Yes"), "Yes", "")</f>
        <v/>
      </c>
    </row>
    <row r="2541" spans="1:18" hidden="1" x14ac:dyDescent="0.25">
      <c r="A2541" t="s">
        <v>50</v>
      </c>
      <c r="B2541" t="s">
        <v>3209</v>
      </c>
      <c r="C2541" t="s">
        <v>3226</v>
      </c>
      <c r="D2541" t="s">
        <v>3233</v>
      </c>
      <c r="E2541" s="1">
        <v>174.541</v>
      </c>
      <c r="F2541" s="1">
        <v>172.167</v>
      </c>
      <c r="K2541" s="39">
        <f>DefaultValues!$B$3</f>
        <v>0</v>
      </c>
      <c r="L2541" s="1">
        <f>DefaultValues!$C$3</f>
        <v>0</v>
      </c>
      <c r="M2541" s="1" t="s">
        <v>776</v>
      </c>
      <c r="N2541" s="1">
        <f>1000 - 174.541</f>
        <v>825.45900000000006</v>
      </c>
      <c r="O2541" s="1">
        <f>ABS(Table4[[#This Row],[EndMP]]-Table4[[#This Row],[StartMP]])</f>
        <v>2.3739999999999952</v>
      </c>
      <c r="P2541" s="1" t="str">
        <f>IF( AND( Table4[[#This Row],[Route]]=ClosureLocation!$B$3, ClosureLocation!$B$6 &gt;= Table4[[#This Row],[StartMP]], ClosureLocation!$B$6 &lt;= Table4[[#This Row],[EndMP]]), "Yes", "")</f>
        <v/>
      </c>
      <c r="Q2541" s="1" t="str">
        <f>IF( AND( Table4[[#This Row],[Route]]=ClosureLocation!$B$3, ClosureLocation!$B$6 &lt;= Table4[[#This Row],[StartMP]], ClosureLocation!$B$6 &gt;= Table4[[#This Row],[EndMP]]), "Yes", "")</f>
        <v/>
      </c>
      <c r="R2541" s="1" t="str">
        <f>IF( OR( Table4[[#This Row],[PrimaryMatch]]="Yes", Table4[[#This Row],[SecondaryMatch]]="Yes"), "Yes", "")</f>
        <v/>
      </c>
    </row>
    <row r="2542" spans="1:18" hidden="1" x14ac:dyDescent="0.25">
      <c r="A2542" t="s">
        <v>50</v>
      </c>
      <c r="B2542" t="s">
        <v>3209</v>
      </c>
      <c r="C2542" t="s">
        <v>3226</v>
      </c>
      <c r="D2542" t="s">
        <v>3233</v>
      </c>
      <c r="E2542" s="1">
        <v>170.041</v>
      </c>
      <c r="F2542" s="1">
        <v>165.995</v>
      </c>
      <c r="K2542" s="39">
        <f>DefaultValues!$B$3</f>
        <v>0</v>
      </c>
      <c r="L2542" s="1">
        <f>DefaultValues!$C$3</f>
        <v>0</v>
      </c>
      <c r="M2542" s="1" t="s">
        <v>4714</v>
      </c>
      <c r="N2542" s="1">
        <f>1000 - 170.041</f>
        <v>829.95900000000006</v>
      </c>
      <c r="O2542" s="1">
        <f>ABS(Table4[[#This Row],[EndMP]]-Table4[[#This Row],[StartMP]])</f>
        <v>4.0459999999999923</v>
      </c>
      <c r="P2542" s="1" t="str">
        <f>IF( AND( Table4[[#This Row],[Route]]=ClosureLocation!$B$3, ClosureLocation!$B$6 &gt;= Table4[[#This Row],[StartMP]], ClosureLocation!$B$6 &lt;= Table4[[#This Row],[EndMP]]), "Yes", "")</f>
        <v/>
      </c>
      <c r="Q2542" s="1" t="str">
        <f>IF( AND( Table4[[#This Row],[Route]]=ClosureLocation!$B$3, ClosureLocation!$B$6 &lt;= Table4[[#This Row],[StartMP]], ClosureLocation!$B$6 &gt;= Table4[[#This Row],[EndMP]]), "Yes", "")</f>
        <v/>
      </c>
      <c r="R2542" s="1" t="str">
        <f>IF( OR( Table4[[#This Row],[PrimaryMatch]]="Yes", Table4[[#This Row],[SecondaryMatch]]="Yes"), "Yes", "")</f>
        <v/>
      </c>
    </row>
    <row r="2543" spans="1:18" hidden="1" x14ac:dyDescent="0.25">
      <c r="A2543" t="s">
        <v>50</v>
      </c>
      <c r="B2543" t="s">
        <v>3209</v>
      </c>
      <c r="C2543" t="s">
        <v>3226</v>
      </c>
      <c r="D2543" t="s">
        <v>3233</v>
      </c>
      <c r="E2543" s="1">
        <v>165.995</v>
      </c>
      <c r="F2543" s="1">
        <v>159.57300000000001</v>
      </c>
      <c r="K2543" s="39">
        <f>DefaultValues!$B$3</f>
        <v>0</v>
      </c>
      <c r="L2543" s="1">
        <f>DefaultValues!$C$3</f>
        <v>0</v>
      </c>
      <c r="M2543" s="1" t="s">
        <v>4712</v>
      </c>
      <c r="N2543" s="1">
        <f>1000 - 165.995</f>
        <v>834.005</v>
      </c>
      <c r="O2543" s="1">
        <f>ABS(Table4[[#This Row],[EndMP]]-Table4[[#This Row],[StartMP]])</f>
        <v>6.421999999999997</v>
      </c>
      <c r="P2543" s="1" t="str">
        <f>IF( AND( Table4[[#This Row],[Route]]=ClosureLocation!$B$3, ClosureLocation!$B$6 &gt;= Table4[[#This Row],[StartMP]], ClosureLocation!$B$6 &lt;= Table4[[#This Row],[EndMP]]), "Yes", "")</f>
        <v/>
      </c>
      <c r="Q2543" s="1" t="str">
        <f>IF( AND( Table4[[#This Row],[Route]]=ClosureLocation!$B$3, ClosureLocation!$B$6 &lt;= Table4[[#This Row],[StartMP]], ClosureLocation!$B$6 &gt;= Table4[[#This Row],[EndMP]]), "Yes", "")</f>
        <v/>
      </c>
      <c r="R2543" s="1" t="str">
        <f>IF( OR( Table4[[#This Row],[PrimaryMatch]]="Yes", Table4[[#This Row],[SecondaryMatch]]="Yes"), "Yes", "")</f>
        <v/>
      </c>
    </row>
    <row r="2544" spans="1:18" hidden="1" x14ac:dyDescent="0.25">
      <c r="A2544" t="s">
        <v>50</v>
      </c>
      <c r="B2544" t="s">
        <v>3209</v>
      </c>
      <c r="C2544" t="s">
        <v>3226</v>
      </c>
      <c r="D2544" t="s">
        <v>3233</v>
      </c>
      <c r="E2544" s="1">
        <v>159.184</v>
      </c>
      <c r="F2544" s="1">
        <v>149.71799999999999</v>
      </c>
      <c r="K2544" s="39">
        <f>DefaultValues!$B$3</f>
        <v>0</v>
      </c>
      <c r="L2544" s="1">
        <f>DefaultValues!$C$3</f>
        <v>0</v>
      </c>
      <c r="M2544" s="1" t="s">
        <v>3237</v>
      </c>
      <c r="N2544" s="1">
        <f>1000 - 159.184</f>
        <v>840.81600000000003</v>
      </c>
      <c r="O2544" s="1">
        <f>ABS(Table4[[#This Row],[EndMP]]-Table4[[#This Row],[StartMP]])</f>
        <v>9.4660000000000082</v>
      </c>
      <c r="P2544" s="1" t="str">
        <f>IF( AND( Table4[[#This Row],[Route]]=ClosureLocation!$B$3, ClosureLocation!$B$6 &gt;= Table4[[#This Row],[StartMP]], ClosureLocation!$B$6 &lt;= Table4[[#This Row],[EndMP]]), "Yes", "")</f>
        <v/>
      </c>
      <c r="Q2544" s="1" t="str">
        <f>IF( AND( Table4[[#This Row],[Route]]=ClosureLocation!$B$3, ClosureLocation!$B$6 &lt;= Table4[[#This Row],[StartMP]], ClosureLocation!$B$6 &gt;= Table4[[#This Row],[EndMP]]), "Yes", "")</f>
        <v/>
      </c>
      <c r="R2544" s="1" t="str">
        <f>IF( OR( Table4[[#This Row],[PrimaryMatch]]="Yes", Table4[[#This Row],[SecondaryMatch]]="Yes"), "Yes", "")</f>
        <v/>
      </c>
    </row>
    <row r="2545" spans="1:18" hidden="1" x14ac:dyDescent="0.25">
      <c r="A2545" t="s">
        <v>61</v>
      </c>
      <c r="B2545" t="s">
        <v>3205</v>
      </c>
      <c r="C2545" t="s">
        <v>3222</v>
      </c>
      <c r="D2545" t="s">
        <v>4642</v>
      </c>
      <c r="E2545" s="1">
        <v>208.65899999999999</v>
      </c>
      <c r="F2545" s="1">
        <v>229.89599999999999</v>
      </c>
      <c r="K2545" s="39">
        <f>DefaultValues!$B$3</f>
        <v>0</v>
      </c>
      <c r="L2545" s="1">
        <f>DefaultValues!$C$3</f>
        <v>0</v>
      </c>
      <c r="M2545" s="1" t="s">
        <v>776</v>
      </c>
      <c r="N2545" s="1">
        <v>208.65899999999999</v>
      </c>
      <c r="O2545" s="1">
        <f>ABS(Table4[[#This Row],[EndMP]]-Table4[[#This Row],[StartMP]])</f>
        <v>21.236999999999995</v>
      </c>
      <c r="P2545" s="1" t="str">
        <f>IF( AND( Table4[[#This Row],[Route]]=ClosureLocation!$B$3, ClosureLocation!$B$6 &gt;= Table4[[#This Row],[StartMP]], ClosureLocation!$B$6 &lt;= Table4[[#This Row],[EndMP]]), "Yes", "")</f>
        <v/>
      </c>
      <c r="Q2545" s="1" t="str">
        <f>IF( AND( Table4[[#This Row],[Route]]=ClosureLocation!$B$3, ClosureLocation!$B$6 &lt;= Table4[[#This Row],[StartMP]], ClosureLocation!$B$6 &gt;= Table4[[#This Row],[EndMP]]), "Yes", "")</f>
        <v/>
      </c>
      <c r="R2545" s="1" t="str">
        <f>IF( OR( Table4[[#This Row],[PrimaryMatch]]="Yes", Table4[[#This Row],[SecondaryMatch]]="Yes"), "Yes", "")</f>
        <v/>
      </c>
    </row>
    <row r="2546" spans="1:18" hidden="1" x14ac:dyDescent="0.25">
      <c r="A2546" t="s">
        <v>61</v>
      </c>
      <c r="B2546" t="s">
        <v>3209</v>
      </c>
      <c r="C2546" t="s">
        <v>3226</v>
      </c>
      <c r="D2546" t="s">
        <v>4643</v>
      </c>
      <c r="E2546" s="1">
        <v>229.89599999999999</v>
      </c>
      <c r="F2546" s="1">
        <v>208.65899999999999</v>
      </c>
      <c r="K2546" s="39">
        <f>DefaultValues!$B$3</f>
        <v>0</v>
      </c>
      <c r="L2546" s="1">
        <f>DefaultValues!$C$3</f>
        <v>0</v>
      </c>
      <c r="M2546" s="1" t="s">
        <v>3566</v>
      </c>
      <c r="N2546" s="1">
        <f>1000 - 229.896</f>
        <v>770.10400000000004</v>
      </c>
      <c r="O2546" s="1">
        <f>ABS(Table4[[#This Row],[EndMP]]-Table4[[#This Row],[StartMP]])</f>
        <v>21.236999999999995</v>
      </c>
      <c r="P2546" s="1" t="str">
        <f>IF( AND( Table4[[#This Row],[Route]]=ClosureLocation!$B$3, ClosureLocation!$B$6 &gt;= Table4[[#This Row],[StartMP]], ClosureLocation!$B$6 &lt;= Table4[[#This Row],[EndMP]]), "Yes", "")</f>
        <v/>
      </c>
      <c r="Q2546" s="1" t="str">
        <f>IF( AND( Table4[[#This Row],[Route]]=ClosureLocation!$B$3, ClosureLocation!$B$6 &lt;= Table4[[#This Row],[StartMP]], ClosureLocation!$B$6 &gt;= Table4[[#This Row],[EndMP]]), "Yes", "")</f>
        <v/>
      </c>
      <c r="R2546" s="1" t="str">
        <f>IF( OR( Table4[[#This Row],[PrimaryMatch]]="Yes", Table4[[#This Row],[SecondaryMatch]]="Yes"), "Yes", "")</f>
        <v/>
      </c>
    </row>
    <row r="2547" spans="1:18" hidden="1" x14ac:dyDescent="0.25">
      <c r="A2547" s="10" t="s">
        <v>89</v>
      </c>
      <c r="B2547" t="s">
        <v>3205</v>
      </c>
      <c r="C2547" t="s">
        <v>3222</v>
      </c>
      <c r="D2547" t="s">
        <v>4644</v>
      </c>
      <c r="E2547" s="1">
        <v>343.51900000000001</v>
      </c>
      <c r="F2547" s="1">
        <v>345.928</v>
      </c>
      <c r="K2547" s="39">
        <f>DefaultValues!$B$3</f>
        <v>0</v>
      </c>
      <c r="L2547" s="1">
        <f>DefaultValues!$C$3</f>
        <v>0</v>
      </c>
      <c r="M2547" s="1" t="s">
        <v>3654</v>
      </c>
      <c r="N2547" s="1">
        <v>343.51900000000001</v>
      </c>
      <c r="O2547" s="1">
        <f>ABS(Table4[[#This Row],[EndMP]]-Table4[[#This Row],[StartMP]])</f>
        <v>2.4089999999999918</v>
      </c>
      <c r="P2547" s="1" t="str">
        <f>IF( AND( Table4[[#This Row],[Route]]=ClosureLocation!$B$3, ClosureLocation!$B$6 &gt;= Table4[[#This Row],[StartMP]], ClosureLocation!$B$6 &lt;= Table4[[#This Row],[EndMP]]), "Yes", "")</f>
        <v/>
      </c>
      <c r="Q2547" s="1" t="str">
        <f>IF( AND( Table4[[#This Row],[Route]]=ClosureLocation!$B$3, ClosureLocation!$B$6 &lt;= Table4[[#This Row],[StartMP]], ClosureLocation!$B$6 &gt;= Table4[[#This Row],[EndMP]]), "Yes", "")</f>
        <v/>
      </c>
      <c r="R2547" s="1" t="str">
        <f>IF( OR( Table4[[#This Row],[PrimaryMatch]]="Yes", Table4[[#This Row],[SecondaryMatch]]="Yes"), "Yes", "")</f>
        <v/>
      </c>
    </row>
    <row r="2548" spans="1:18" hidden="1" x14ac:dyDescent="0.25">
      <c r="A2548" s="10" t="s">
        <v>89</v>
      </c>
      <c r="B2548" t="s">
        <v>3209</v>
      </c>
      <c r="C2548" t="s">
        <v>3226</v>
      </c>
      <c r="D2548" t="s">
        <v>4645</v>
      </c>
      <c r="E2548" s="1">
        <v>345.928</v>
      </c>
      <c r="F2548" s="1">
        <v>343.51900000000001</v>
      </c>
      <c r="K2548" s="39">
        <f>DefaultValues!$B$3</f>
        <v>0</v>
      </c>
      <c r="L2548" s="1">
        <f>DefaultValues!$C$3</f>
        <v>0</v>
      </c>
      <c r="M2548" s="1" t="s">
        <v>3656</v>
      </c>
      <c r="N2548" s="1">
        <f>1000 - 345.928</f>
        <v>654.072</v>
      </c>
      <c r="O2548" s="1">
        <f>ABS(Table4[[#This Row],[EndMP]]-Table4[[#This Row],[StartMP]])</f>
        <v>2.4089999999999918</v>
      </c>
      <c r="P2548" s="1" t="str">
        <f>IF( AND( Table4[[#This Row],[Route]]=ClosureLocation!$B$3, ClosureLocation!$B$6 &gt;= Table4[[#This Row],[StartMP]], ClosureLocation!$B$6 &lt;= Table4[[#This Row],[EndMP]]), "Yes", "")</f>
        <v/>
      </c>
      <c r="Q2548" s="1" t="str">
        <f>IF( AND( Table4[[#This Row],[Route]]=ClosureLocation!$B$3, ClosureLocation!$B$6 &lt;= Table4[[#This Row],[StartMP]], ClosureLocation!$B$6 &gt;= Table4[[#This Row],[EndMP]]), "Yes", "")</f>
        <v/>
      </c>
      <c r="R2548" s="1" t="str">
        <f>IF( OR( Table4[[#This Row],[PrimaryMatch]]="Yes", Table4[[#This Row],[SecondaryMatch]]="Yes"), "Yes", "")</f>
        <v/>
      </c>
    </row>
    <row r="2549" spans="1:18" hidden="1" x14ac:dyDescent="0.25">
      <c r="A2549" t="s">
        <v>93</v>
      </c>
      <c r="B2549" t="s">
        <v>3205</v>
      </c>
      <c r="C2549" t="s">
        <v>3222</v>
      </c>
      <c r="D2549" t="s">
        <v>3264</v>
      </c>
      <c r="E2549" s="1">
        <v>371.69</v>
      </c>
      <c r="F2549" s="1">
        <v>397.95499999999998</v>
      </c>
      <c r="K2549" s="39">
        <f>DefaultValues!$B$3</f>
        <v>0</v>
      </c>
      <c r="L2549" s="1">
        <f>DefaultValues!$C$3</f>
        <v>0</v>
      </c>
      <c r="M2549" s="1" t="s">
        <v>4715</v>
      </c>
      <c r="N2549" s="1">
        <v>371.69</v>
      </c>
      <c r="O2549" s="1">
        <f>ABS(Table4[[#This Row],[EndMP]]-Table4[[#This Row],[StartMP]])</f>
        <v>26.264999999999986</v>
      </c>
      <c r="P2549" s="1" t="str">
        <f>IF( AND( Table4[[#This Row],[Route]]=ClosureLocation!$B$3, ClosureLocation!$B$6 &gt;= Table4[[#This Row],[StartMP]], ClosureLocation!$B$6 &lt;= Table4[[#This Row],[EndMP]]), "Yes", "")</f>
        <v/>
      </c>
      <c r="Q2549" s="1" t="str">
        <f>IF( AND( Table4[[#This Row],[Route]]=ClosureLocation!$B$3, ClosureLocation!$B$6 &lt;= Table4[[#This Row],[StartMP]], ClosureLocation!$B$6 &gt;= Table4[[#This Row],[EndMP]]), "Yes", "")</f>
        <v/>
      </c>
      <c r="R2549" s="1" t="str">
        <f>IF( OR( Table4[[#This Row],[PrimaryMatch]]="Yes", Table4[[#This Row],[SecondaryMatch]]="Yes"), "Yes", "")</f>
        <v/>
      </c>
    </row>
    <row r="2550" spans="1:18" hidden="1" x14ac:dyDescent="0.25">
      <c r="A2550" t="s">
        <v>93</v>
      </c>
      <c r="B2550" t="s">
        <v>3209</v>
      </c>
      <c r="C2550" t="s">
        <v>3226</v>
      </c>
      <c r="D2550" t="s">
        <v>3267</v>
      </c>
      <c r="E2550" s="1">
        <v>397.95499999999998</v>
      </c>
      <c r="F2550" s="1">
        <v>371.69</v>
      </c>
      <c r="K2550" s="39">
        <f>DefaultValues!$B$3</f>
        <v>0</v>
      </c>
      <c r="L2550" s="1">
        <f>DefaultValues!$C$3</f>
        <v>0</v>
      </c>
      <c r="M2550" s="1" t="s">
        <v>3265</v>
      </c>
      <c r="N2550" s="1">
        <f>1000 - 397.955</f>
        <v>602.04500000000007</v>
      </c>
      <c r="O2550" s="1">
        <f>ABS(Table4[[#This Row],[EndMP]]-Table4[[#This Row],[StartMP]])</f>
        <v>26.264999999999986</v>
      </c>
      <c r="P2550" s="1" t="str">
        <f>IF( AND( Table4[[#This Row],[Route]]=ClosureLocation!$B$3, ClosureLocation!$B$6 &gt;= Table4[[#This Row],[StartMP]], ClosureLocation!$B$6 &lt;= Table4[[#This Row],[EndMP]]), "Yes", "")</f>
        <v/>
      </c>
      <c r="Q2550" s="1" t="str">
        <f>IF( AND( Table4[[#This Row],[Route]]=ClosureLocation!$B$3, ClosureLocation!$B$6 &lt;= Table4[[#This Row],[StartMP]], ClosureLocation!$B$6 &gt;= Table4[[#This Row],[EndMP]]), "Yes", "")</f>
        <v/>
      </c>
      <c r="R2550" s="1" t="str">
        <f>IF( OR( Table4[[#This Row],[PrimaryMatch]]="Yes", Table4[[#This Row],[SecondaryMatch]]="Yes"), "Yes", "")</f>
        <v/>
      </c>
    </row>
    <row r="2551" spans="1:18" hidden="1" x14ac:dyDescent="0.25">
      <c r="A2551" t="s">
        <v>107</v>
      </c>
      <c r="B2551" t="s">
        <v>3205</v>
      </c>
      <c r="C2551" t="s">
        <v>3222</v>
      </c>
      <c r="D2551" t="s">
        <v>4646</v>
      </c>
      <c r="E2551" s="1">
        <v>62.305</v>
      </c>
      <c r="F2551" s="1">
        <v>72.248000000000005</v>
      </c>
      <c r="K2551" s="39">
        <f>DefaultValues!$B$3</f>
        <v>0</v>
      </c>
      <c r="L2551" s="1">
        <f>DefaultValues!$C$3</f>
        <v>0</v>
      </c>
      <c r="M2551" s="1" t="s">
        <v>776</v>
      </c>
      <c r="N2551" s="1">
        <v>62.305</v>
      </c>
      <c r="O2551" s="1">
        <f>ABS(Table4[[#This Row],[EndMP]]-Table4[[#This Row],[StartMP]])</f>
        <v>9.9430000000000049</v>
      </c>
      <c r="P2551" s="1" t="str">
        <f>IF( AND( Table4[[#This Row],[Route]]=ClosureLocation!$B$3, ClosureLocation!$B$6 &gt;= Table4[[#This Row],[StartMP]], ClosureLocation!$B$6 &lt;= Table4[[#This Row],[EndMP]]), "Yes", "")</f>
        <v/>
      </c>
      <c r="Q2551" s="1" t="str">
        <f>IF( AND( Table4[[#This Row],[Route]]=ClosureLocation!$B$3, ClosureLocation!$B$6 &lt;= Table4[[#This Row],[StartMP]], ClosureLocation!$B$6 &gt;= Table4[[#This Row],[EndMP]]), "Yes", "")</f>
        <v/>
      </c>
      <c r="R2551" s="1" t="str">
        <f>IF( OR( Table4[[#This Row],[PrimaryMatch]]="Yes", Table4[[#This Row],[SecondaryMatch]]="Yes"), "Yes", "")</f>
        <v/>
      </c>
    </row>
    <row r="2552" spans="1:18" hidden="1" x14ac:dyDescent="0.25">
      <c r="A2552" t="s">
        <v>107</v>
      </c>
      <c r="B2552" t="s">
        <v>3205</v>
      </c>
      <c r="C2552" t="s">
        <v>3222</v>
      </c>
      <c r="D2552" t="s">
        <v>4646</v>
      </c>
      <c r="E2552" s="1">
        <v>72.248000000000005</v>
      </c>
      <c r="F2552" s="1">
        <v>75.421999999999997</v>
      </c>
      <c r="K2552" s="39">
        <f>DefaultValues!$B$3</f>
        <v>0</v>
      </c>
      <c r="L2552" s="1">
        <f>DefaultValues!$C$3</f>
        <v>0</v>
      </c>
      <c r="M2552" s="1" t="s">
        <v>4716</v>
      </c>
      <c r="N2552" s="1">
        <v>72.248000000000005</v>
      </c>
      <c r="O2552" s="1">
        <f>ABS(Table4[[#This Row],[EndMP]]-Table4[[#This Row],[StartMP]])</f>
        <v>3.1739999999999924</v>
      </c>
      <c r="P2552" s="1" t="str">
        <f>IF( AND( Table4[[#This Row],[Route]]=ClosureLocation!$B$3, ClosureLocation!$B$6 &gt;= Table4[[#This Row],[StartMP]], ClosureLocation!$B$6 &lt;= Table4[[#This Row],[EndMP]]), "Yes", "")</f>
        <v/>
      </c>
      <c r="Q2552" s="1" t="str">
        <f>IF( AND( Table4[[#This Row],[Route]]=ClosureLocation!$B$3, ClosureLocation!$B$6 &lt;= Table4[[#This Row],[StartMP]], ClosureLocation!$B$6 &gt;= Table4[[#This Row],[EndMP]]), "Yes", "")</f>
        <v/>
      </c>
      <c r="R2552" s="1" t="str">
        <f>IF( OR( Table4[[#This Row],[PrimaryMatch]]="Yes", Table4[[#This Row],[SecondaryMatch]]="Yes"), "Yes", "")</f>
        <v/>
      </c>
    </row>
    <row r="2553" spans="1:18" hidden="1" x14ac:dyDescent="0.25">
      <c r="A2553" t="s">
        <v>107</v>
      </c>
      <c r="B2553" t="s">
        <v>3205</v>
      </c>
      <c r="C2553" t="s">
        <v>3222</v>
      </c>
      <c r="D2553" t="s">
        <v>4646</v>
      </c>
      <c r="E2553" s="1">
        <v>75.421999999999997</v>
      </c>
      <c r="F2553" s="1">
        <v>82.768000000000001</v>
      </c>
      <c r="K2553" s="39">
        <f>DefaultValues!$B$3</f>
        <v>0</v>
      </c>
      <c r="L2553" s="1">
        <f>DefaultValues!$C$3</f>
        <v>0</v>
      </c>
      <c r="M2553" s="1" t="s">
        <v>4718</v>
      </c>
      <c r="N2553" s="1">
        <v>75.421999999999997</v>
      </c>
      <c r="O2553" s="1">
        <f>ABS(Table4[[#This Row],[EndMP]]-Table4[[#This Row],[StartMP]])</f>
        <v>7.3460000000000036</v>
      </c>
      <c r="P2553" s="1" t="str">
        <f>IF( AND( Table4[[#This Row],[Route]]=ClosureLocation!$B$3, ClosureLocation!$B$6 &gt;= Table4[[#This Row],[StartMP]], ClosureLocation!$B$6 &lt;= Table4[[#This Row],[EndMP]]), "Yes", "")</f>
        <v/>
      </c>
      <c r="Q2553" s="1" t="str">
        <f>IF( AND( Table4[[#This Row],[Route]]=ClosureLocation!$B$3, ClosureLocation!$B$6 &lt;= Table4[[#This Row],[StartMP]], ClosureLocation!$B$6 &gt;= Table4[[#This Row],[EndMP]]), "Yes", "")</f>
        <v/>
      </c>
      <c r="R2553" s="1" t="str">
        <f>IF( OR( Table4[[#This Row],[PrimaryMatch]]="Yes", Table4[[#This Row],[SecondaryMatch]]="Yes"), "Yes", "")</f>
        <v/>
      </c>
    </row>
    <row r="2554" spans="1:18" hidden="1" x14ac:dyDescent="0.25">
      <c r="A2554" t="s">
        <v>107</v>
      </c>
      <c r="B2554" t="s">
        <v>3205</v>
      </c>
      <c r="C2554" t="s">
        <v>3222</v>
      </c>
      <c r="D2554" t="s">
        <v>4646</v>
      </c>
      <c r="E2554" s="1">
        <v>82.768000000000001</v>
      </c>
      <c r="F2554" s="1">
        <v>88.894999999999996</v>
      </c>
      <c r="K2554" s="39">
        <f>DefaultValues!$B$3</f>
        <v>0</v>
      </c>
      <c r="L2554" s="1">
        <f>DefaultValues!$C$3</f>
        <v>0</v>
      </c>
      <c r="M2554" s="1" t="s">
        <v>4720</v>
      </c>
      <c r="N2554" s="1">
        <v>82.768000000000001</v>
      </c>
      <c r="O2554" s="1">
        <f>ABS(Table4[[#This Row],[EndMP]]-Table4[[#This Row],[StartMP]])</f>
        <v>6.1269999999999953</v>
      </c>
      <c r="P2554" s="1" t="str">
        <f>IF( AND( Table4[[#This Row],[Route]]=ClosureLocation!$B$3, ClosureLocation!$B$6 &gt;= Table4[[#This Row],[StartMP]], ClosureLocation!$B$6 &lt;= Table4[[#This Row],[EndMP]]), "Yes", "")</f>
        <v/>
      </c>
      <c r="Q2554" s="1" t="str">
        <f>IF( AND( Table4[[#This Row],[Route]]=ClosureLocation!$B$3, ClosureLocation!$B$6 &lt;= Table4[[#This Row],[StartMP]], ClosureLocation!$B$6 &gt;= Table4[[#This Row],[EndMP]]), "Yes", "")</f>
        <v/>
      </c>
      <c r="R2554" s="1" t="str">
        <f>IF( OR( Table4[[#This Row],[PrimaryMatch]]="Yes", Table4[[#This Row],[SecondaryMatch]]="Yes"), "Yes", "")</f>
        <v/>
      </c>
    </row>
    <row r="2555" spans="1:18" hidden="1" x14ac:dyDescent="0.25">
      <c r="A2555" t="s">
        <v>107</v>
      </c>
      <c r="B2555" t="s">
        <v>3209</v>
      </c>
      <c r="C2555" t="s">
        <v>3226</v>
      </c>
      <c r="D2555" t="s">
        <v>4647</v>
      </c>
      <c r="E2555" s="1">
        <v>88.894999999999996</v>
      </c>
      <c r="F2555" s="1">
        <v>82.768000000000001</v>
      </c>
      <c r="K2555" s="39">
        <f>DefaultValues!$B$3</f>
        <v>0</v>
      </c>
      <c r="L2555" s="1">
        <f>DefaultValues!$C$3</f>
        <v>0</v>
      </c>
      <c r="M2555" s="1" t="s">
        <v>4721</v>
      </c>
      <c r="N2555" s="1">
        <f>1000 - 88.895</f>
        <v>911.10500000000002</v>
      </c>
      <c r="O2555" s="1">
        <f>ABS(Table4[[#This Row],[EndMP]]-Table4[[#This Row],[StartMP]])</f>
        <v>6.1269999999999953</v>
      </c>
      <c r="P2555" s="1" t="str">
        <f>IF( AND( Table4[[#This Row],[Route]]=ClosureLocation!$B$3, ClosureLocation!$B$6 &gt;= Table4[[#This Row],[StartMP]], ClosureLocation!$B$6 &lt;= Table4[[#This Row],[EndMP]]), "Yes", "")</f>
        <v/>
      </c>
      <c r="Q2555" s="1" t="str">
        <f>IF( AND( Table4[[#This Row],[Route]]=ClosureLocation!$B$3, ClosureLocation!$B$6 &lt;= Table4[[#This Row],[StartMP]], ClosureLocation!$B$6 &gt;= Table4[[#This Row],[EndMP]]), "Yes", "")</f>
        <v/>
      </c>
      <c r="R2555" s="1" t="str">
        <f>IF( OR( Table4[[#This Row],[PrimaryMatch]]="Yes", Table4[[#This Row],[SecondaryMatch]]="Yes"), "Yes", "")</f>
        <v/>
      </c>
    </row>
    <row r="2556" spans="1:18" hidden="1" x14ac:dyDescent="0.25">
      <c r="A2556" t="s">
        <v>107</v>
      </c>
      <c r="B2556" t="s">
        <v>3209</v>
      </c>
      <c r="C2556" t="s">
        <v>3226</v>
      </c>
      <c r="D2556" t="s">
        <v>4647</v>
      </c>
      <c r="E2556" s="1">
        <v>82.768000000000001</v>
      </c>
      <c r="F2556" s="1">
        <v>75.421999999999997</v>
      </c>
      <c r="K2556" s="39">
        <f>DefaultValues!$B$3</f>
        <v>0</v>
      </c>
      <c r="L2556" s="1">
        <f>DefaultValues!$C$3</f>
        <v>0</v>
      </c>
      <c r="M2556" s="1" t="s">
        <v>4719</v>
      </c>
      <c r="N2556" s="1">
        <f>1000 - 82.768</f>
        <v>917.23199999999997</v>
      </c>
      <c r="O2556" s="1">
        <f>ABS(Table4[[#This Row],[EndMP]]-Table4[[#This Row],[StartMP]])</f>
        <v>7.3460000000000036</v>
      </c>
      <c r="P2556" s="1" t="str">
        <f>IF( AND( Table4[[#This Row],[Route]]=ClosureLocation!$B$3, ClosureLocation!$B$6 &gt;= Table4[[#This Row],[StartMP]], ClosureLocation!$B$6 &lt;= Table4[[#This Row],[EndMP]]), "Yes", "")</f>
        <v/>
      </c>
      <c r="Q2556" s="1" t="str">
        <f>IF( AND( Table4[[#This Row],[Route]]=ClosureLocation!$B$3, ClosureLocation!$B$6 &lt;= Table4[[#This Row],[StartMP]], ClosureLocation!$B$6 &gt;= Table4[[#This Row],[EndMP]]), "Yes", "")</f>
        <v/>
      </c>
      <c r="R2556" s="1" t="str">
        <f>IF( OR( Table4[[#This Row],[PrimaryMatch]]="Yes", Table4[[#This Row],[SecondaryMatch]]="Yes"), "Yes", "")</f>
        <v/>
      </c>
    </row>
    <row r="2557" spans="1:18" hidden="1" x14ac:dyDescent="0.25">
      <c r="A2557" t="s">
        <v>107</v>
      </c>
      <c r="B2557" t="s">
        <v>3209</v>
      </c>
      <c r="C2557" t="s">
        <v>3226</v>
      </c>
      <c r="D2557" t="s">
        <v>4647</v>
      </c>
      <c r="E2557" s="1">
        <v>75.421999999999997</v>
      </c>
      <c r="F2557" s="1">
        <v>72.248000000000005</v>
      </c>
      <c r="K2557" s="39">
        <f>DefaultValues!$B$3</f>
        <v>0</v>
      </c>
      <c r="L2557" s="1">
        <f>DefaultValues!$C$3</f>
        <v>0</v>
      </c>
      <c r="M2557" s="1" t="s">
        <v>4717</v>
      </c>
      <c r="N2557" s="1">
        <f>1000 - 75.422</f>
        <v>924.57799999999997</v>
      </c>
      <c r="O2557" s="1">
        <f>ABS(Table4[[#This Row],[EndMP]]-Table4[[#This Row],[StartMP]])</f>
        <v>3.1739999999999924</v>
      </c>
      <c r="P2557" s="1" t="str">
        <f>IF( AND( Table4[[#This Row],[Route]]=ClosureLocation!$B$3, ClosureLocation!$B$6 &gt;= Table4[[#This Row],[StartMP]], ClosureLocation!$B$6 &lt;= Table4[[#This Row],[EndMP]]), "Yes", "")</f>
        <v/>
      </c>
      <c r="Q2557" s="1" t="str">
        <f>IF( AND( Table4[[#This Row],[Route]]=ClosureLocation!$B$3, ClosureLocation!$B$6 &lt;= Table4[[#This Row],[StartMP]], ClosureLocation!$B$6 &gt;= Table4[[#This Row],[EndMP]]), "Yes", "")</f>
        <v/>
      </c>
      <c r="R2557" s="1" t="str">
        <f>IF( OR( Table4[[#This Row],[PrimaryMatch]]="Yes", Table4[[#This Row],[SecondaryMatch]]="Yes"), "Yes", "")</f>
        <v/>
      </c>
    </row>
    <row r="2558" spans="1:18" hidden="1" x14ac:dyDescent="0.25">
      <c r="A2558" t="s">
        <v>107</v>
      </c>
      <c r="B2558" t="s">
        <v>3209</v>
      </c>
      <c r="C2558" t="s">
        <v>3226</v>
      </c>
      <c r="D2558" t="s">
        <v>4647</v>
      </c>
      <c r="E2558" s="1">
        <v>72.248000000000005</v>
      </c>
      <c r="F2558" s="1">
        <v>62.305</v>
      </c>
      <c r="K2558" s="39">
        <f>DefaultValues!$B$3</f>
        <v>0</v>
      </c>
      <c r="L2558" s="1">
        <f>DefaultValues!$C$3</f>
        <v>0</v>
      </c>
      <c r="M2558" s="1" t="s">
        <v>776</v>
      </c>
      <c r="N2558" s="1">
        <f>1000 - 72.248</f>
        <v>927.75199999999995</v>
      </c>
      <c r="O2558" s="1">
        <f>ABS(Table4[[#This Row],[EndMP]]-Table4[[#This Row],[StartMP]])</f>
        <v>9.9430000000000049</v>
      </c>
      <c r="P2558" s="1" t="str">
        <f>IF( AND( Table4[[#This Row],[Route]]=ClosureLocation!$B$3, ClosureLocation!$B$6 &gt;= Table4[[#This Row],[StartMP]], ClosureLocation!$B$6 &lt;= Table4[[#This Row],[EndMP]]), "Yes", "")</f>
        <v/>
      </c>
      <c r="Q2558" s="1" t="str">
        <f>IF( AND( Table4[[#This Row],[Route]]=ClosureLocation!$B$3, ClosureLocation!$B$6 &lt;= Table4[[#This Row],[StartMP]], ClosureLocation!$B$6 &gt;= Table4[[#This Row],[EndMP]]), "Yes", "")</f>
        <v/>
      </c>
      <c r="R2558" s="1" t="str">
        <f>IF( OR( Table4[[#This Row],[PrimaryMatch]]="Yes", Table4[[#This Row],[SecondaryMatch]]="Yes"), "Yes", "")</f>
        <v/>
      </c>
    </row>
    <row r="2559" spans="1:18" hidden="1" x14ac:dyDescent="0.25">
      <c r="A2559" t="s">
        <v>146</v>
      </c>
      <c r="B2559" t="s">
        <v>3205</v>
      </c>
      <c r="C2559" t="s">
        <v>3222</v>
      </c>
      <c r="D2559" t="s">
        <v>4722</v>
      </c>
      <c r="E2559" s="1">
        <v>0</v>
      </c>
      <c r="F2559" s="1">
        <v>1.5920000000000001</v>
      </c>
      <c r="K2559" s="39">
        <f>DefaultValues!$B$3</f>
        <v>0</v>
      </c>
      <c r="L2559" s="1">
        <f>DefaultValues!$C$3</f>
        <v>0</v>
      </c>
      <c r="M2559" s="1" t="s">
        <v>126</v>
      </c>
      <c r="N2559" s="1">
        <v>0</v>
      </c>
      <c r="O2559" s="1">
        <f>ABS(Table4[[#This Row],[EndMP]]-Table4[[#This Row],[StartMP]])</f>
        <v>1.5920000000000001</v>
      </c>
      <c r="P2559" s="1" t="str">
        <f>IF( AND( Table4[[#This Row],[Route]]=ClosureLocation!$B$3, ClosureLocation!$B$6 &gt;= Table4[[#This Row],[StartMP]], ClosureLocation!$B$6 &lt;= Table4[[#This Row],[EndMP]]), "Yes", "")</f>
        <v/>
      </c>
      <c r="Q2559" s="1" t="str">
        <f>IF( AND( Table4[[#This Row],[Route]]=ClosureLocation!$B$3, ClosureLocation!$B$6 &lt;= Table4[[#This Row],[StartMP]], ClosureLocation!$B$6 &gt;= Table4[[#This Row],[EndMP]]), "Yes", "")</f>
        <v/>
      </c>
      <c r="R2559" s="1" t="str">
        <f>IF( OR( Table4[[#This Row],[PrimaryMatch]]="Yes", Table4[[#This Row],[SecondaryMatch]]="Yes"), "Yes", "")</f>
        <v/>
      </c>
    </row>
    <row r="2560" spans="1:18" hidden="1" x14ac:dyDescent="0.25">
      <c r="A2560" t="s">
        <v>146</v>
      </c>
      <c r="B2560" t="s">
        <v>3209</v>
      </c>
      <c r="C2560" t="s">
        <v>3226</v>
      </c>
      <c r="D2560" t="s">
        <v>4723</v>
      </c>
      <c r="E2560" s="1">
        <v>1.5920000000000001</v>
      </c>
      <c r="F2560" s="1">
        <v>0</v>
      </c>
      <c r="K2560" s="39">
        <f>DefaultValues!$B$3</f>
        <v>0</v>
      </c>
      <c r="L2560" s="1">
        <f>DefaultValues!$C$3</f>
        <v>0</v>
      </c>
      <c r="M2560" s="1" t="s">
        <v>126</v>
      </c>
      <c r="N2560" s="1">
        <f>1000 - 1.592</f>
        <v>998.40800000000002</v>
      </c>
      <c r="O2560" s="1">
        <f>ABS(Table4[[#This Row],[EndMP]]-Table4[[#This Row],[StartMP]])</f>
        <v>1.5920000000000001</v>
      </c>
      <c r="P2560" s="1" t="str">
        <f>IF( AND( Table4[[#This Row],[Route]]=ClosureLocation!$B$3, ClosureLocation!$B$6 &gt;= Table4[[#This Row],[StartMP]], ClosureLocation!$B$6 &lt;= Table4[[#This Row],[EndMP]]), "Yes", "")</f>
        <v/>
      </c>
      <c r="Q2560" s="1" t="str">
        <f>IF( AND( Table4[[#This Row],[Route]]=ClosureLocation!$B$3, ClosureLocation!$B$6 &lt;= Table4[[#This Row],[StartMP]], ClosureLocation!$B$6 &gt;= Table4[[#This Row],[EndMP]]), "Yes", "")</f>
        <v/>
      </c>
      <c r="R2560" s="1" t="str">
        <f>IF( OR( Table4[[#This Row],[PrimaryMatch]]="Yes", Table4[[#This Row],[SecondaryMatch]]="Yes"), "Yes", "")</f>
        <v/>
      </c>
    </row>
    <row r="2561" spans="1:18" hidden="1" x14ac:dyDescent="0.25">
      <c r="A2561" t="s">
        <v>178</v>
      </c>
      <c r="B2561" t="s">
        <v>3205</v>
      </c>
      <c r="C2561" t="s">
        <v>3222</v>
      </c>
      <c r="D2561" t="s">
        <v>4650</v>
      </c>
      <c r="E2561" s="1">
        <v>0</v>
      </c>
      <c r="F2561" s="1">
        <v>70.832999999999998</v>
      </c>
      <c r="K2561" s="39">
        <f>DefaultValues!$B$3</f>
        <v>0</v>
      </c>
      <c r="L2561" s="1">
        <f>DefaultValues!$C$3</f>
        <v>0</v>
      </c>
      <c r="M2561" s="1" t="s">
        <v>4724</v>
      </c>
      <c r="N2561" s="1">
        <v>0</v>
      </c>
      <c r="O2561" s="1">
        <f>ABS(Table4[[#This Row],[EndMP]]-Table4[[#This Row],[StartMP]])</f>
        <v>70.832999999999998</v>
      </c>
      <c r="P2561" s="1" t="str">
        <f>IF( AND( Table4[[#This Row],[Route]]=ClosureLocation!$B$3, ClosureLocation!$B$6 &gt;= Table4[[#This Row],[StartMP]], ClosureLocation!$B$6 &lt;= Table4[[#This Row],[EndMP]]), "Yes", "")</f>
        <v/>
      </c>
      <c r="Q2561" s="1" t="str">
        <f>IF( AND( Table4[[#This Row],[Route]]=ClosureLocation!$B$3, ClosureLocation!$B$6 &lt;= Table4[[#This Row],[StartMP]], ClosureLocation!$B$6 &gt;= Table4[[#This Row],[EndMP]]), "Yes", "")</f>
        <v/>
      </c>
      <c r="R2561" s="1" t="str">
        <f>IF( OR( Table4[[#This Row],[PrimaryMatch]]="Yes", Table4[[#This Row],[SecondaryMatch]]="Yes"), "Yes", "")</f>
        <v/>
      </c>
    </row>
    <row r="2562" spans="1:18" hidden="1" x14ac:dyDescent="0.25">
      <c r="A2562" t="s">
        <v>178</v>
      </c>
      <c r="B2562" t="s">
        <v>3209</v>
      </c>
      <c r="C2562" t="s">
        <v>3226</v>
      </c>
      <c r="D2562" t="s">
        <v>4651</v>
      </c>
      <c r="E2562" s="1">
        <v>70.832999999999998</v>
      </c>
      <c r="F2562" s="1">
        <v>0</v>
      </c>
      <c r="K2562" s="39">
        <f>DefaultValues!$B$3</f>
        <v>0</v>
      </c>
      <c r="L2562" s="1">
        <f>DefaultValues!$C$3</f>
        <v>0</v>
      </c>
      <c r="M2562" s="1" t="s">
        <v>4725</v>
      </c>
      <c r="N2562" s="1">
        <f>1000 - 70.833</f>
        <v>929.16700000000003</v>
      </c>
      <c r="O2562" s="1">
        <f>ABS(Table4[[#This Row],[EndMP]]-Table4[[#This Row],[StartMP]])</f>
        <v>70.832999999999998</v>
      </c>
      <c r="P2562" s="1" t="str">
        <f>IF( AND( Table4[[#This Row],[Route]]=ClosureLocation!$B$3, ClosureLocation!$B$6 &gt;= Table4[[#This Row],[StartMP]], ClosureLocation!$B$6 &lt;= Table4[[#This Row],[EndMP]]), "Yes", "")</f>
        <v/>
      </c>
      <c r="Q2562" s="1" t="str">
        <f>IF( AND( Table4[[#This Row],[Route]]=ClosureLocation!$B$3, ClosureLocation!$B$6 &lt;= Table4[[#This Row],[StartMP]], ClosureLocation!$B$6 &gt;= Table4[[#This Row],[EndMP]]), "Yes", "")</f>
        <v/>
      </c>
      <c r="R2562" s="1" t="str">
        <f>IF( OR( Table4[[#This Row],[PrimaryMatch]]="Yes", Table4[[#This Row],[SecondaryMatch]]="Yes"), "Yes", "")</f>
        <v/>
      </c>
    </row>
    <row r="2563" spans="1:18" hidden="1" x14ac:dyDescent="0.25">
      <c r="A2563" t="s">
        <v>273</v>
      </c>
      <c r="B2563" t="s">
        <v>3205</v>
      </c>
      <c r="C2563" t="s">
        <v>3222</v>
      </c>
      <c r="D2563" t="s">
        <v>4726</v>
      </c>
      <c r="E2563" s="1">
        <v>422.70699999999999</v>
      </c>
      <c r="F2563" s="1">
        <v>429.60399999999998</v>
      </c>
      <c r="K2563" s="39">
        <f>DefaultValues!$B$3</f>
        <v>0</v>
      </c>
      <c r="L2563" s="1">
        <f>DefaultValues!$C$3</f>
        <v>0</v>
      </c>
      <c r="M2563" s="1" t="s">
        <v>4728</v>
      </c>
      <c r="N2563" s="1">
        <v>422.70699999999999</v>
      </c>
      <c r="O2563" s="1">
        <f>ABS(Table4[[#This Row],[EndMP]]-Table4[[#This Row],[StartMP]])</f>
        <v>6.8969999999999914</v>
      </c>
      <c r="P2563" s="1" t="str">
        <f>IF( AND( Table4[[#This Row],[Route]]=ClosureLocation!$B$3, ClosureLocation!$B$6 &gt;= Table4[[#This Row],[StartMP]], ClosureLocation!$B$6 &lt;= Table4[[#This Row],[EndMP]]), "Yes", "")</f>
        <v/>
      </c>
      <c r="Q2563" s="1" t="str">
        <f>IF( AND( Table4[[#This Row],[Route]]=ClosureLocation!$B$3, ClosureLocation!$B$6 &lt;= Table4[[#This Row],[StartMP]], ClosureLocation!$B$6 &gt;= Table4[[#This Row],[EndMP]]), "Yes", "")</f>
        <v/>
      </c>
      <c r="R2563" s="1" t="str">
        <f>IF( OR( Table4[[#This Row],[PrimaryMatch]]="Yes", Table4[[#This Row],[SecondaryMatch]]="Yes"), "Yes", "")</f>
        <v/>
      </c>
    </row>
    <row r="2564" spans="1:18" hidden="1" x14ac:dyDescent="0.25">
      <c r="A2564" t="s">
        <v>273</v>
      </c>
      <c r="B2564" t="s">
        <v>3205</v>
      </c>
      <c r="C2564" t="s">
        <v>3222</v>
      </c>
      <c r="D2564" t="s">
        <v>4726</v>
      </c>
      <c r="E2564" s="1">
        <v>429.60399999999998</v>
      </c>
      <c r="F2564" s="1">
        <v>437.2</v>
      </c>
      <c r="K2564" s="39">
        <f>DefaultValues!$B$3</f>
        <v>0</v>
      </c>
      <c r="L2564" s="1">
        <f>DefaultValues!$C$3</f>
        <v>0</v>
      </c>
      <c r="M2564" s="1" t="s">
        <v>4730</v>
      </c>
      <c r="N2564" s="1">
        <v>429.60399999999998</v>
      </c>
      <c r="O2564" s="1">
        <f>ABS(Table4[[#This Row],[EndMP]]-Table4[[#This Row],[StartMP]])</f>
        <v>7.5960000000000036</v>
      </c>
      <c r="P2564" s="1" t="str">
        <f>IF( AND( Table4[[#This Row],[Route]]=ClosureLocation!$B$3, ClosureLocation!$B$6 &gt;= Table4[[#This Row],[StartMP]], ClosureLocation!$B$6 &lt;= Table4[[#This Row],[EndMP]]), "Yes", "")</f>
        <v/>
      </c>
      <c r="Q2564" s="1" t="str">
        <f>IF( AND( Table4[[#This Row],[Route]]=ClosureLocation!$B$3, ClosureLocation!$B$6 &lt;= Table4[[#This Row],[StartMP]], ClosureLocation!$B$6 &gt;= Table4[[#This Row],[EndMP]]), "Yes", "")</f>
        <v/>
      </c>
      <c r="R2564" s="1" t="str">
        <f>IF( OR( Table4[[#This Row],[PrimaryMatch]]="Yes", Table4[[#This Row],[SecondaryMatch]]="Yes"), "Yes", "")</f>
        <v/>
      </c>
    </row>
    <row r="2565" spans="1:18" hidden="1" x14ac:dyDescent="0.25">
      <c r="A2565" t="s">
        <v>273</v>
      </c>
      <c r="B2565" t="s">
        <v>3209</v>
      </c>
      <c r="C2565" t="s">
        <v>3226</v>
      </c>
      <c r="D2565" t="s">
        <v>4727</v>
      </c>
      <c r="E2565" s="1">
        <v>437.2</v>
      </c>
      <c r="F2565" s="1">
        <v>429.60399999999998</v>
      </c>
      <c r="K2565" s="39">
        <f>DefaultValues!$B$3</f>
        <v>0</v>
      </c>
      <c r="L2565" s="1">
        <f>DefaultValues!$C$3</f>
        <v>0</v>
      </c>
      <c r="M2565" s="1" t="s">
        <v>4731</v>
      </c>
      <c r="N2565" s="1">
        <f>1000 - 437.2</f>
        <v>562.79999999999995</v>
      </c>
      <c r="O2565" s="1">
        <f>ABS(Table4[[#This Row],[EndMP]]-Table4[[#This Row],[StartMP]])</f>
        <v>7.5960000000000036</v>
      </c>
      <c r="P2565" s="1" t="str">
        <f>IF( AND( Table4[[#This Row],[Route]]=ClosureLocation!$B$3, ClosureLocation!$B$6 &gt;= Table4[[#This Row],[StartMP]], ClosureLocation!$B$6 &lt;= Table4[[#This Row],[EndMP]]), "Yes", "")</f>
        <v/>
      </c>
      <c r="Q2565" s="1" t="str">
        <f>IF( AND( Table4[[#This Row],[Route]]=ClosureLocation!$B$3, ClosureLocation!$B$6 &lt;= Table4[[#This Row],[StartMP]], ClosureLocation!$B$6 &gt;= Table4[[#This Row],[EndMP]]), "Yes", "")</f>
        <v/>
      </c>
      <c r="R2565" s="1" t="str">
        <f>IF( OR( Table4[[#This Row],[PrimaryMatch]]="Yes", Table4[[#This Row],[SecondaryMatch]]="Yes"), "Yes", "")</f>
        <v/>
      </c>
    </row>
    <row r="2566" spans="1:18" hidden="1" x14ac:dyDescent="0.25">
      <c r="A2566" t="s">
        <v>273</v>
      </c>
      <c r="B2566" t="s">
        <v>3209</v>
      </c>
      <c r="C2566" t="s">
        <v>3226</v>
      </c>
      <c r="D2566" t="s">
        <v>4727</v>
      </c>
      <c r="E2566" s="1">
        <v>429.60399999999998</v>
      </c>
      <c r="F2566" s="1">
        <v>422.70699999999999</v>
      </c>
      <c r="K2566" s="39">
        <f>DefaultValues!$B$3</f>
        <v>0</v>
      </c>
      <c r="L2566" s="1">
        <f>DefaultValues!$C$3</f>
        <v>0</v>
      </c>
      <c r="M2566" s="1" t="s">
        <v>4729</v>
      </c>
      <c r="N2566" s="1">
        <f>1000 - 429.604</f>
        <v>570.39599999999996</v>
      </c>
      <c r="O2566" s="1">
        <f>ABS(Table4[[#This Row],[EndMP]]-Table4[[#This Row],[StartMP]])</f>
        <v>6.8969999999999914</v>
      </c>
      <c r="P2566" s="1" t="str">
        <f>IF( AND( Table4[[#This Row],[Route]]=ClosureLocation!$B$3, ClosureLocation!$B$6 &gt;= Table4[[#This Row],[StartMP]], ClosureLocation!$B$6 &lt;= Table4[[#This Row],[EndMP]]), "Yes", "")</f>
        <v/>
      </c>
      <c r="Q2566" s="1" t="str">
        <f>IF( AND( Table4[[#This Row],[Route]]=ClosureLocation!$B$3, ClosureLocation!$B$6 &lt;= Table4[[#This Row],[StartMP]], ClosureLocation!$B$6 &gt;= Table4[[#This Row],[EndMP]]), "Yes", "")</f>
        <v/>
      </c>
      <c r="R2566" s="1" t="str">
        <f>IF( OR( Table4[[#This Row],[PrimaryMatch]]="Yes", Table4[[#This Row],[SecondaryMatch]]="Yes"), "Yes", "")</f>
        <v/>
      </c>
    </row>
    <row r="2567" spans="1:18" hidden="1" x14ac:dyDescent="0.25">
      <c r="A2567" t="s">
        <v>280</v>
      </c>
      <c r="B2567" t="s">
        <v>3205</v>
      </c>
      <c r="C2567" t="s">
        <v>3222</v>
      </c>
      <c r="D2567" t="s">
        <v>4733</v>
      </c>
      <c r="E2567" s="1">
        <v>437.2</v>
      </c>
      <c r="F2567" s="1">
        <v>446.851</v>
      </c>
      <c r="K2567" s="39">
        <f>DefaultValues!$B$3</f>
        <v>0</v>
      </c>
      <c r="L2567" s="1">
        <f>DefaultValues!$C$3</f>
        <v>0</v>
      </c>
      <c r="M2567" s="1" t="s">
        <v>4734</v>
      </c>
      <c r="N2567" s="1">
        <v>437.2</v>
      </c>
      <c r="O2567" s="1">
        <f>ABS(Table4[[#This Row],[EndMP]]-Table4[[#This Row],[StartMP]])</f>
        <v>9.6510000000000105</v>
      </c>
      <c r="P2567" s="1" t="str">
        <f>IF( AND( Table4[[#This Row],[Route]]=ClosureLocation!$B$3, ClosureLocation!$B$6 &gt;= Table4[[#This Row],[StartMP]], ClosureLocation!$B$6 &lt;= Table4[[#This Row],[EndMP]]), "Yes", "")</f>
        <v/>
      </c>
      <c r="Q2567" s="1" t="str">
        <f>IF( AND( Table4[[#This Row],[Route]]=ClosureLocation!$B$3, ClosureLocation!$B$6 &lt;= Table4[[#This Row],[StartMP]], ClosureLocation!$B$6 &gt;= Table4[[#This Row],[EndMP]]), "Yes", "")</f>
        <v/>
      </c>
      <c r="R2567" s="1" t="str">
        <f>IF( OR( Table4[[#This Row],[PrimaryMatch]]="Yes", Table4[[#This Row],[SecondaryMatch]]="Yes"), "Yes", "")</f>
        <v/>
      </c>
    </row>
    <row r="2568" spans="1:18" hidden="1" x14ac:dyDescent="0.25">
      <c r="A2568" t="s">
        <v>280</v>
      </c>
      <c r="B2568" t="s">
        <v>3205</v>
      </c>
      <c r="C2568" t="s">
        <v>3222</v>
      </c>
      <c r="D2568" t="s">
        <v>4733</v>
      </c>
      <c r="E2568" s="1">
        <v>446.851</v>
      </c>
      <c r="F2568" s="1">
        <v>454.82799999999997</v>
      </c>
      <c r="K2568" s="39">
        <f>DefaultValues!$B$3</f>
        <v>0</v>
      </c>
      <c r="L2568" s="1">
        <f>DefaultValues!$C$3</f>
        <v>0</v>
      </c>
      <c r="M2568" s="1" t="s">
        <v>4735</v>
      </c>
      <c r="N2568" s="1">
        <v>446.851</v>
      </c>
      <c r="O2568" s="1">
        <f>ABS(Table4[[#This Row],[EndMP]]-Table4[[#This Row],[StartMP]])</f>
        <v>7.9769999999999754</v>
      </c>
      <c r="P2568" s="1" t="str">
        <f>IF( AND( Table4[[#This Row],[Route]]=ClosureLocation!$B$3, ClosureLocation!$B$6 &gt;= Table4[[#This Row],[StartMP]], ClosureLocation!$B$6 &lt;= Table4[[#This Row],[EndMP]]), "Yes", "")</f>
        <v/>
      </c>
      <c r="Q2568" s="1" t="str">
        <f>IF( AND( Table4[[#This Row],[Route]]=ClosureLocation!$B$3, ClosureLocation!$B$6 &lt;= Table4[[#This Row],[StartMP]], ClosureLocation!$B$6 &gt;= Table4[[#This Row],[EndMP]]), "Yes", "")</f>
        <v/>
      </c>
      <c r="R2568" s="1" t="str">
        <f>IF( OR( Table4[[#This Row],[PrimaryMatch]]="Yes", Table4[[#This Row],[SecondaryMatch]]="Yes"), "Yes", "")</f>
        <v/>
      </c>
    </row>
    <row r="2569" spans="1:18" hidden="1" x14ac:dyDescent="0.25">
      <c r="A2569" t="s">
        <v>280</v>
      </c>
      <c r="B2569" t="s">
        <v>3209</v>
      </c>
      <c r="C2569" t="s">
        <v>3226</v>
      </c>
      <c r="D2569" t="s">
        <v>4732</v>
      </c>
      <c r="E2569" s="1">
        <v>454.82799999999997</v>
      </c>
      <c r="F2569" s="1">
        <v>446.851</v>
      </c>
      <c r="K2569" s="39">
        <f>DefaultValues!$B$3</f>
        <v>0</v>
      </c>
      <c r="L2569" s="1">
        <f>DefaultValues!$C$3</f>
        <v>0</v>
      </c>
      <c r="M2569" s="1" t="s">
        <v>4737</v>
      </c>
      <c r="N2569" s="1">
        <f>1000 - 454.828</f>
        <v>545.17200000000003</v>
      </c>
      <c r="O2569" s="1">
        <f>ABS(Table4[[#This Row],[EndMP]]-Table4[[#This Row],[StartMP]])</f>
        <v>7.9769999999999754</v>
      </c>
      <c r="P2569" s="1" t="str">
        <f>IF( AND( Table4[[#This Row],[Route]]=ClosureLocation!$B$3, ClosureLocation!$B$6 &gt;= Table4[[#This Row],[StartMP]], ClosureLocation!$B$6 &lt;= Table4[[#This Row],[EndMP]]), "Yes", "")</f>
        <v/>
      </c>
      <c r="Q2569" s="1" t="str">
        <f>IF( AND( Table4[[#This Row],[Route]]=ClosureLocation!$B$3, ClosureLocation!$B$6 &lt;= Table4[[#This Row],[StartMP]], ClosureLocation!$B$6 &gt;= Table4[[#This Row],[EndMP]]), "Yes", "")</f>
        <v/>
      </c>
      <c r="R2569" s="1" t="str">
        <f>IF( OR( Table4[[#This Row],[PrimaryMatch]]="Yes", Table4[[#This Row],[SecondaryMatch]]="Yes"), "Yes", "")</f>
        <v/>
      </c>
    </row>
    <row r="2570" spans="1:18" hidden="1" x14ac:dyDescent="0.25">
      <c r="A2570" t="s">
        <v>280</v>
      </c>
      <c r="B2570" t="s">
        <v>3209</v>
      </c>
      <c r="C2570" t="s">
        <v>3226</v>
      </c>
      <c r="D2570" t="s">
        <v>4732</v>
      </c>
      <c r="E2570" s="1">
        <v>446.851</v>
      </c>
      <c r="F2570" s="1">
        <v>437.2</v>
      </c>
      <c r="K2570" s="39">
        <f>DefaultValues!$B$3</f>
        <v>0</v>
      </c>
      <c r="L2570" s="1">
        <f>DefaultValues!$C$3</f>
        <v>0</v>
      </c>
      <c r="M2570" s="1" t="s">
        <v>4736</v>
      </c>
      <c r="N2570" s="1">
        <f>1000 - 446.851</f>
        <v>553.149</v>
      </c>
      <c r="O2570" s="1">
        <f>ABS(Table4[[#This Row],[EndMP]]-Table4[[#This Row],[StartMP]])</f>
        <v>9.6510000000000105</v>
      </c>
      <c r="P2570" s="1" t="str">
        <f>IF( AND( Table4[[#This Row],[Route]]=ClosureLocation!$B$3, ClosureLocation!$B$6 &gt;= Table4[[#This Row],[StartMP]], ClosureLocation!$B$6 &lt;= Table4[[#This Row],[EndMP]]), "Yes", "")</f>
        <v/>
      </c>
      <c r="Q2570" s="1" t="str">
        <f>IF( AND( Table4[[#This Row],[Route]]=ClosureLocation!$B$3, ClosureLocation!$B$6 &lt;= Table4[[#This Row],[StartMP]], ClosureLocation!$B$6 &gt;= Table4[[#This Row],[EndMP]]), "Yes", "")</f>
        <v/>
      </c>
      <c r="R2570" s="1" t="str">
        <f>IF( OR( Table4[[#This Row],[PrimaryMatch]]="Yes", Table4[[#This Row],[SecondaryMatch]]="Yes"), "Yes", "")</f>
        <v/>
      </c>
    </row>
    <row r="2571" spans="1:18" hidden="1" x14ac:dyDescent="0.25">
      <c r="A2571" t="s">
        <v>286</v>
      </c>
      <c r="B2571" t="s">
        <v>3205</v>
      </c>
      <c r="C2571" t="s">
        <v>3222</v>
      </c>
      <c r="D2571" t="s">
        <v>4654</v>
      </c>
      <c r="E2571" s="1">
        <v>0</v>
      </c>
      <c r="F2571" s="1">
        <v>2.8260000000000001</v>
      </c>
      <c r="K2571" s="39">
        <f>DefaultValues!$B$3</f>
        <v>0</v>
      </c>
      <c r="L2571" s="1">
        <f>DefaultValues!$C$3</f>
        <v>0</v>
      </c>
      <c r="M2571" s="1" t="s">
        <v>252</v>
      </c>
      <c r="N2571" s="1">
        <v>0</v>
      </c>
      <c r="O2571" s="1">
        <f>ABS(Table4[[#This Row],[EndMP]]-Table4[[#This Row],[StartMP]])</f>
        <v>2.8260000000000001</v>
      </c>
      <c r="P2571" s="1" t="str">
        <f>IF( AND( Table4[[#This Row],[Route]]=ClosureLocation!$B$3, ClosureLocation!$B$6 &gt;= Table4[[#This Row],[StartMP]], ClosureLocation!$B$6 &lt;= Table4[[#This Row],[EndMP]]), "Yes", "")</f>
        <v/>
      </c>
      <c r="Q2571" s="1" t="str">
        <f>IF( AND( Table4[[#This Row],[Route]]=ClosureLocation!$B$3, ClosureLocation!$B$6 &lt;= Table4[[#This Row],[StartMP]], ClosureLocation!$B$6 &gt;= Table4[[#This Row],[EndMP]]), "Yes", "")</f>
        <v/>
      </c>
      <c r="R2571" s="1" t="str">
        <f>IF( OR( Table4[[#This Row],[PrimaryMatch]]="Yes", Table4[[#This Row],[SecondaryMatch]]="Yes"), "Yes", "")</f>
        <v/>
      </c>
    </row>
    <row r="2572" spans="1:18" hidden="1" x14ac:dyDescent="0.25">
      <c r="A2572" t="s">
        <v>286</v>
      </c>
      <c r="B2572" t="s">
        <v>3209</v>
      </c>
      <c r="C2572" t="s">
        <v>3226</v>
      </c>
      <c r="D2572" t="s">
        <v>4655</v>
      </c>
      <c r="E2572" s="1">
        <v>2.8260000000000001</v>
      </c>
      <c r="F2572" s="1">
        <v>0</v>
      </c>
      <c r="K2572" s="39">
        <f>DefaultValues!$B$3</f>
        <v>0</v>
      </c>
      <c r="L2572" s="1">
        <f>DefaultValues!$C$3</f>
        <v>0</v>
      </c>
      <c r="M2572" s="1" t="s">
        <v>252</v>
      </c>
      <c r="N2572" s="1">
        <f>1000 - 2.826</f>
        <v>997.17399999999998</v>
      </c>
      <c r="O2572" s="1">
        <f>ABS(Table4[[#This Row],[EndMP]]-Table4[[#This Row],[StartMP]])</f>
        <v>2.8260000000000001</v>
      </c>
      <c r="P2572" s="1" t="str">
        <f>IF( AND( Table4[[#This Row],[Route]]=ClosureLocation!$B$3, ClosureLocation!$B$6 &gt;= Table4[[#This Row],[StartMP]], ClosureLocation!$B$6 &lt;= Table4[[#This Row],[EndMP]]), "Yes", "")</f>
        <v/>
      </c>
      <c r="Q2572" s="1" t="str">
        <f>IF( AND( Table4[[#This Row],[Route]]=ClosureLocation!$B$3, ClosureLocation!$B$6 &lt;= Table4[[#This Row],[StartMP]], ClosureLocation!$B$6 &gt;= Table4[[#This Row],[EndMP]]), "Yes", "")</f>
        <v/>
      </c>
      <c r="R2572" s="1" t="str">
        <f>IF( OR( Table4[[#This Row],[PrimaryMatch]]="Yes", Table4[[#This Row],[SecondaryMatch]]="Yes"), "Yes", "")</f>
        <v/>
      </c>
    </row>
    <row r="2573" spans="1:18" hidden="1" x14ac:dyDescent="0.25">
      <c r="A2573" t="s">
        <v>292</v>
      </c>
      <c r="B2573" t="s">
        <v>3205</v>
      </c>
      <c r="C2573" t="s">
        <v>3222</v>
      </c>
      <c r="D2573" t="s">
        <v>3411</v>
      </c>
      <c r="E2573" s="1">
        <v>379.19299999999998</v>
      </c>
      <c r="F2573" s="1">
        <v>380.464</v>
      </c>
      <c r="K2573" s="39">
        <f>DefaultValues!$B$3</f>
        <v>0</v>
      </c>
      <c r="L2573" s="1">
        <f>DefaultValues!$C$3</f>
        <v>0</v>
      </c>
      <c r="M2573" s="1" t="s">
        <v>4739</v>
      </c>
      <c r="N2573" s="1">
        <v>379.19299999999998</v>
      </c>
      <c r="O2573" s="1">
        <f>ABS(Table4[[#This Row],[EndMP]]-Table4[[#This Row],[StartMP]])</f>
        <v>1.271000000000015</v>
      </c>
      <c r="P2573" s="1" t="str">
        <f>IF( AND( Table4[[#This Row],[Route]]=ClosureLocation!$B$3, ClosureLocation!$B$6 &gt;= Table4[[#This Row],[StartMP]], ClosureLocation!$B$6 &lt;= Table4[[#This Row],[EndMP]]), "Yes", "")</f>
        <v/>
      </c>
      <c r="Q2573" s="1" t="str">
        <f>IF( AND( Table4[[#This Row],[Route]]=ClosureLocation!$B$3, ClosureLocation!$B$6 &lt;= Table4[[#This Row],[StartMP]], ClosureLocation!$B$6 &gt;= Table4[[#This Row],[EndMP]]), "Yes", "")</f>
        <v/>
      </c>
      <c r="R2573" s="1" t="str">
        <f>IF( OR( Table4[[#This Row],[PrimaryMatch]]="Yes", Table4[[#This Row],[SecondaryMatch]]="Yes"), "Yes", "")</f>
        <v/>
      </c>
    </row>
    <row r="2574" spans="1:18" hidden="1" x14ac:dyDescent="0.25">
      <c r="A2574" t="s">
        <v>292</v>
      </c>
      <c r="B2574" t="s">
        <v>3209</v>
      </c>
      <c r="C2574" t="s">
        <v>3226</v>
      </c>
      <c r="D2574" t="s">
        <v>3415</v>
      </c>
      <c r="E2574" s="1">
        <v>380.464</v>
      </c>
      <c r="F2574" s="1">
        <v>379.19299999999998</v>
      </c>
      <c r="K2574" s="39">
        <f>DefaultValues!$B$3</f>
        <v>0</v>
      </c>
      <c r="L2574" s="1">
        <f>DefaultValues!$C$3</f>
        <v>0</v>
      </c>
      <c r="M2574" s="1" t="s">
        <v>776</v>
      </c>
      <c r="N2574" s="1">
        <f>1000 - 380.464</f>
        <v>619.53600000000006</v>
      </c>
      <c r="O2574" s="1">
        <f>ABS(Table4[[#This Row],[EndMP]]-Table4[[#This Row],[StartMP]])</f>
        <v>1.271000000000015</v>
      </c>
      <c r="P2574" s="1" t="str">
        <f>IF( AND( Table4[[#This Row],[Route]]=ClosureLocation!$B$3, ClosureLocation!$B$6 &gt;= Table4[[#This Row],[StartMP]], ClosureLocation!$B$6 &lt;= Table4[[#This Row],[EndMP]]), "Yes", "")</f>
        <v/>
      </c>
      <c r="Q2574" s="1" t="str">
        <f>IF( AND( Table4[[#This Row],[Route]]=ClosureLocation!$B$3, ClosureLocation!$B$6 &lt;= Table4[[#This Row],[StartMP]], ClosureLocation!$B$6 &gt;= Table4[[#This Row],[EndMP]]), "Yes", "")</f>
        <v/>
      </c>
      <c r="R2574" s="1" t="str">
        <f>IF( OR( Table4[[#This Row],[PrimaryMatch]]="Yes", Table4[[#This Row],[SecondaryMatch]]="Yes"), "Yes", "")</f>
        <v/>
      </c>
    </row>
    <row r="2575" spans="1:18" hidden="1" x14ac:dyDescent="0.25">
      <c r="A2575" t="s">
        <v>385</v>
      </c>
      <c r="B2575" t="s">
        <v>3205</v>
      </c>
      <c r="C2575" t="s">
        <v>3222</v>
      </c>
      <c r="D2575" t="s">
        <v>3471</v>
      </c>
      <c r="E2575" s="1">
        <v>3.831</v>
      </c>
      <c r="F2575" s="1">
        <v>9.9719999999999995</v>
      </c>
      <c r="K2575" s="39">
        <f>DefaultValues!$B$3</f>
        <v>0</v>
      </c>
      <c r="L2575" s="1">
        <f>DefaultValues!$C$3</f>
        <v>0</v>
      </c>
      <c r="M2575" s="1" t="s">
        <v>4740</v>
      </c>
      <c r="N2575" s="1">
        <v>3.831</v>
      </c>
      <c r="O2575" s="1">
        <f>ABS(Table4[[#This Row],[EndMP]]-Table4[[#This Row],[StartMP]])</f>
        <v>6.141</v>
      </c>
      <c r="P2575" s="1" t="str">
        <f>IF( AND( Table4[[#This Row],[Route]]=ClosureLocation!$B$3, ClosureLocation!$B$6 &gt;= Table4[[#This Row],[StartMP]], ClosureLocation!$B$6 &lt;= Table4[[#This Row],[EndMP]]), "Yes", "")</f>
        <v/>
      </c>
      <c r="Q2575" s="1" t="str">
        <f>IF( AND( Table4[[#This Row],[Route]]=ClosureLocation!$B$3, ClosureLocation!$B$6 &lt;= Table4[[#This Row],[StartMP]], ClosureLocation!$B$6 &gt;= Table4[[#This Row],[EndMP]]), "Yes", "")</f>
        <v/>
      </c>
      <c r="R2575" s="1" t="str">
        <f>IF( OR( Table4[[#This Row],[PrimaryMatch]]="Yes", Table4[[#This Row],[SecondaryMatch]]="Yes"), "Yes", "")</f>
        <v/>
      </c>
    </row>
    <row r="2576" spans="1:18" hidden="1" x14ac:dyDescent="0.25">
      <c r="A2576" t="s">
        <v>385</v>
      </c>
      <c r="B2576" t="s">
        <v>3205</v>
      </c>
      <c r="C2576" t="s">
        <v>3222</v>
      </c>
      <c r="D2576" t="s">
        <v>3471</v>
      </c>
      <c r="E2576" s="1">
        <v>17.314</v>
      </c>
      <c r="F2576" s="1">
        <v>20.416</v>
      </c>
      <c r="K2576" s="39">
        <f>DefaultValues!$B$3</f>
        <v>0</v>
      </c>
      <c r="L2576" s="1">
        <f>DefaultValues!$C$3</f>
        <v>0</v>
      </c>
      <c r="M2576" s="1" t="s">
        <v>4742</v>
      </c>
      <c r="N2576" s="1">
        <v>17.314</v>
      </c>
      <c r="O2576" s="1">
        <f>ABS(Table4[[#This Row],[EndMP]]-Table4[[#This Row],[StartMP]])</f>
        <v>3.1020000000000003</v>
      </c>
      <c r="P2576" s="1" t="str">
        <f>IF( AND( Table4[[#This Row],[Route]]=ClosureLocation!$B$3, ClosureLocation!$B$6 &gt;= Table4[[#This Row],[StartMP]], ClosureLocation!$B$6 &lt;= Table4[[#This Row],[EndMP]]), "Yes", "")</f>
        <v/>
      </c>
      <c r="Q2576" s="1" t="str">
        <f>IF( AND( Table4[[#This Row],[Route]]=ClosureLocation!$B$3, ClosureLocation!$B$6 &lt;= Table4[[#This Row],[StartMP]], ClosureLocation!$B$6 &gt;= Table4[[#This Row],[EndMP]]), "Yes", "")</f>
        <v/>
      </c>
      <c r="R2576" s="1" t="str">
        <f>IF( OR( Table4[[#This Row],[PrimaryMatch]]="Yes", Table4[[#This Row],[SecondaryMatch]]="Yes"), "Yes", "")</f>
        <v/>
      </c>
    </row>
    <row r="2577" spans="1:18" hidden="1" x14ac:dyDescent="0.25">
      <c r="A2577" t="s">
        <v>385</v>
      </c>
      <c r="B2577" t="s">
        <v>3209</v>
      </c>
      <c r="C2577" t="s">
        <v>3226</v>
      </c>
      <c r="D2577" t="s">
        <v>3474</v>
      </c>
      <c r="E2577" s="1">
        <v>20.416</v>
      </c>
      <c r="F2577" s="1">
        <v>17.314</v>
      </c>
      <c r="K2577" s="39">
        <f>DefaultValues!$B$3</f>
        <v>0</v>
      </c>
      <c r="L2577" s="1">
        <f>DefaultValues!$C$3</f>
        <v>0</v>
      </c>
      <c r="M2577" s="1" t="s">
        <v>4743</v>
      </c>
      <c r="N2577" s="1">
        <f>1000 - 20.416</f>
        <v>979.58399999999995</v>
      </c>
      <c r="O2577" s="1">
        <f>ABS(Table4[[#This Row],[EndMP]]-Table4[[#This Row],[StartMP]])</f>
        <v>3.1020000000000003</v>
      </c>
      <c r="P2577" s="1" t="str">
        <f>IF( AND( Table4[[#This Row],[Route]]=ClosureLocation!$B$3, ClosureLocation!$B$6 &gt;= Table4[[#This Row],[StartMP]], ClosureLocation!$B$6 &lt;= Table4[[#This Row],[EndMP]]), "Yes", "")</f>
        <v/>
      </c>
      <c r="Q2577" s="1" t="str">
        <f>IF( AND( Table4[[#This Row],[Route]]=ClosureLocation!$B$3, ClosureLocation!$B$6 &lt;= Table4[[#This Row],[StartMP]], ClosureLocation!$B$6 &gt;= Table4[[#This Row],[EndMP]]), "Yes", "")</f>
        <v/>
      </c>
      <c r="R2577" s="1" t="str">
        <f>IF( OR( Table4[[#This Row],[PrimaryMatch]]="Yes", Table4[[#This Row],[SecondaryMatch]]="Yes"), "Yes", "")</f>
        <v/>
      </c>
    </row>
    <row r="2578" spans="1:18" hidden="1" x14ac:dyDescent="0.25">
      <c r="A2578" t="s">
        <v>385</v>
      </c>
      <c r="B2578" t="s">
        <v>3209</v>
      </c>
      <c r="C2578" t="s">
        <v>3226</v>
      </c>
      <c r="D2578" t="s">
        <v>3474</v>
      </c>
      <c r="E2578" s="1">
        <v>9.9719999999999995</v>
      </c>
      <c r="F2578" s="1">
        <v>3.831</v>
      </c>
      <c r="K2578" s="39">
        <f>DefaultValues!$B$3</f>
        <v>0</v>
      </c>
      <c r="L2578" s="1">
        <f>DefaultValues!$C$3</f>
        <v>0</v>
      </c>
      <c r="M2578" s="1" t="s">
        <v>4741</v>
      </c>
      <c r="N2578" s="1">
        <f>1000 - 9.972</f>
        <v>990.02800000000002</v>
      </c>
      <c r="O2578" s="1">
        <f>ABS(Table4[[#This Row],[EndMP]]-Table4[[#This Row],[StartMP]])</f>
        <v>6.141</v>
      </c>
      <c r="P2578" s="1" t="str">
        <f>IF( AND( Table4[[#This Row],[Route]]=ClosureLocation!$B$3, ClosureLocation!$B$6 &gt;= Table4[[#This Row],[StartMP]], ClosureLocation!$B$6 &lt;= Table4[[#This Row],[EndMP]]), "Yes", "")</f>
        <v/>
      </c>
      <c r="Q2578" s="1" t="str">
        <f>IF( AND( Table4[[#This Row],[Route]]=ClosureLocation!$B$3, ClosureLocation!$B$6 &lt;= Table4[[#This Row],[StartMP]], ClosureLocation!$B$6 &gt;= Table4[[#This Row],[EndMP]]), "Yes", "")</f>
        <v/>
      </c>
      <c r="R2578" s="1" t="str">
        <f>IF( OR( Table4[[#This Row],[PrimaryMatch]]="Yes", Table4[[#This Row],[SecondaryMatch]]="Yes"), "Yes", "")</f>
        <v/>
      </c>
    </row>
    <row r="2579" spans="1:18" hidden="1" x14ac:dyDescent="0.25">
      <c r="A2579" t="s">
        <v>413</v>
      </c>
      <c r="B2579" t="s">
        <v>3205</v>
      </c>
      <c r="C2579" t="s">
        <v>3222</v>
      </c>
      <c r="D2579" t="s">
        <v>3497</v>
      </c>
      <c r="E2579" s="1">
        <v>158.48500000000001</v>
      </c>
      <c r="F2579" s="1">
        <v>162.96199999999999</v>
      </c>
      <c r="K2579" s="39">
        <f>DefaultValues!$B$3</f>
        <v>0</v>
      </c>
      <c r="L2579" s="1">
        <f>DefaultValues!$C$3</f>
        <v>0</v>
      </c>
      <c r="M2579" s="1" t="s">
        <v>4744</v>
      </c>
      <c r="N2579" s="1">
        <v>158.48500000000001</v>
      </c>
      <c r="O2579" s="1">
        <f>ABS(Table4[[#This Row],[EndMP]]-Table4[[#This Row],[StartMP]])</f>
        <v>4.4769999999999754</v>
      </c>
      <c r="P2579" s="1" t="str">
        <f>IF( AND( Table4[[#This Row],[Route]]=ClosureLocation!$B$3, ClosureLocation!$B$6 &gt;= Table4[[#This Row],[StartMP]], ClosureLocation!$B$6 &lt;= Table4[[#This Row],[EndMP]]), "Yes", "")</f>
        <v/>
      </c>
      <c r="Q2579" s="1" t="str">
        <f>IF( AND( Table4[[#This Row],[Route]]=ClosureLocation!$B$3, ClosureLocation!$B$6 &lt;= Table4[[#This Row],[StartMP]], ClosureLocation!$B$6 &gt;= Table4[[#This Row],[EndMP]]), "Yes", "")</f>
        <v/>
      </c>
      <c r="R2579" s="1" t="str">
        <f>IF( OR( Table4[[#This Row],[PrimaryMatch]]="Yes", Table4[[#This Row],[SecondaryMatch]]="Yes"), "Yes", "")</f>
        <v/>
      </c>
    </row>
    <row r="2580" spans="1:18" hidden="1" x14ac:dyDescent="0.25">
      <c r="A2580" t="s">
        <v>413</v>
      </c>
      <c r="B2580" t="s">
        <v>3205</v>
      </c>
      <c r="C2580" t="s">
        <v>3222</v>
      </c>
      <c r="D2580" t="s">
        <v>3497</v>
      </c>
      <c r="E2580" s="1">
        <v>162.96199999999999</v>
      </c>
      <c r="F2580" s="1">
        <v>172.41399999999999</v>
      </c>
      <c r="K2580" s="39">
        <f>DefaultValues!$B$3</f>
        <v>0</v>
      </c>
      <c r="L2580" s="1">
        <f>DefaultValues!$C$3</f>
        <v>0</v>
      </c>
      <c r="M2580" s="1" t="s">
        <v>4746</v>
      </c>
      <c r="N2580" s="1">
        <v>162.96199999999999</v>
      </c>
      <c r="O2580" s="1">
        <f>ABS(Table4[[#This Row],[EndMP]]-Table4[[#This Row],[StartMP]])</f>
        <v>9.4519999999999982</v>
      </c>
      <c r="P2580" s="1" t="str">
        <f>IF( AND( Table4[[#This Row],[Route]]=ClosureLocation!$B$3, ClosureLocation!$B$6 &gt;= Table4[[#This Row],[StartMP]], ClosureLocation!$B$6 &lt;= Table4[[#This Row],[EndMP]]), "Yes", "")</f>
        <v/>
      </c>
      <c r="Q2580" s="1" t="str">
        <f>IF( AND( Table4[[#This Row],[Route]]=ClosureLocation!$B$3, ClosureLocation!$B$6 &lt;= Table4[[#This Row],[StartMP]], ClosureLocation!$B$6 &gt;= Table4[[#This Row],[EndMP]]), "Yes", "")</f>
        <v/>
      </c>
      <c r="R2580" s="1" t="str">
        <f>IF( OR( Table4[[#This Row],[PrimaryMatch]]="Yes", Table4[[#This Row],[SecondaryMatch]]="Yes"), "Yes", "")</f>
        <v/>
      </c>
    </row>
    <row r="2581" spans="1:18" hidden="1" x14ac:dyDescent="0.25">
      <c r="A2581" t="s">
        <v>413</v>
      </c>
      <c r="B2581" t="s">
        <v>3209</v>
      </c>
      <c r="C2581" t="s">
        <v>3226</v>
      </c>
      <c r="D2581" t="s">
        <v>3498</v>
      </c>
      <c r="E2581" s="1">
        <v>172.41399999999999</v>
      </c>
      <c r="F2581" s="1">
        <v>162.96199999999999</v>
      </c>
      <c r="K2581" s="39">
        <f>DefaultValues!$B$3</f>
        <v>0</v>
      </c>
      <c r="L2581" s="1">
        <f>DefaultValues!$C$3</f>
        <v>0</v>
      </c>
      <c r="M2581" s="1" t="s">
        <v>4747</v>
      </c>
      <c r="N2581" s="1">
        <f>1000 - 172.414</f>
        <v>827.58600000000001</v>
      </c>
      <c r="O2581" s="1">
        <f>ABS(Table4[[#This Row],[EndMP]]-Table4[[#This Row],[StartMP]])</f>
        <v>9.4519999999999982</v>
      </c>
      <c r="P2581" s="1" t="str">
        <f>IF( AND( Table4[[#This Row],[Route]]=ClosureLocation!$B$3, ClosureLocation!$B$6 &gt;= Table4[[#This Row],[StartMP]], ClosureLocation!$B$6 &lt;= Table4[[#This Row],[EndMP]]), "Yes", "")</f>
        <v/>
      </c>
      <c r="Q2581" s="1" t="str">
        <f>IF( AND( Table4[[#This Row],[Route]]=ClosureLocation!$B$3, ClosureLocation!$B$6 &lt;= Table4[[#This Row],[StartMP]], ClosureLocation!$B$6 &gt;= Table4[[#This Row],[EndMP]]), "Yes", "")</f>
        <v/>
      </c>
      <c r="R2581" s="1" t="str">
        <f>IF( OR( Table4[[#This Row],[PrimaryMatch]]="Yes", Table4[[#This Row],[SecondaryMatch]]="Yes"), "Yes", "")</f>
        <v/>
      </c>
    </row>
    <row r="2582" spans="1:18" hidden="1" x14ac:dyDescent="0.25">
      <c r="A2582" t="s">
        <v>413</v>
      </c>
      <c r="B2582" t="s">
        <v>3209</v>
      </c>
      <c r="C2582" t="s">
        <v>3226</v>
      </c>
      <c r="D2582" t="s">
        <v>3498</v>
      </c>
      <c r="E2582" s="1">
        <v>162.96199999999999</v>
      </c>
      <c r="F2582" s="1">
        <v>158.48500000000001</v>
      </c>
      <c r="K2582" s="39">
        <f>DefaultValues!$B$3</f>
        <v>0</v>
      </c>
      <c r="L2582" s="1">
        <f>DefaultValues!$C$3</f>
        <v>0</v>
      </c>
      <c r="M2582" s="1" t="s">
        <v>4745</v>
      </c>
      <c r="N2582" s="1">
        <f>1000 - 162.962</f>
        <v>837.03800000000001</v>
      </c>
      <c r="O2582" s="1">
        <f>ABS(Table4[[#This Row],[EndMP]]-Table4[[#This Row],[StartMP]])</f>
        <v>4.4769999999999754</v>
      </c>
      <c r="P2582" s="1" t="str">
        <f>IF( AND( Table4[[#This Row],[Route]]=ClosureLocation!$B$3, ClosureLocation!$B$6 &gt;= Table4[[#This Row],[StartMP]], ClosureLocation!$B$6 &lt;= Table4[[#This Row],[EndMP]]), "Yes", "")</f>
        <v/>
      </c>
      <c r="Q2582" s="1" t="str">
        <f>IF( AND( Table4[[#This Row],[Route]]=ClosureLocation!$B$3, ClosureLocation!$B$6 &lt;= Table4[[#This Row],[StartMP]], ClosureLocation!$B$6 &gt;= Table4[[#This Row],[EndMP]]), "Yes", "")</f>
        <v/>
      </c>
      <c r="R2582" s="1" t="str">
        <f>IF( OR( Table4[[#This Row],[PrimaryMatch]]="Yes", Table4[[#This Row],[SecondaryMatch]]="Yes"), "Yes", "")</f>
        <v/>
      </c>
    </row>
    <row r="2583" spans="1:18" hidden="1" x14ac:dyDescent="0.25">
      <c r="A2583" t="s">
        <v>430</v>
      </c>
      <c r="B2583" t="s">
        <v>3205</v>
      </c>
      <c r="C2583" t="s">
        <v>3222</v>
      </c>
      <c r="D2583" t="s">
        <v>3503</v>
      </c>
      <c r="E2583" s="1">
        <v>11.643000000000001</v>
      </c>
      <c r="F2583" s="1">
        <v>14.711</v>
      </c>
      <c r="K2583" s="39">
        <f>DefaultValues!$B$3</f>
        <v>0</v>
      </c>
      <c r="L2583" s="1">
        <f>DefaultValues!$C$3</f>
        <v>0</v>
      </c>
      <c r="M2583" s="1" t="s">
        <v>4748</v>
      </c>
      <c r="N2583" s="1">
        <v>11.643000000000001</v>
      </c>
      <c r="O2583" s="1">
        <f>ABS(Table4[[#This Row],[EndMP]]-Table4[[#This Row],[StartMP]])</f>
        <v>3.0679999999999996</v>
      </c>
      <c r="P2583" s="1" t="str">
        <f>IF( AND( Table4[[#This Row],[Route]]=ClosureLocation!$B$3, ClosureLocation!$B$6 &gt;= Table4[[#This Row],[StartMP]], ClosureLocation!$B$6 &lt;= Table4[[#This Row],[EndMP]]), "Yes", "")</f>
        <v/>
      </c>
      <c r="Q2583" s="1" t="str">
        <f>IF( AND( Table4[[#This Row],[Route]]=ClosureLocation!$B$3, ClosureLocation!$B$6 &lt;= Table4[[#This Row],[StartMP]], ClosureLocation!$B$6 &gt;= Table4[[#This Row],[EndMP]]), "Yes", "")</f>
        <v/>
      </c>
      <c r="R2583" s="1" t="str">
        <f>IF( OR( Table4[[#This Row],[PrimaryMatch]]="Yes", Table4[[#This Row],[SecondaryMatch]]="Yes"), "Yes", "")</f>
        <v/>
      </c>
    </row>
    <row r="2584" spans="1:18" hidden="1" x14ac:dyDescent="0.25">
      <c r="A2584" t="s">
        <v>430</v>
      </c>
      <c r="B2584" t="s">
        <v>3209</v>
      </c>
      <c r="C2584" t="s">
        <v>3226</v>
      </c>
      <c r="D2584" t="s">
        <v>3508</v>
      </c>
      <c r="E2584" s="1">
        <v>14.711</v>
      </c>
      <c r="F2584" s="1">
        <v>11.643000000000001</v>
      </c>
      <c r="K2584" s="39">
        <f>DefaultValues!$B$3</f>
        <v>0</v>
      </c>
      <c r="L2584" s="1">
        <f>DefaultValues!$C$3</f>
        <v>0</v>
      </c>
      <c r="M2584" s="1" t="s">
        <v>4749</v>
      </c>
      <c r="N2584" s="1">
        <f>1000 - 14.711</f>
        <v>985.28899999999999</v>
      </c>
      <c r="O2584" s="1">
        <f>ABS(Table4[[#This Row],[EndMP]]-Table4[[#This Row],[StartMP]])</f>
        <v>3.0679999999999996</v>
      </c>
      <c r="P2584" s="1" t="str">
        <f>IF( AND( Table4[[#This Row],[Route]]=ClosureLocation!$B$3, ClosureLocation!$B$6 &gt;= Table4[[#This Row],[StartMP]], ClosureLocation!$B$6 &lt;= Table4[[#This Row],[EndMP]]), "Yes", "")</f>
        <v/>
      </c>
      <c r="Q2584" s="1" t="str">
        <f>IF( AND( Table4[[#This Row],[Route]]=ClosureLocation!$B$3, ClosureLocation!$B$6 &lt;= Table4[[#This Row],[StartMP]], ClosureLocation!$B$6 &gt;= Table4[[#This Row],[EndMP]]), "Yes", "")</f>
        <v/>
      </c>
      <c r="R2584" s="1" t="str">
        <f>IF( OR( Table4[[#This Row],[PrimaryMatch]]="Yes", Table4[[#This Row],[SecondaryMatch]]="Yes"), "Yes", "")</f>
        <v/>
      </c>
    </row>
    <row r="2585" spans="1:18" hidden="1" x14ac:dyDescent="0.25">
      <c r="A2585" t="s">
        <v>477</v>
      </c>
      <c r="B2585" t="s">
        <v>3205</v>
      </c>
      <c r="C2585" t="s">
        <v>3222</v>
      </c>
      <c r="D2585" t="s">
        <v>3539</v>
      </c>
      <c r="E2585" s="1">
        <v>76.394000000000005</v>
      </c>
      <c r="F2585" s="1">
        <v>79.73</v>
      </c>
      <c r="K2585" s="39">
        <f>DefaultValues!$B$3</f>
        <v>0</v>
      </c>
      <c r="L2585" s="1">
        <f>DefaultValues!$C$3</f>
        <v>0</v>
      </c>
      <c r="M2585" s="1" t="s">
        <v>4750</v>
      </c>
      <c r="N2585" s="1">
        <v>76.394000000000005</v>
      </c>
      <c r="O2585" s="1">
        <f>ABS(Table4[[#This Row],[EndMP]]-Table4[[#This Row],[StartMP]])</f>
        <v>3.3359999999999985</v>
      </c>
      <c r="P2585" s="1" t="str">
        <f>IF( AND( Table4[[#This Row],[Route]]=ClosureLocation!$B$3, ClosureLocation!$B$6 &gt;= Table4[[#This Row],[StartMP]], ClosureLocation!$B$6 &lt;= Table4[[#This Row],[EndMP]]), "Yes", "")</f>
        <v/>
      </c>
      <c r="Q2585" s="1" t="str">
        <f>IF( AND( Table4[[#This Row],[Route]]=ClosureLocation!$B$3, ClosureLocation!$B$6 &lt;= Table4[[#This Row],[StartMP]], ClosureLocation!$B$6 &gt;= Table4[[#This Row],[EndMP]]), "Yes", "")</f>
        <v/>
      </c>
      <c r="R2585" s="1" t="str">
        <f>IF( OR( Table4[[#This Row],[PrimaryMatch]]="Yes", Table4[[#This Row],[SecondaryMatch]]="Yes"), "Yes", "")</f>
        <v/>
      </c>
    </row>
    <row r="2586" spans="1:18" hidden="1" x14ac:dyDescent="0.25">
      <c r="A2586" t="s">
        <v>477</v>
      </c>
      <c r="B2586" t="s">
        <v>3205</v>
      </c>
      <c r="C2586" t="s">
        <v>3222</v>
      </c>
      <c r="D2586" t="s">
        <v>3539</v>
      </c>
      <c r="E2586" s="1">
        <v>79.73</v>
      </c>
      <c r="F2586" s="1">
        <v>88.835999999999999</v>
      </c>
      <c r="K2586" s="39">
        <f>DefaultValues!$B$3</f>
        <v>0</v>
      </c>
      <c r="L2586" s="1">
        <f>DefaultValues!$C$3</f>
        <v>0</v>
      </c>
      <c r="M2586" s="1" t="s">
        <v>4752</v>
      </c>
      <c r="N2586" s="1">
        <v>79.73</v>
      </c>
      <c r="O2586" s="1">
        <f>ABS(Table4[[#This Row],[EndMP]]-Table4[[#This Row],[StartMP]])</f>
        <v>9.1059999999999945</v>
      </c>
      <c r="P2586" s="1" t="str">
        <f>IF( AND( Table4[[#This Row],[Route]]=ClosureLocation!$B$3, ClosureLocation!$B$6 &gt;= Table4[[#This Row],[StartMP]], ClosureLocation!$B$6 &lt;= Table4[[#This Row],[EndMP]]), "Yes", "")</f>
        <v/>
      </c>
      <c r="Q2586" s="1" t="str">
        <f>IF( AND( Table4[[#This Row],[Route]]=ClosureLocation!$B$3, ClosureLocation!$B$6 &lt;= Table4[[#This Row],[StartMP]], ClosureLocation!$B$6 &gt;= Table4[[#This Row],[EndMP]]), "Yes", "")</f>
        <v/>
      </c>
      <c r="R2586" s="1" t="str">
        <f>IF( OR( Table4[[#This Row],[PrimaryMatch]]="Yes", Table4[[#This Row],[SecondaryMatch]]="Yes"), "Yes", "")</f>
        <v/>
      </c>
    </row>
    <row r="2587" spans="1:18" hidden="1" x14ac:dyDescent="0.25">
      <c r="A2587" t="s">
        <v>477</v>
      </c>
      <c r="B2587" t="s">
        <v>3209</v>
      </c>
      <c r="C2587" t="s">
        <v>3226</v>
      </c>
      <c r="D2587" t="s">
        <v>3541</v>
      </c>
      <c r="E2587" s="1">
        <v>88.835999999999999</v>
      </c>
      <c r="F2587" s="1">
        <v>79.73</v>
      </c>
      <c r="K2587" s="39">
        <f>DefaultValues!$B$3</f>
        <v>0</v>
      </c>
      <c r="L2587" s="1">
        <f>DefaultValues!$C$3</f>
        <v>0</v>
      </c>
      <c r="M2587" s="1" t="s">
        <v>4753</v>
      </c>
      <c r="N2587" s="1">
        <f>1000 - 88.836</f>
        <v>911.16399999999999</v>
      </c>
      <c r="O2587" s="1">
        <f>ABS(Table4[[#This Row],[EndMP]]-Table4[[#This Row],[StartMP]])</f>
        <v>9.1059999999999945</v>
      </c>
      <c r="P2587" s="1" t="str">
        <f>IF( AND( Table4[[#This Row],[Route]]=ClosureLocation!$B$3, ClosureLocation!$B$6 &gt;= Table4[[#This Row],[StartMP]], ClosureLocation!$B$6 &lt;= Table4[[#This Row],[EndMP]]), "Yes", "")</f>
        <v/>
      </c>
      <c r="Q2587" s="1" t="str">
        <f>IF( AND( Table4[[#This Row],[Route]]=ClosureLocation!$B$3, ClosureLocation!$B$6 &lt;= Table4[[#This Row],[StartMP]], ClosureLocation!$B$6 &gt;= Table4[[#This Row],[EndMP]]), "Yes", "")</f>
        <v/>
      </c>
      <c r="R2587" s="1" t="str">
        <f>IF( OR( Table4[[#This Row],[PrimaryMatch]]="Yes", Table4[[#This Row],[SecondaryMatch]]="Yes"), "Yes", "")</f>
        <v/>
      </c>
    </row>
    <row r="2588" spans="1:18" hidden="1" x14ac:dyDescent="0.25">
      <c r="A2588" t="s">
        <v>477</v>
      </c>
      <c r="B2588" t="s">
        <v>3209</v>
      </c>
      <c r="C2588" t="s">
        <v>3226</v>
      </c>
      <c r="D2588" t="s">
        <v>3541</v>
      </c>
      <c r="E2588" s="1">
        <v>79.73</v>
      </c>
      <c r="F2588" s="1">
        <v>76.394000000000005</v>
      </c>
      <c r="K2588" s="39">
        <f>DefaultValues!$B$3</f>
        <v>0</v>
      </c>
      <c r="L2588" s="1">
        <f>DefaultValues!$C$3</f>
        <v>0</v>
      </c>
      <c r="M2588" s="1" t="s">
        <v>4751</v>
      </c>
      <c r="N2588" s="1">
        <f>1000 - 79.73</f>
        <v>920.27</v>
      </c>
      <c r="O2588" s="1">
        <f>ABS(Table4[[#This Row],[EndMP]]-Table4[[#This Row],[StartMP]])</f>
        <v>3.3359999999999985</v>
      </c>
      <c r="P2588" s="1" t="str">
        <f>IF( AND( Table4[[#This Row],[Route]]=ClosureLocation!$B$3, ClosureLocation!$B$6 &gt;= Table4[[#This Row],[StartMP]], ClosureLocation!$B$6 &lt;= Table4[[#This Row],[EndMP]]), "Yes", "")</f>
        <v/>
      </c>
      <c r="Q2588" s="1" t="str">
        <f>IF( AND( Table4[[#This Row],[Route]]=ClosureLocation!$B$3, ClosureLocation!$B$6 &lt;= Table4[[#This Row],[StartMP]], ClosureLocation!$B$6 &gt;= Table4[[#This Row],[EndMP]]), "Yes", "")</f>
        <v/>
      </c>
      <c r="R2588" s="1" t="str">
        <f>IF( OR( Table4[[#This Row],[PrimaryMatch]]="Yes", Table4[[#This Row],[SecondaryMatch]]="Yes"), "Yes", "")</f>
        <v/>
      </c>
    </row>
    <row r="2589" spans="1:18" hidden="1" x14ac:dyDescent="0.25">
      <c r="A2589" t="s">
        <v>485</v>
      </c>
      <c r="B2589" t="s">
        <v>3205</v>
      </c>
      <c r="C2589" t="s">
        <v>3222</v>
      </c>
      <c r="D2589" t="s">
        <v>3543</v>
      </c>
      <c r="E2589" s="1">
        <v>95</v>
      </c>
      <c r="F2589" s="1">
        <v>100.937</v>
      </c>
      <c r="K2589" s="39">
        <f>DefaultValues!$B$3</f>
        <v>0</v>
      </c>
      <c r="L2589" s="1">
        <f>DefaultValues!$C$3</f>
        <v>0</v>
      </c>
      <c r="M2589" s="1" t="s">
        <v>3546</v>
      </c>
      <c r="N2589" s="1">
        <v>95</v>
      </c>
      <c r="O2589" s="1">
        <f>ABS(Table4[[#This Row],[EndMP]]-Table4[[#This Row],[StartMP]])</f>
        <v>5.9369999999999976</v>
      </c>
      <c r="P2589" s="1" t="str">
        <f>IF( AND( Table4[[#This Row],[Route]]=ClosureLocation!$B$3, ClosureLocation!$B$6 &gt;= Table4[[#This Row],[StartMP]], ClosureLocation!$B$6 &lt;= Table4[[#This Row],[EndMP]]), "Yes", "")</f>
        <v/>
      </c>
      <c r="Q2589" s="1" t="str">
        <f>IF( AND( Table4[[#This Row],[Route]]=ClosureLocation!$B$3, ClosureLocation!$B$6 &lt;= Table4[[#This Row],[StartMP]], ClosureLocation!$B$6 &gt;= Table4[[#This Row],[EndMP]]), "Yes", "")</f>
        <v/>
      </c>
      <c r="R2589" s="1" t="str">
        <f>IF( OR( Table4[[#This Row],[PrimaryMatch]]="Yes", Table4[[#This Row],[SecondaryMatch]]="Yes"), "Yes", "")</f>
        <v/>
      </c>
    </row>
    <row r="2590" spans="1:18" hidden="1" x14ac:dyDescent="0.25">
      <c r="A2590" t="s">
        <v>485</v>
      </c>
      <c r="B2590" t="s">
        <v>3209</v>
      </c>
      <c r="C2590" t="s">
        <v>3226</v>
      </c>
      <c r="D2590" t="s">
        <v>3548</v>
      </c>
      <c r="E2590" s="1">
        <v>100.937</v>
      </c>
      <c r="F2590" s="1">
        <v>95</v>
      </c>
      <c r="K2590" s="39">
        <f>DefaultValues!$B$3</f>
        <v>0</v>
      </c>
      <c r="L2590" s="1">
        <f>DefaultValues!$C$3</f>
        <v>0</v>
      </c>
      <c r="M2590" s="1" t="s">
        <v>3550</v>
      </c>
      <c r="N2590" s="1">
        <f>1000 - 100.937</f>
        <v>899.06299999999999</v>
      </c>
      <c r="O2590" s="1">
        <f>ABS(Table4[[#This Row],[EndMP]]-Table4[[#This Row],[StartMP]])</f>
        <v>5.9369999999999976</v>
      </c>
      <c r="P2590" s="1" t="str">
        <f>IF( AND( Table4[[#This Row],[Route]]=ClosureLocation!$B$3, ClosureLocation!$B$6 &gt;= Table4[[#This Row],[StartMP]], ClosureLocation!$B$6 &lt;= Table4[[#This Row],[EndMP]]), "Yes", "")</f>
        <v/>
      </c>
      <c r="Q2590" s="1" t="str">
        <f>IF( AND( Table4[[#This Row],[Route]]=ClosureLocation!$B$3, ClosureLocation!$B$6 &lt;= Table4[[#This Row],[StartMP]], ClosureLocation!$B$6 &gt;= Table4[[#This Row],[EndMP]]), "Yes", "")</f>
        <v/>
      </c>
      <c r="R2590" s="1" t="str">
        <f>IF( OR( Table4[[#This Row],[PrimaryMatch]]="Yes", Table4[[#This Row],[SecondaryMatch]]="Yes"), "Yes", "")</f>
        <v/>
      </c>
    </row>
    <row r="2591" spans="1:18" hidden="1" x14ac:dyDescent="0.25">
      <c r="A2591" t="s">
        <v>535</v>
      </c>
      <c r="B2591" t="s">
        <v>3205</v>
      </c>
      <c r="C2591" t="s">
        <v>3222</v>
      </c>
      <c r="D2591" t="s">
        <v>3569</v>
      </c>
      <c r="E2591" s="1">
        <v>272.55200000000002</v>
      </c>
      <c r="F2591" s="1">
        <v>276.18</v>
      </c>
      <c r="K2591" s="39">
        <f>DefaultValues!$B$3</f>
        <v>0</v>
      </c>
      <c r="L2591" s="1">
        <f>DefaultValues!$C$3</f>
        <v>0</v>
      </c>
      <c r="M2591" s="1" t="s">
        <v>4754</v>
      </c>
      <c r="N2591" s="1">
        <v>272.55200000000002</v>
      </c>
      <c r="O2591" s="1">
        <f>ABS(Table4[[#This Row],[EndMP]]-Table4[[#This Row],[StartMP]])</f>
        <v>3.6279999999999859</v>
      </c>
      <c r="P2591" s="1" t="str">
        <f>IF( AND( Table4[[#This Row],[Route]]=ClosureLocation!$B$3, ClosureLocation!$B$6 &gt;= Table4[[#This Row],[StartMP]], ClosureLocation!$B$6 &lt;= Table4[[#This Row],[EndMP]]), "Yes", "")</f>
        <v/>
      </c>
      <c r="Q2591" s="1" t="str">
        <f>IF( AND( Table4[[#This Row],[Route]]=ClosureLocation!$B$3, ClosureLocation!$B$6 &lt;= Table4[[#This Row],[StartMP]], ClosureLocation!$B$6 &gt;= Table4[[#This Row],[EndMP]]), "Yes", "")</f>
        <v/>
      </c>
      <c r="R2591" s="1" t="str">
        <f>IF( OR( Table4[[#This Row],[PrimaryMatch]]="Yes", Table4[[#This Row],[SecondaryMatch]]="Yes"), "Yes", "")</f>
        <v/>
      </c>
    </row>
    <row r="2592" spans="1:18" hidden="1" x14ac:dyDescent="0.25">
      <c r="A2592" t="s">
        <v>535</v>
      </c>
      <c r="B2592" t="s">
        <v>3209</v>
      </c>
      <c r="C2592" t="s">
        <v>3226</v>
      </c>
      <c r="D2592" t="s">
        <v>3573</v>
      </c>
      <c r="E2592" s="1">
        <v>276.18</v>
      </c>
      <c r="F2592" s="1">
        <v>272.55200000000002</v>
      </c>
      <c r="K2592" s="39">
        <f>DefaultValues!$B$3</f>
        <v>0</v>
      </c>
      <c r="L2592" s="1">
        <f>DefaultValues!$C$3</f>
        <v>0</v>
      </c>
      <c r="M2592" s="1" t="s">
        <v>4755</v>
      </c>
      <c r="N2592" s="1">
        <f>1000 - 276.18</f>
        <v>723.81999999999994</v>
      </c>
      <c r="O2592" s="1">
        <f>ABS(Table4[[#This Row],[EndMP]]-Table4[[#This Row],[StartMP]])</f>
        <v>3.6279999999999859</v>
      </c>
      <c r="P2592" s="1" t="str">
        <f>IF( AND( Table4[[#This Row],[Route]]=ClosureLocation!$B$3, ClosureLocation!$B$6 &gt;= Table4[[#This Row],[StartMP]], ClosureLocation!$B$6 &lt;= Table4[[#This Row],[EndMP]]), "Yes", "")</f>
        <v/>
      </c>
      <c r="Q2592" s="1" t="str">
        <f>IF( AND( Table4[[#This Row],[Route]]=ClosureLocation!$B$3, ClosureLocation!$B$6 &lt;= Table4[[#This Row],[StartMP]], ClosureLocation!$B$6 &gt;= Table4[[#This Row],[EndMP]]), "Yes", "")</f>
        <v/>
      </c>
      <c r="R2592" s="1" t="str">
        <f>IF( OR( Table4[[#This Row],[PrimaryMatch]]="Yes", Table4[[#This Row],[SecondaryMatch]]="Yes"), "Yes", "")</f>
        <v/>
      </c>
    </row>
    <row r="2593" spans="1:18" hidden="1" x14ac:dyDescent="0.25">
      <c r="A2593" t="s">
        <v>546</v>
      </c>
      <c r="B2593" t="s">
        <v>3205</v>
      </c>
      <c r="C2593" t="s">
        <v>3222</v>
      </c>
      <c r="D2593" t="s">
        <v>3577</v>
      </c>
      <c r="E2593" s="1">
        <v>279.20800000000003</v>
      </c>
      <c r="F2593" s="1">
        <v>281.97699999999998</v>
      </c>
      <c r="K2593" s="39">
        <f>DefaultValues!$B$3</f>
        <v>0</v>
      </c>
      <c r="L2593" s="1">
        <f>DefaultValues!$C$3</f>
        <v>0</v>
      </c>
      <c r="M2593" s="1" t="s">
        <v>4756</v>
      </c>
      <c r="N2593" s="1">
        <v>279.20800000000003</v>
      </c>
      <c r="O2593" s="1">
        <f>ABS(Table4[[#This Row],[EndMP]]-Table4[[#This Row],[StartMP]])</f>
        <v>2.7689999999999486</v>
      </c>
      <c r="P2593" s="1" t="str">
        <f>IF( AND( Table4[[#This Row],[Route]]=ClosureLocation!$B$3, ClosureLocation!$B$6 &gt;= Table4[[#This Row],[StartMP]], ClosureLocation!$B$6 &lt;= Table4[[#This Row],[EndMP]]), "Yes", "")</f>
        <v/>
      </c>
      <c r="Q2593" s="1" t="str">
        <f>IF( AND( Table4[[#This Row],[Route]]=ClosureLocation!$B$3, ClosureLocation!$B$6 &lt;= Table4[[#This Row],[StartMP]], ClosureLocation!$B$6 &gt;= Table4[[#This Row],[EndMP]]), "Yes", "")</f>
        <v/>
      </c>
      <c r="R2593" s="1" t="str">
        <f>IF( OR( Table4[[#This Row],[PrimaryMatch]]="Yes", Table4[[#This Row],[SecondaryMatch]]="Yes"), "Yes", "")</f>
        <v/>
      </c>
    </row>
    <row r="2594" spans="1:18" hidden="1" x14ac:dyDescent="0.25">
      <c r="A2594" t="s">
        <v>546</v>
      </c>
      <c r="B2594" t="s">
        <v>3205</v>
      </c>
      <c r="C2594" t="s">
        <v>3222</v>
      </c>
      <c r="D2594" t="s">
        <v>3577</v>
      </c>
      <c r="E2594" s="1">
        <v>281.97699999999998</v>
      </c>
      <c r="F2594" s="1">
        <v>284.88799999999998</v>
      </c>
      <c r="K2594" s="39">
        <f>DefaultValues!$B$3</f>
        <v>0</v>
      </c>
      <c r="L2594" s="1">
        <f>DefaultValues!$C$3</f>
        <v>0</v>
      </c>
      <c r="M2594" s="1" t="s">
        <v>4758</v>
      </c>
      <c r="N2594" s="1">
        <v>281.97699999999998</v>
      </c>
      <c r="O2594" s="1">
        <f>ABS(Table4[[#This Row],[EndMP]]-Table4[[#This Row],[StartMP]])</f>
        <v>2.9110000000000014</v>
      </c>
      <c r="P2594" s="1" t="str">
        <f>IF( AND( Table4[[#This Row],[Route]]=ClosureLocation!$B$3, ClosureLocation!$B$6 &gt;= Table4[[#This Row],[StartMP]], ClosureLocation!$B$6 &lt;= Table4[[#This Row],[EndMP]]), "Yes", "")</f>
        <v/>
      </c>
      <c r="Q2594" s="1" t="str">
        <f>IF( AND( Table4[[#This Row],[Route]]=ClosureLocation!$B$3, ClosureLocation!$B$6 &lt;= Table4[[#This Row],[StartMP]], ClosureLocation!$B$6 &gt;= Table4[[#This Row],[EndMP]]), "Yes", "")</f>
        <v/>
      </c>
      <c r="R2594" s="1" t="str">
        <f>IF( OR( Table4[[#This Row],[PrimaryMatch]]="Yes", Table4[[#This Row],[SecondaryMatch]]="Yes"), "Yes", "")</f>
        <v/>
      </c>
    </row>
    <row r="2595" spans="1:18" hidden="1" x14ac:dyDescent="0.25">
      <c r="A2595" t="s">
        <v>546</v>
      </c>
      <c r="B2595" t="s">
        <v>3205</v>
      </c>
      <c r="C2595" t="s">
        <v>3222</v>
      </c>
      <c r="D2595" t="s">
        <v>3577</v>
      </c>
      <c r="E2595" s="1">
        <v>284.88799999999998</v>
      </c>
      <c r="F2595" s="1">
        <v>286.87099999999998</v>
      </c>
      <c r="K2595" s="39">
        <f>DefaultValues!$B$3</f>
        <v>0</v>
      </c>
      <c r="L2595" s="1">
        <f>DefaultValues!$C$3</f>
        <v>0</v>
      </c>
      <c r="M2595" s="1" t="s">
        <v>4760</v>
      </c>
      <c r="N2595" s="1">
        <v>284.88799999999998</v>
      </c>
      <c r="O2595" s="1">
        <f>ABS(Table4[[#This Row],[EndMP]]-Table4[[#This Row],[StartMP]])</f>
        <v>1.9830000000000041</v>
      </c>
      <c r="P2595" s="1" t="str">
        <f>IF( AND( Table4[[#This Row],[Route]]=ClosureLocation!$B$3, ClosureLocation!$B$6 &gt;= Table4[[#This Row],[StartMP]], ClosureLocation!$B$6 &lt;= Table4[[#This Row],[EndMP]]), "Yes", "")</f>
        <v/>
      </c>
      <c r="Q2595" s="1" t="str">
        <f>IF( AND( Table4[[#This Row],[Route]]=ClosureLocation!$B$3, ClosureLocation!$B$6 &lt;= Table4[[#This Row],[StartMP]], ClosureLocation!$B$6 &gt;= Table4[[#This Row],[EndMP]]), "Yes", "")</f>
        <v/>
      </c>
      <c r="R2595" s="1" t="str">
        <f>IF( OR( Table4[[#This Row],[PrimaryMatch]]="Yes", Table4[[#This Row],[SecondaryMatch]]="Yes"), "Yes", "")</f>
        <v/>
      </c>
    </row>
    <row r="2596" spans="1:18" hidden="1" x14ac:dyDescent="0.25">
      <c r="A2596" t="s">
        <v>546</v>
      </c>
      <c r="B2596" t="s">
        <v>3209</v>
      </c>
      <c r="C2596" t="s">
        <v>3226</v>
      </c>
      <c r="D2596" t="s">
        <v>3585</v>
      </c>
      <c r="E2596" s="1">
        <v>286.87099999999998</v>
      </c>
      <c r="F2596" s="1">
        <v>284.88799999999998</v>
      </c>
      <c r="K2596" s="39">
        <f>DefaultValues!$B$3</f>
        <v>0</v>
      </c>
      <c r="L2596" s="1">
        <f>DefaultValues!$C$3</f>
        <v>0</v>
      </c>
      <c r="M2596" s="1" t="s">
        <v>4761</v>
      </c>
      <c r="N2596" s="1">
        <f>1000 - 286.871</f>
        <v>713.12900000000002</v>
      </c>
      <c r="O2596" s="1">
        <f>ABS(Table4[[#This Row],[EndMP]]-Table4[[#This Row],[StartMP]])</f>
        <v>1.9830000000000041</v>
      </c>
      <c r="P2596" s="1" t="str">
        <f>IF( AND( Table4[[#This Row],[Route]]=ClosureLocation!$B$3, ClosureLocation!$B$6 &gt;= Table4[[#This Row],[StartMP]], ClosureLocation!$B$6 &lt;= Table4[[#This Row],[EndMP]]), "Yes", "")</f>
        <v/>
      </c>
      <c r="Q2596" s="1" t="str">
        <f>IF( AND( Table4[[#This Row],[Route]]=ClosureLocation!$B$3, ClosureLocation!$B$6 &lt;= Table4[[#This Row],[StartMP]], ClosureLocation!$B$6 &gt;= Table4[[#This Row],[EndMP]]), "Yes", "")</f>
        <v/>
      </c>
      <c r="R2596" s="1" t="str">
        <f>IF( OR( Table4[[#This Row],[PrimaryMatch]]="Yes", Table4[[#This Row],[SecondaryMatch]]="Yes"), "Yes", "")</f>
        <v/>
      </c>
    </row>
    <row r="2597" spans="1:18" hidden="1" x14ac:dyDescent="0.25">
      <c r="A2597" t="s">
        <v>546</v>
      </c>
      <c r="B2597" t="s">
        <v>3209</v>
      </c>
      <c r="C2597" t="s">
        <v>3226</v>
      </c>
      <c r="D2597" t="s">
        <v>3585</v>
      </c>
      <c r="E2597" s="1">
        <v>284.88799999999998</v>
      </c>
      <c r="F2597" s="1">
        <v>281.97699999999998</v>
      </c>
      <c r="K2597" s="39">
        <f>DefaultValues!$B$3</f>
        <v>0</v>
      </c>
      <c r="L2597" s="1">
        <f>DefaultValues!$C$3</f>
        <v>0</v>
      </c>
      <c r="M2597" s="1" t="s">
        <v>4759</v>
      </c>
      <c r="N2597" s="1">
        <f>1000 - 284.888</f>
        <v>715.11200000000008</v>
      </c>
      <c r="O2597" s="1">
        <f>ABS(Table4[[#This Row],[EndMP]]-Table4[[#This Row],[StartMP]])</f>
        <v>2.9110000000000014</v>
      </c>
      <c r="P2597" s="1" t="str">
        <f>IF( AND( Table4[[#This Row],[Route]]=ClosureLocation!$B$3, ClosureLocation!$B$6 &gt;= Table4[[#This Row],[StartMP]], ClosureLocation!$B$6 &lt;= Table4[[#This Row],[EndMP]]), "Yes", "")</f>
        <v/>
      </c>
      <c r="Q2597" s="1" t="str">
        <f>IF( AND( Table4[[#This Row],[Route]]=ClosureLocation!$B$3, ClosureLocation!$B$6 &lt;= Table4[[#This Row],[StartMP]], ClosureLocation!$B$6 &gt;= Table4[[#This Row],[EndMP]]), "Yes", "")</f>
        <v/>
      </c>
      <c r="R2597" s="1" t="str">
        <f>IF( OR( Table4[[#This Row],[PrimaryMatch]]="Yes", Table4[[#This Row],[SecondaryMatch]]="Yes"), "Yes", "")</f>
        <v/>
      </c>
    </row>
    <row r="2598" spans="1:18" hidden="1" x14ac:dyDescent="0.25">
      <c r="A2598" t="s">
        <v>546</v>
      </c>
      <c r="B2598" t="s">
        <v>3209</v>
      </c>
      <c r="C2598" t="s">
        <v>3226</v>
      </c>
      <c r="D2598" t="s">
        <v>3585</v>
      </c>
      <c r="E2598" s="1">
        <v>281.97699999999998</v>
      </c>
      <c r="F2598" s="1">
        <v>279.20800000000003</v>
      </c>
      <c r="K2598" s="39">
        <f>DefaultValues!$B$3</f>
        <v>0</v>
      </c>
      <c r="L2598" s="1">
        <f>DefaultValues!$C$3</f>
        <v>0</v>
      </c>
      <c r="M2598" s="1" t="s">
        <v>4757</v>
      </c>
      <c r="N2598" s="1">
        <f>1000 - 281.977</f>
        <v>718.02300000000002</v>
      </c>
      <c r="O2598" s="1">
        <f>ABS(Table4[[#This Row],[EndMP]]-Table4[[#This Row],[StartMP]])</f>
        <v>2.7689999999999486</v>
      </c>
      <c r="P2598" s="1" t="str">
        <f>IF( AND( Table4[[#This Row],[Route]]=ClosureLocation!$B$3, ClosureLocation!$B$6 &gt;= Table4[[#This Row],[StartMP]], ClosureLocation!$B$6 &lt;= Table4[[#This Row],[EndMP]]), "Yes", "")</f>
        <v/>
      </c>
      <c r="Q2598" s="1" t="str">
        <f>IF( AND( Table4[[#This Row],[Route]]=ClosureLocation!$B$3, ClosureLocation!$B$6 &lt;= Table4[[#This Row],[StartMP]], ClosureLocation!$B$6 &gt;= Table4[[#This Row],[EndMP]]), "Yes", "")</f>
        <v/>
      </c>
      <c r="R2598" s="1" t="str">
        <f>IF( OR( Table4[[#This Row],[PrimaryMatch]]="Yes", Table4[[#This Row],[SecondaryMatch]]="Yes"), "Yes", "")</f>
        <v/>
      </c>
    </row>
    <row r="2599" spans="1:18" hidden="1" x14ac:dyDescent="0.25">
      <c r="A2599" t="s">
        <v>565</v>
      </c>
      <c r="B2599" t="s">
        <v>3205</v>
      </c>
      <c r="C2599" t="s">
        <v>3222</v>
      </c>
      <c r="D2599" t="s">
        <v>4762</v>
      </c>
      <c r="E2599" s="1">
        <v>346.29</v>
      </c>
      <c r="F2599" s="1">
        <v>350.86200000000002</v>
      </c>
      <c r="K2599" s="39">
        <f>DefaultValues!$B$3</f>
        <v>0</v>
      </c>
      <c r="L2599" s="1">
        <f>DefaultValues!$C$3</f>
        <v>0</v>
      </c>
      <c r="M2599" s="1" t="s">
        <v>4764</v>
      </c>
      <c r="N2599" s="1">
        <v>346.29</v>
      </c>
      <c r="O2599" s="1">
        <f>ABS(Table4[[#This Row],[EndMP]]-Table4[[#This Row],[StartMP]])</f>
        <v>4.5720000000000027</v>
      </c>
      <c r="P2599" s="1" t="str">
        <f>IF( AND( Table4[[#This Row],[Route]]=ClosureLocation!$B$3, ClosureLocation!$B$6 &gt;= Table4[[#This Row],[StartMP]], ClosureLocation!$B$6 &lt;= Table4[[#This Row],[EndMP]]), "Yes", "")</f>
        <v/>
      </c>
      <c r="Q2599" s="1" t="str">
        <f>IF( AND( Table4[[#This Row],[Route]]=ClosureLocation!$B$3, ClosureLocation!$B$6 &lt;= Table4[[#This Row],[StartMP]], ClosureLocation!$B$6 &gt;= Table4[[#This Row],[EndMP]]), "Yes", "")</f>
        <v/>
      </c>
      <c r="R2599" s="1" t="str">
        <f>IF( OR( Table4[[#This Row],[PrimaryMatch]]="Yes", Table4[[#This Row],[SecondaryMatch]]="Yes"), "Yes", "")</f>
        <v/>
      </c>
    </row>
    <row r="2600" spans="1:18" hidden="1" x14ac:dyDescent="0.25">
      <c r="A2600" t="s">
        <v>565</v>
      </c>
      <c r="B2600" t="s">
        <v>3209</v>
      </c>
      <c r="C2600" t="s">
        <v>3226</v>
      </c>
      <c r="D2600" t="s">
        <v>4763</v>
      </c>
      <c r="E2600" s="1">
        <v>350.86200000000002</v>
      </c>
      <c r="F2600" s="1">
        <v>346.29</v>
      </c>
      <c r="K2600" s="39">
        <f>DefaultValues!$B$3</f>
        <v>0</v>
      </c>
      <c r="L2600" s="1">
        <f>DefaultValues!$C$3</f>
        <v>0</v>
      </c>
      <c r="M2600" s="1" t="s">
        <v>4765</v>
      </c>
      <c r="N2600" s="1">
        <f>1000 - 350.862</f>
        <v>649.13799999999992</v>
      </c>
      <c r="O2600" s="1">
        <f>ABS(Table4[[#This Row],[EndMP]]-Table4[[#This Row],[StartMP]])</f>
        <v>4.5720000000000027</v>
      </c>
      <c r="P2600" s="1" t="str">
        <f>IF( AND( Table4[[#This Row],[Route]]=ClosureLocation!$B$3, ClosureLocation!$B$6 &gt;= Table4[[#This Row],[StartMP]], ClosureLocation!$B$6 &lt;= Table4[[#This Row],[EndMP]]), "Yes", "")</f>
        <v/>
      </c>
      <c r="Q2600" s="1" t="str">
        <f>IF( AND( Table4[[#This Row],[Route]]=ClosureLocation!$B$3, ClosureLocation!$B$6 &lt;= Table4[[#This Row],[StartMP]], ClosureLocation!$B$6 &gt;= Table4[[#This Row],[EndMP]]), "Yes", "")</f>
        <v/>
      </c>
      <c r="R2600" s="1" t="str">
        <f>IF( OR( Table4[[#This Row],[PrimaryMatch]]="Yes", Table4[[#This Row],[SecondaryMatch]]="Yes"), "Yes", "")</f>
        <v/>
      </c>
    </row>
    <row r="2601" spans="1:18" hidden="1" x14ac:dyDescent="0.25">
      <c r="A2601" t="s">
        <v>589</v>
      </c>
      <c r="B2601" t="s">
        <v>3205</v>
      </c>
      <c r="C2601" t="s">
        <v>3222</v>
      </c>
      <c r="D2601" t="s">
        <v>4766</v>
      </c>
      <c r="E2601" s="1">
        <v>0</v>
      </c>
      <c r="F2601" s="1">
        <v>4.8760000000000003</v>
      </c>
      <c r="K2601" s="39">
        <f>DefaultValues!$B$3</f>
        <v>0</v>
      </c>
      <c r="L2601" s="1">
        <f>DefaultValues!$C$3</f>
        <v>0</v>
      </c>
      <c r="M2601" s="1" t="s">
        <v>4768</v>
      </c>
      <c r="N2601" s="1">
        <v>0</v>
      </c>
      <c r="O2601" s="1">
        <f>ABS(Table4[[#This Row],[EndMP]]-Table4[[#This Row],[StartMP]])</f>
        <v>4.8760000000000003</v>
      </c>
      <c r="P2601" s="1" t="str">
        <f>IF( AND( Table4[[#This Row],[Route]]=ClosureLocation!$B$3, ClosureLocation!$B$6 &gt;= Table4[[#This Row],[StartMP]], ClosureLocation!$B$6 &lt;= Table4[[#This Row],[EndMP]]), "Yes", "")</f>
        <v/>
      </c>
      <c r="Q2601" s="1" t="str">
        <f>IF( AND( Table4[[#This Row],[Route]]=ClosureLocation!$B$3, ClosureLocation!$B$6 &lt;= Table4[[#This Row],[StartMP]], ClosureLocation!$B$6 &gt;= Table4[[#This Row],[EndMP]]), "Yes", "")</f>
        <v/>
      </c>
      <c r="R2601" s="1" t="str">
        <f>IF( OR( Table4[[#This Row],[PrimaryMatch]]="Yes", Table4[[#This Row],[SecondaryMatch]]="Yes"), "Yes", "")</f>
        <v/>
      </c>
    </row>
    <row r="2602" spans="1:18" hidden="1" x14ac:dyDescent="0.25">
      <c r="A2602" t="s">
        <v>589</v>
      </c>
      <c r="B2602" t="s">
        <v>3209</v>
      </c>
      <c r="C2602" t="s">
        <v>3226</v>
      </c>
      <c r="D2602" t="s">
        <v>4767</v>
      </c>
      <c r="E2602" s="1">
        <v>4.8760000000000003</v>
      </c>
      <c r="F2602" s="1">
        <v>0</v>
      </c>
      <c r="K2602" s="39">
        <f>DefaultValues!$B$3</f>
        <v>0</v>
      </c>
      <c r="L2602" s="1">
        <f>DefaultValues!$C$3</f>
        <v>0</v>
      </c>
      <c r="M2602" s="1" t="s">
        <v>4769</v>
      </c>
      <c r="N2602" s="1">
        <f>1000 - 4.876</f>
        <v>995.12400000000002</v>
      </c>
      <c r="O2602" s="1">
        <f>ABS(Table4[[#This Row],[EndMP]]-Table4[[#This Row],[StartMP]])</f>
        <v>4.8760000000000003</v>
      </c>
      <c r="P2602" s="1" t="str">
        <f>IF( AND( Table4[[#This Row],[Route]]=ClosureLocation!$B$3, ClosureLocation!$B$6 &gt;= Table4[[#This Row],[StartMP]], ClosureLocation!$B$6 &lt;= Table4[[#This Row],[EndMP]]), "Yes", "")</f>
        <v/>
      </c>
      <c r="Q2602" s="1" t="str">
        <f>IF( AND( Table4[[#This Row],[Route]]=ClosureLocation!$B$3, ClosureLocation!$B$6 &lt;= Table4[[#This Row],[StartMP]], ClosureLocation!$B$6 &gt;= Table4[[#This Row],[EndMP]]), "Yes", "")</f>
        <v/>
      </c>
      <c r="R2602" s="1" t="str">
        <f>IF( OR( Table4[[#This Row],[PrimaryMatch]]="Yes", Table4[[#This Row],[SecondaryMatch]]="Yes"), "Yes", "")</f>
        <v/>
      </c>
    </row>
    <row r="2603" spans="1:18" hidden="1" x14ac:dyDescent="0.25">
      <c r="A2603" t="s">
        <v>630</v>
      </c>
      <c r="B2603" t="s">
        <v>3205</v>
      </c>
      <c r="C2603" t="s">
        <v>3222</v>
      </c>
      <c r="D2603" t="s">
        <v>4770</v>
      </c>
      <c r="E2603" s="1">
        <v>0</v>
      </c>
      <c r="F2603" s="1">
        <v>0.93100000000000005</v>
      </c>
      <c r="K2603" s="39">
        <f>DefaultValues!$B$3</f>
        <v>0</v>
      </c>
      <c r="L2603" s="1">
        <f>DefaultValues!$C$3</f>
        <v>0</v>
      </c>
      <c r="M2603" s="1" t="s">
        <v>4772</v>
      </c>
      <c r="N2603" s="1">
        <v>0</v>
      </c>
      <c r="O2603" s="1">
        <f>ABS(Table4[[#This Row],[EndMP]]-Table4[[#This Row],[StartMP]])</f>
        <v>0.93100000000000005</v>
      </c>
      <c r="P2603" s="1" t="str">
        <f>IF( AND( Table4[[#This Row],[Route]]=ClosureLocation!$B$3, ClosureLocation!$B$6 &gt;= Table4[[#This Row],[StartMP]], ClosureLocation!$B$6 &lt;= Table4[[#This Row],[EndMP]]), "Yes", "")</f>
        <v/>
      </c>
      <c r="Q2603" s="1" t="str">
        <f>IF( AND( Table4[[#This Row],[Route]]=ClosureLocation!$B$3, ClosureLocation!$B$6 &lt;= Table4[[#This Row],[StartMP]], ClosureLocation!$B$6 &gt;= Table4[[#This Row],[EndMP]]), "Yes", "")</f>
        <v/>
      </c>
      <c r="R2603" s="1" t="str">
        <f>IF( OR( Table4[[#This Row],[PrimaryMatch]]="Yes", Table4[[#This Row],[SecondaryMatch]]="Yes"), "Yes", "")</f>
        <v/>
      </c>
    </row>
    <row r="2604" spans="1:18" hidden="1" x14ac:dyDescent="0.25">
      <c r="A2604" t="s">
        <v>630</v>
      </c>
      <c r="B2604" t="s">
        <v>3205</v>
      </c>
      <c r="C2604" t="s">
        <v>3222</v>
      </c>
      <c r="D2604" t="s">
        <v>4770</v>
      </c>
      <c r="E2604" s="1">
        <v>0.93100000000000005</v>
      </c>
      <c r="F2604" s="1">
        <v>1.5389999999999999</v>
      </c>
      <c r="K2604" s="39">
        <f>DefaultValues!$B$3</f>
        <v>0</v>
      </c>
      <c r="L2604" s="1">
        <f>DefaultValues!$C$3</f>
        <v>0</v>
      </c>
      <c r="M2604" s="1" t="s">
        <v>4773</v>
      </c>
      <c r="N2604" s="1">
        <v>0.93100000000000005</v>
      </c>
      <c r="O2604" s="1">
        <f>ABS(Table4[[#This Row],[EndMP]]-Table4[[#This Row],[StartMP]])</f>
        <v>0.60799999999999987</v>
      </c>
      <c r="P2604" s="1" t="str">
        <f>IF( AND( Table4[[#This Row],[Route]]=ClosureLocation!$B$3, ClosureLocation!$B$6 &gt;= Table4[[#This Row],[StartMP]], ClosureLocation!$B$6 &lt;= Table4[[#This Row],[EndMP]]), "Yes", "")</f>
        <v/>
      </c>
      <c r="Q2604" s="1" t="str">
        <f>IF( AND( Table4[[#This Row],[Route]]=ClosureLocation!$B$3, ClosureLocation!$B$6 &lt;= Table4[[#This Row],[StartMP]], ClosureLocation!$B$6 &gt;= Table4[[#This Row],[EndMP]]), "Yes", "")</f>
        <v/>
      </c>
      <c r="R2604" s="1" t="str">
        <f>IF( OR( Table4[[#This Row],[PrimaryMatch]]="Yes", Table4[[#This Row],[SecondaryMatch]]="Yes"), "Yes", "")</f>
        <v/>
      </c>
    </row>
    <row r="2605" spans="1:18" hidden="1" x14ac:dyDescent="0.25">
      <c r="A2605" t="s">
        <v>630</v>
      </c>
      <c r="B2605" t="s">
        <v>3209</v>
      </c>
      <c r="C2605" t="s">
        <v>3226</v>
      </c>
      <c r="D2605" t="s">
        <v>4771</v>
      </c>
      <c r="E2605" s="1">
        <v>1.5389999999999999</v>
      </c>
      <c r="F2605" s="1">
        <v>0.93100000000000005</v>
      </c>
      <c r="K2605" s="39">
        <f>DefaultValues!$B$3</f>
        <v>0</v>
      </c>
      <c r="L2605" s="1">
        <f>DefaultValues!$C$3</f>
        <v>0</v>
      </c>
      <c r="M2605" s="1" t="s">
        <v>4772</v>
      </c>
      <c r="N2605" s="1">
        <f>1000 - 1.539</f>
        <v>998.46100000000001</v>
      </c>
      <c r="O2605" s="1">
        <f>ABS(Table4[[#This Row],[EndMP]]-Table4[[#This Row],[StartMP]])</f>
        <v>0.60799999999999987</v>
      </c>
      <c r="P2605" s="1" t="str">
        <f>IF( AND( Table4[[#This Row],[Route]]=ClosureLocation!$B$3, ClosureLocation!$B$6 &gt;= Table4[[#This Row],[StartMP]], ClosureLocation!$B$6 &lt;= Table4[[#This Row],[EndMP]]), "Yes", "")</f>
        <v/>
      </c>
      <c r="Q2605" s="1" t="str">
        <f>IF( AND( Table4[[#This Row],[Route]]=ClosureLocation!$B$3, ClosureLocation!$B$6 &lt;= Table4[[#This Row],[StartMP]], ClosureLocation!$B$6 &gt;= Table4[[#This Row],[EndMP]]), "Yes", "")</f>
        <v/>
      </c>
      <c r="R2605" s="1" t="str">
        <f>IF( OR( Table4[[#This Row],[PrimaryMatch]]="Yes", Table4[[#This Row],[SecondaryMatch]]="Yes"), "Yes", "")</f>
        <v/>
      </c>
    </row>
    <row r="2606" spans="1:18" hidden="1" x14ac:dyDescent="0.25">
      <c r="A2606" t="s">
        <v>630</v>
      </c>
      <c r="B2606" t="s">
        <v>3209</v>
      </c>
      <c r="C2606" t="s">
        <v>3226</v>
      </c>
      <c r="D2606" t="s">
        <v>4771</v>
      </c>
      <c r="E2606" s="1">
        <v>0.93100000000000005</v>
      </c>
      <c r="F2606" s="1">
        <v>0</v>
      </c>
      <c r="K2606" s="39">
        <f>DefaultValues!$B$3</f>
        <v>0</v>
      </c>
      <c r="L2606" s="1">
        <f>DefaultValues!$C$3</f>
        <v>0</v>
      </c>
      <c r="M2606" s="1" t="s">
        <v>4773</v>
      </c>
      <c r="N2606" s="1">
        <f>1000 - 0.931</f>
        <v>999.06899999999996</v>
      </c>
      <c r="O2606" s="1">
        <f>ABS(Table4[[#This Row],[EndMP]]-Table4[[#This Row],[StartMP]])</f>
        <v>0.93100000000000005</v>
      </c>
      <c r="P2606" s="1" t="str">
        <f>IF( AND( Table4[[#This Row],[Route]]=ClosureLocation!$B$3, ClosureLocation!$B$6 &gt;= Table4[[#This Row],[StartMP]], ClosureLocation!$B$6 &lt;= Table4[[#This Row],[EndMP]]), "Yes", "")</f>
        <v/>
      </c>
      <c r="Q2606" s="1" t="str">
        <f>IF( AND( Table4[[#This Row],[Route]]=ClosureLocation!$B$3, ClosureLocation!$B$6 &lt;= Table4[[#This Row],[StartMP]], ClosureLocation!$B$6 &gt;= Table4[[#This Row],[EndMP]]), "Yes", "")</f>
        <v/>
      </c>
      <c r="R2606" s="1" t="str">
        <f>IF( OR( Table4[[#This Row],[PrimaryMatch]]="Yes", Table4[[#This Row],[SecondaryMatch]]="Yes"), "Yes", "")</f>
        <v/>
      </c>
    </row>
    <row r="2607" spans="1:18" hidden="1" x14ac:dyDescent="0.25">
      <c r="A2607" t="s">
        <v>697</v>
      </c>
      <c r="B2607" t="s">
        <v>3205</v>
      </c>
      <c r="C2607" t="s">
        <v>3206</v>
      </c>
      <c r="D2607" t="s">
        <v>4658</v>
      </c>
      <c r="E2607" s="1">
        <v>0</v>
      </c>
      <c r="F2607" s="1">
        <v>1.663</v>
      </c>
      <c r="K2607" s="39">
        <f>DefaultValues!$B$3</f>
        <v>0</v>
      </c>
      <c r="L2607" s="1">
        <f>DefaultValues!$C$3</f>
        <v>0</v>
      </c>
      <c r="M2607" s="1" t="s">
        <v>4774</v>
      </c>
      <c r="N2607" s="1">
        <v>0</v>
      </c>
      <c r="O2607" s="1">
        <f>ABS(Table4[[#This Row],[EndMP]]-Table4[[#This Row],[StartMP]])</f>
        <v>1.663</v>
      </c>
      <c r="P2607" s="1" t="str">
        <f>IF( AND( Table4[[#This Row],[Route]]=ClosureLocation!$B$3, ClosureLocation!$B$6 &gt;= Table4[[#This Row],[StartMP]], ClosureLocation!$B$6 &lt;= Table4[[#This Row],[EndMP]]), "Yes", "")</f>
        <v/>
      </c>
      <c r="Q2607" s="1" t="str">
        <f>IF( AND( Table4[[#This Row],[Route]]=ClosureLocation!$B$3, ClosureLocation!$B$6 &lt;= Table4[[#This Row],[StartMP]], ClosureLocation!$B$6 &gt;= Table4[[#This Row],[EndMP]]), "Yes", "")</f>
        <v/>
      </c>
      <c r="R2607" s="1" t="str">
        <f>IF( OR( Table4[[#This Row],[PrimaryMatch]]="Yes", Table4[[#This Row],[SecondaryMatch]]="Yes"), "Yes", "")</f>
        <v/>
      </c>
    </row>
    <row r="2608" spans="1:18" hidden="1" x14ac:dyDescent="0.25">
      <c r="A2608" t="s">
        <v>697</v>
      </c>
      <c r="B2608" t="s">
        <v>3209</v>
      </c>
      <c r="C2608" t="s">
        <v>3210</v>
      </c>
      <c r="D2608" t="s">
        <v>4659</v>
      </c>
      <c r="E2608" s="1">
        <v>1.663</v>
      </c>
      <c r="F2608" s="1">
        <v>0</v>
      </c>
      <c r="K2608" s="39">
        <f>DefaultValues!$B$3</f>
        <v>0</v>
      </c>
      <c r="L2608" s="1">
        <f>DefaultValues!$C$3</f>
        <v>0</v>
      </c>
      <c r="M2608" s="1" t="s">
        <v>4775</v>
      </c>
      <c r="N2608" s="1">
        <f>1000 - 1.663</f>
        <v>998.33699999999999</v>
      </c>
      <c r="O2608" s="1">
        <f>ABS(Table4[[#This Row],[EndMP]]-Table4[[#This Row],[StartMP]])</f>
        <v>1.663</v>
      </c>
      <c r="P2608" s="1" t="str">
        <f>IF( AND( Table4[[#This Row],[Route]]=ClosureLocation!$B$3, ClosureLocation!$B$6 &gt;= Table4[[#This Row],[StartMP]], ClosureLocation!$B$6 &lt;= Table4[[#This Row],[EndMP]]), "Yes", "")</f>
        <v/>
      </c>
      <c r="Q2608" s="1" t="str">
        <f>IF( AND( Table4[[#This Row],[Route]]=ClosureLocation!$B$3, ClosureLocation!$B$6 &lt;= Table4[[#This Row],[StartMP]], ClosureLocation!$B$6 &gt;= Table4[[#This Row],[EndMP]]), "Yes", "")</f>
        <v/>
      </c>
      <c r="R2608" s="1" t="str">
        <f>IF( OR( Table4[[#This Row],[PrimaryMatch]]="Yes", Table4[[#This Row],[SecondaryMatch]]="Yes"), "Yes", "")</f>
        <v/>
      </c>
    </row>
    <row r="2609" spans="1:18" hidden="1" x14ac:dyDescent="0.25">
      <c r="A2609" t="s">
        <v>725</v>
      </c>
      <c r="B2609" t="s">
        <v>3205</v>
      </c>
      <c r="C2609" t="s">
        <v>3206</v>
      </c>
      <c r="D2609" t="s">
        <v>4776</v>
      </c>
      <c r="E2609" s="1">
        <v>0</v>
      </c>
      <c r="F2609" s="1">
        <v>40.993000000000002</v>
      </c>
      <c r="K2609" s="39">
        <f>DefaultValues!$B$3</f>
        <v>0</v>
      </c>
      <c r="L2609" s="1">
        <f>DefaultValues!$C$3</f>
        <v>0</v>
      </c>
      <c r="M2609" s="1" t="s">
        <v>4778</v>
      </c>
      <c r="N2609" s="1">
        <v>0</v>
      </c>
      <c r="O2609" s="1">
        <f>ABS(Table4[[#This Row],[EndMP]]-Table4[[#This Row],[StartMP]])</f>
        <v>40.993000000000002</v>
      </c>
      <c r="P2609" s="1" t="str">
        <f>IF( AND( Table4[[#This Row],[Route]]=ClosureLocation!$B$3, ClosureLocation!$B$6 &gt;= Table4[[#This Row],[StartMP]], ClosureLocation!$B$6 &lt;= Table4[[#This Row],[EndMP]]), "Yes", "")</f>
        <v/>
      </c>
      <c r="Q2609" s="1" t="str">
        <f>IF( AND( Table4[[#This Row],[Route]]=ClosureLocation!$B$3, ClosureLocation!$B$6 &lt;= Table4[[#This Row],[StartMP]], ClosureLocation!$B$6 &gt;= Table4[[#This Row],[EndMP]]), "Yes", "")</f>
        <v/>
      </c>
      <c r="R2609" s="1" t="str">
        <f>IF( OR( Table4[[#This Row],[PrimaryMatch]]="Yes", Table4[[#This Row],[SecondaryMatch]]="Yes"), "Yes", "")</f>
        <v/>
      </c>
    </row>
    <row r="2610" spans="1:18" hidden="1" x14ac:dyDescent="0.25">
      <c r="A2610" t="s">
        <v>725</v>
      </c>
      <c r="B2610" t="s">
        <v>3209</v>
      </c>
      <c r="C2610" t="s">
        <v>3210</v>
      </c>
      <c r="D2610" t="s">
        <v>4777</v>
      </c>
      <c r="E2610" s="1">
        <v>40.993000000000002</v>
      </c>
      <c r="F2610" s="1">
        <v>0</v>
      </c>
      <c r="K2610" s="39">
        <f>DefaultValues!$B$3</f>
        <v>0</v>
      </c>
      <c r="L2610" s="1">
        <f>DefaultValues!$C$3</f>
        <v>0</v>
      </c>
      <c r="M2610" s="1" t="s">
        <v>4779</v>
      </c>
      <c r="N2610" s="1">
        <f>1000 - 40.993</f>
        <v>959.00699999999995</v>
      </c>
      <c r="O2610" s="1">
        <f>ABS(Table4[[#This Row],[EndMP]]-Table4[[#This Row],[StartMP]])</f>
        <v>40.993000000000002</v>
      </c>
      <c r="P2610" s="1" t="str">
        <f>IF( AND( Table4[[#This Row],[Route]]=ClosureLocation!$B$3, ClosureLocation!$B$6 &gt;= Table4[[#This Row],[StartMP]], ClosureLocation!$B$6 &lt;= Table4[[#This Row],[EndMP]]), "Yes", "")</f>
        <v/>
      </c>
      <c r="Q2610" s="1" t="str">
        <f>IF( AND( Table4[[#This Row],[Route]]=ClosureLocation!$B$3, ClosureLocation!$B$6 &lt;= Table4[[#This Row],[StartMP]], ClosureLocation!$B$6 &gt;= Table4[[#This Row],[EndMP]]), "Yes", "")</f>
        <v/>
      </c>
      <c r="R2610" s="1" t="str">
        <f>IF( OR( Table4[[#This Row],[PrimaryMatch]]="Yes", Table4[[#This Row],[SecondaryMatch]]="Yes"), "Yes", "")</f>
        <v/>
      </c>
    </row>
    <row r="2611" spans="1:18" hidden="1" x14ac:dyDescent="0.25">
      <c r="A2611" t="s">
        <v>910</v>
      </c>
      <c r="B2611" t="s">
        <v>3205</v>
      </c>
      <c r="C2611" t="s">
        <v>3222</v>
      </c>
      <c r="D2611" t="s">
        <v>4670</v>
      </c>
      <c r="E2611" s="1">
        <v>0.374</v>
      </c>
      <c r="F2611" s="1">
        <v>18.11</v>
      </c>
      <c r="K2611" s="39">
        <f>DefaultValues!$B$3</f>
        <v>0</v>
      </c>
      <c r="L2611" s="1">
        <f>DefaultValues!$C$3</f>
        <v>0</v>
      </c>
      <c r="M2611" s="1" t="s">
        <v>4781</v>
      </c>
      <c r="N2611" s="1">
        <v>0.374</v>
      </c>
      <c r="O2611" s="1">
        <f>ABS(Table4[[#This Row],[EndMP]]-Table4[[#This Row],[StartMP]])</f>
        <v>17.736000000000001</v>
      </c>
      <c r="P2611" s="1" t="str">
        <f>IF( AND( Table4[[#This Row],[Route]]=ClosureLocation!$B$3, ClosureLocation!$B$6 &gt;= Table4[[#This Row],[StartMP]], ClosureLocation!$B$6 &lt;= Table4[[#This Row],[EndMP]]), "Yes", "")</f>
        <v/>
      </c>
      <c r="Q2611" s="1" t="str">
        <f>IF( AND( Table4[[#This Row],[Route]]=ClosureLocation!$B$3, ClosureLocation!$B$6 &lt;= Table4[[#This Row],[StartMP]], ClosureLocation!$B$6 &gt;= Table4[[#This Row],[EndMP]]), "Yes", "")</f>
        <v/>
      </c>
      <c r="R2611" s="1" t="str">
        <f>IF( OR( Table4[[#This Row],[PrimaryMatch]]="Yes", Table4[[#This Row],[SecondaryMatch]]="Yes"), "Yes", "")</f>
        <v/>
      </c>
    </row>
    <row r="2612" spans="1:18" hidden="1" x14ac:dyDescent="0.25">
      <c r="A2612" t="s">
        <v>910</v>
      </c>
      <c r="B2612" t="s">
        <v>3209</v>
      </c>
      <c r="C2612" t="s">
        <v>3226</v>
      </c>
      <c r="D2612" t="s">
        <v>4780</v>
      </c>
      <c r="E2612" s="1">
        <v>18.11</v>
      </c>
      <c r="F2612" s="1">
        <v>0.374</v>
      </c>
      <c r="K2612" s="39">
        <f>DefaultValues!$B$3</f>
        <v>0</v>
      </c>
      <c r="L2612" s="1">
        <f>DefaultValues!$C$3</f>
        <v>0</v>
      </c>
      <c r="M2612" s="1" t="s">
        <v>4782</v>
      </c>
      <c r="N2612" s="1">
        <f>1000 - 18.11</f>
        <v>981.89</v>
      </c>
      <c r="O2612" s="1">
        <f>ABS(Table4[[#This Row],[EndMP]]-Table4[[#This Row],[StartMP]])</f>
        <v>17.736000000000001</v>
      </c>
      <c r="P2612" s="1" t="str">
        <f>IF( AND( Table4[[#This Row],[Route]]=ClosureLocation!$B$3, ClosureLocation!$B$6 &gt;= Table4[[#This Row],[StartMP]], ClosureLocation!$B$6 &lt;= Table4[[#This Row],[EndMP]]), "Yes", "")</f>
        <v/>
      </c>
      <c r="Q2612" s="1" t="str">
        <f>IF( AND( Table4[[#This Row],[Route]]=ClosureLocation!$B$3, ClosureLocation!$B$6 &lt;= Table4[[#This Row],[StartMP]], ClosureLocation!$B$6 &gt;= Table4[[#This Row],[EndMP]]), "Yes", "")</f>
        <v/>
      </c>
      <c r="R2612" s="1" t="str">
        <f>IF( OR( Table4[[#This Row],[PrimaryMatch]]="Yes", Table4[[#This Row],[SecondaryMatch]]="Yes"), "Yes", "")</f>
        <v/>
      </c>
    </row>
    <row r="2613" spans="1:18" hidden="1" x14ac:dyDescent="0.25">
      <c r="A2613" t="s">
        <v>976</v>
      </c>
      <c r="B2613" t="s">
        <v>3205</v>
      </c>
      <c r="C2613" t="s">
        <v>3206</v>
      </c>
      <c r="D2613" t="s">
        <v>4673</v>
      </c>
      <c r="E2613" s="1">
        <v>127.651</v>
      </c>
      <c r="F2613" s="1">
        <v>131.56100000000001</v>
      </c>
      <c r="K2613" s="39">
        <f>DefaultValues!$B$3</f>
        <v>0</v>
      </c>
      <c r="L2613" s="1">
        <f>DefaultValues!$C$3</f>
        <v>0</v>
      </c>
      <c r="M2613" s="1" t="s">
        <v>4783</v>
      </c>
      <c r="N2613" s="1">
        <v>127.651</v>
      </c>
      <c r="O2613" s="1">
        <f>ABS(Table4[[#This Row],[EndMP]]-Table4[[#This Row],[StartMP]])</f>
        <v>3.9100000000000108</v>
      </c>
      <c r="P2613" s="1" t="str">
        <f>IF( AND( Table4[[#This Row],[Route]]=ClosureLocation!$B$3, ClosureLocation!$B$6 &gt;= Table4[[#This Row],[StartMP]], ClosureLocation!$B$6 &lt;= Table4[[#This Row],[EndMP]]), "Yes", "")</f>
        <v/>
      </c>
      <c r="Q2613" s="1" t="str">
        <f>IF( AND( Table4[[#This Row],[Route]]=ClosureLocation!$B$3, ClosureLocation!$B$6 &lt;= Table4[[#This Row],[StartMP]], ClosureLocation!$B$6 &gt;= Table4[[#This Row],[EndMP]]), "Yes", "")</f>
        <v/>
      </c>
      <c r="R2613" s="1" t="str">
        <f>IF( OR( Table4[[#This Row],[PrimaryMatch]]="Yes", Table4[[#This Row],[SecondaryMatch]]="Yes"), "Yes", "")</f>
        <v/>
      </c>
    </row>
    <row r="2614" spans="1:18" hidden="1" x14ac:dyDescent="0.25">
      <c r="A2614" t="s">
        <v>976</v>
      </c>
      <c r="B2614" t="s">
        <v>3209</v>
      </c>
      <c r="C2614" t="s">
        <v>3210</v>
      </c>
      <c r="D2614" t="s">
        <v>4674</v>
      </c>
      <c r="E2614" s="1">
        <v>131.56100000000001</v>
      </c>
      <c r="F2614" s="1">
        <v>127.651</v>
      </c>
      <c r="K2614" s="39">
        <f>DefaultValues!$B$3</f>
        <v>0</v>
      </c>
      <c r="L2614" s="1">
        <f>DefaultValues!$C$3</f>
        <v>0</v>
      </c>
      <c r="M2614" s="1" t="s">
        <v>4784</v>
      </c>
      <c r="N2614" s="1">
        <f>1000 - 131.561</f>
        <v>868.43899999999996</v>
      </c>
      <c r="O2614" s="1">
        <f>ABS(Table4[[#This Row],[EndMP]]-Table4[[#This Row],[StartMP]])</f>
        <v>3.9100000000000108</v>
      </c>
      <c r="P2614" s="1" t="str">
        <f>IF( AND( Table4[[#This Row],[Route]]=ClosureLocation!$B$3, ClosureLocation!$B$6 &gt;= Table4[[#This Row],[StartMP]], ClosureLocation!$B$6 &lt;= Table4[[#This Row],[EndMP]]), "Yes", "")</f>
        <v/>
      </c>
      <c r="Q2614" s="1" t="str">
        <f>IF( AND( Table4[[#This Row],[Route]]=ClosureLocation!$B$3, ClosureLocation!$B$6 &lt;= Table4[[#This Row],[StartMP]], ClosureLocation!$B$6 &gt;= Table4[[#This Row],[EndMP]]), "Yes", "")</f>
        <v/>
      </c>
      <c r="R2614" s="1" t="str">
        <f>IF( OR( Table4[[#This Row],[PrimaryMatch]]="Yes", Table4[[#This Row],[SecondaryMatch]]="Yes"), "Yes", "")</f>
        <v/>
      </c>
    </row>
    <row r="2615" spans="1:18" hidden="1" x14ac:dyDescent="0.25">
      <c r="A2615" t="s">
        <v>1004</v>
      </c>
      <c r="B2615" t="s">
        <v>3205</v>
      </c>
      <c r="C2615" t="s">
        <v>3206</v>
      </c>
      <c r="D2615" t="s">
        <v>4785</v>
      </c>
      <c r="E2615" s="1">
        <v>0</v>
      </c>
      <c r="F2615" s="1">
        <v>1.238</v>
      </c>
      <c r="K2615" s="39">
        <f>DefaultValues!$B$3</f>
        <v>0</v>
      </c>
      <c r="L2615" s="1">
        <f>DefaultValues!$C$3</f>
        <v>0</v>
      </c>
      <c r="M2615" s="1" t="s">
        <v>4788</v>
      </c>
      <c r="N2615" s="1">
        <v>0</v>
      </c>
      <c r="O2615" s="1">
        <f>ABS(Table4[[#This Row],[EndMP]]-Table4[[#This Row],[StartMP]])</f>
        <v>1.238</v>
      </c>
      <c r="P2615" s="1" t="str">
        <f>IF( AND( Table4[[#This Row],[Route]]=ClosureLocation!$B$3, ClosureLocation!$B$6 &gt;= Table4[[#This Row],[StartMP]], ClosureLocation!$B$6 &lt;= Table4[[#This Row],[EndMP]]), "Yes", "")</f>
        <v/>
      </c>
      <c r="Q2615" s="1" t="str">
        <f>IF( AND( Table4[[#This Row],[Route]]=ClosureLocation!$B$3, ClosureLocation!$B$6 &lt;= Table4[[#This Row],[StartMP]], ClosureLocation!$B$6 &gt;= Table4[[#This Row],[EndMP]]), "Yes", "")</f>
        <v/>
      </c>
      <c r="R2615" s="1" t="str">
        <f>IF( OR( Table4[[#This Row],[PrimaryMatch]]="Yes", Table4[[#This Row],[SecondaryMatch]]="Yes"), "Yes", "")</f>
        <v/>
      </c>
    </row>
    <row r="2616" spans="1:18" hidden="1" x14ac:dyDescent="0.25">
      <c r="A2616" t="s">
        <v>1004</v>
      </c>
      <c r="B2616" t="s">
        <v>3205</v>
      </c>
      <c r="C2616" t="s">
        <v>3206</v>
      </c>
      <c r="D2616" t="s">
        <v>4785</v>
      </c>
      <c r="E2616" s="1">
        <v>1.238</v>
      </c>
      <c r="F2616" s="1">
        <v>2.69</v>
      </c>
      <c r="K2616" s="39">
        <f>DefaultValues!$B$3</f>
        <v>0</v>
      </c>
      <c r="L2616" s="1">
        <f>DefaultValues!$C$3</f>
        <v>0</v>
      </c>
      <c r="M2616" s="1" t="s">
        <v>4789</v>
      </c>
      <c r="N2616" s="1">
        <v>1.238</v>
      </c>
      <c r="O2616" s="1">
        <f>ABS(Table4[[#This Row],[EndMP]]-Table4[[#This Row],[StartMP]])</f>
        <v>1.452</v>
      </c>
      <c r="P2616" s="1" t="str">
        <f>IF( AND( Table4[[#This Row],[Route]]=ClosureLocation!$B$3, ClosureLocation!$B$6 &gt;= Table4[[#This Row],[StartMP]], ClosureLocation!$B$6 &lt;= Table4[[#This Row],[EndMP]]), "Yes", "")</f>
        <v/>
      </c>
      <c r="Q2616" s="1" t="str">
        <f>IF( AND( Table4[[#This Row],[Route]]=ClosureLocation!$B$3, ClosureLocation!$B$6 &lt;= Table4[[#This Row],[StartMP]], ClosureLocation!$B$6 &gt;= Table4[[#This Row],[EndMP]]), "Yes", "")</f>
        <v/>
      </c>
      <c r="R2616" s="1" t="str">
        <f>IF( OR( Table4[[#This Row],[PrimaryMatch]]="Yes", Table4[[#This Row],[SecondaryMatch]]="Yes"), "Yes", "")</f>
        <v/>
      </c>
    </row>
    <row r="2617" spans="1:18" hidden="1" x14ac:dyDescent="0.25">
      <c r="A2617" t="s">
        <v>1004</v>
      </c>
      <c r="B2617" t="s">
        <v>3209</v>
      </c>
      <c r="C2617" t="s">
        <v>3210</v>
      </c>
      <c r="D2617" t="s">
        <v>4786</v>
      </c>
      <c r="E2617" s="1">
        <v>2.69</v>
      </c>
      <c r="F2617" s="1">
        <v>1.238</v>
      </c>
      <c r="K2617" s="39">
        <f>DefaultValues!$B$3</f>
        <v>0</v>
      </c>
      <c r="L2617" s="1">
        <f>DefaultValues!$C$3</f>
        <v>0</v>
      </c>
      <c r="M2617" s="1" t="s">
        <v>4790</v>
      </c>
      <c r="N2617" s="1">
        <f xml:space="preserve"> 1000 - 2.69</f>
        <v>997.31</v>
      </c>
      <c r="O2617" s="1">
        <f>ABS(Table4[[#This Row],[EndMP]]-Table4[[#This Row],[StartMP]])</f>
        <v>1.452</v>
      </c>
      <c r="P2617" s="1" t="str">
        <f>IF( AND( Table4[[#This Row],[Route]]=ClosureLocation!$B$3, ClosureLocation!$B$6 &gt;= Table4[[#This Row],[StartMP]], ClosureLocation!$B$6 &lt;= Table4[[#This Row],[EndMP]]), "Yes", "")</f>
        <v/>
      </c>
      <c r="Q2617" s="1" t="str">
        <f>IF( AND( Table4[[#This Row],[Route]]=ClosureLocation!$B$3, ClosureLocation!$B$6 &lt;= Table4[[#This Row],[StartMP]], ClosureLocation!$B$6 &gt;= Table4[[#This Row],[EndMP]]), "Yes", "")</f>
        <v/>
      </c>
      <c r="R2617" s="1" t="str">
        <f>IF( OR( Table4[[#This Row],[PrimaryMatch]]="Yes", Table4[[#This Row],[SecondaryMatch]]="Yes"), "Yes", "")</f>
        <v/>
      </c>
    </row>
    <row r="2618" spans="1:18" hidden="1" x14ac:dyDescent="0.25">
      <c r="A2618" t="s">
        <v>1004</v>
      </c>
      <c r="B2618" t="s">
        <v>3209</v>
      </c>
      <c r="C2618" t="s">
        <v>3210</v>
      </c>
      <c r="D2618" t="s">
        <v>4786</v>
      </c>
      <c r="E2618" s="1">
        <v>1.238</v>
      </c>
      <c r="F2618" s="1">
        <v>0</v>
      </c>
      <c r="K2618" s="39">
        <f>DefaultValues!$B$3</f>
        <v>0</v>
      </c>
      <c r="L2618" s="1">
        <f>DefaultValues!$C$3</f>
        <v>0</v>
      </c>
      <c r="M2618" s="1" t="s">
        <v>4787</v>
      </c>
      <c r="N2618" s="1">
        <f>1000 - 1.238</f>
        <v>998.76199999999994</v>
      </c>
      <c r="O2618" s="1">
        <f>ABS(Table4[[#This Row],[EndMP]]-Table4[[#This Row],[StartMP]])</f>
        <v>1.238</v>
      </c>
      <c r="P2618" s="1" t="str">
        <f>IF( AND( Table4[[#This Row],[Route]]=ClosureLocation!$B$3, ClosureLocation!$B$6 &gt;= Table4[[#This Row],[StartMP]], ClosureLocation!$B$6 &lt;= Table4[[#This Row],[EndMP]]), "Yes", "")</f>
        <v/>
      </c>
      <c r="Q2618" s="1" t="str">
        <f>IF( AND( Table4[[#This Row],[Route]]=ClosureLocation!$B$3, ClosureLocation!$B$6 &lt;= Table4[[#This Row],[StartMP]], ClosureLocation!$B$6 &gt;= Table4[[#This Row],[EndMP]]), "Yes", "")</f>
        <v/>
      </c>
      <c r="R2618" s="1" t="str">
        <f>IF( OR( Table4[[#This Row],[PrimaryMatch]]="Yes", Table4[[#This Row],[SecondaryMatch]]="Yes"), "Yes", "")</f>
        <v/>
      </c>
    </row>
    <row r="2619" spans="1:18" hidden="1" x14ac:dyDescent="0.25">
      <c r="A2619" t="s">
        <v>1025</v>
      </c>
      <c r="B2619" t="s">
        <v>3209</v>
      </c>
      <c r="C2619" t="s">
        <v>3226</v>
      </c>
      <c r="D2619" t="s">
        <v>3923</v>
      </c>
      <c r="E2619" s="1">
        <v>8.7110000000000003</v>
      </c>
      <c r="F2619" s="1">
        <v>6.0119999999999996</v>
      </c>
      <c r="K2619" s="39">
        <f>DefaultValues!$B$3</f>
        <v>0</v>
      </c>
      <c r="L2619" s="1">
        <f>DefaultValues!$C$3</f>
        <v>0</v>
      </c>
      <c r="M2619" s="1" t="s">
        <v>4793</v>
      </c>
      <c r="N2619" s="1">
        <f>1000 - 8.711</f>
        <v>991.28899999999999</v>
      </c>
      <c r="O2619" s="1">
        <f>ABS(Table4[[#This Row],[EndMP]]-Table4[[#This Row],[StartMP]])</f>
        <v>2.6990000000000007</v>
      </c>
      <c r="P2619" s="1" t="str">
        <f>IF( AND( Table4[[#This Row],[Route]]=ClosureLocation!$B$3, ClosureLocation!$B$6 &gt;= Table4[[#This Row],[StartMP]], ClosureLocation!$B$6 &lt;= Table4[[#This Row],[EndMP]]), "Yes", "")</f>
        <v/>
      </c>
      <c r="Q2619" s="1" t="str">
        <f>IF( AND( Table4[[#This Row],[Route]]=ClosureLocation!$B$3, ClosureLocation!$B$6 &lt;= Table4[[#This Row],[StartMP]], ClosureLocation!$B$6 &gt;= Table4[[#This Row],[EndMP]]), "Yes", "")</f>
        <v/>
      </c>
      <c r="R2619" s="1" t="str">
        <f>IF( OR( Table4[[#This Row],[PrimaryMatch]]="Yes", Table4[[#This Row],[SecondaryMatch]]="Yes"), "Yes", "")</f>
        <v/>
      </c>
    </row>
    <row r="2620" spans="1:18" hidden="1" x14ac:dyDescent="0.25">
      <c r="A2620" t="s">
        <v>1136</v>
      </c>
      <c r="B2620" t="s">
        <v>3205</v>
      </c>
      <c r="C2620" t="s">
        <v>3222</v>
      </c>
      <c r="D2620" t="s">
        <v>4794</v>
      </c>
      <c r="E2620" s="1">
        <v>0</v>
      </c>
      <c r="F2620" s="1">
        <v>61.697000000000003</v>
      </c>
      <c r="K2620" s="39">
        <f>DefaultValues!$B$3</f>
        <v>0</v>
      </c>
      <c r="L2620" s="1">
        <f>DefaultValues!$C$3</f>
        <v>0</v>
      </c>
      <c r="M2620" s="1" t="s">
        <v>4796</v>
      </c>
      <c r="N2620" s="1">
        <v>0</v>
      </c>
      <c r="O2620" s="1">
        <f>ABS(Table4[[#This Row],[EndMP]]-Table4[[#This Row],[StartMP]])</f>
        <v>61.697000000000003</v>
      </c>
      <c r="P2620" s="1" t="str">
        <f>IF( AND( Table4[[#This Row],[Route]]=ClosureLocation!$B$3, ClosureLocation!$B$6 &gt;= Table4[[#This Row],[StartMP]], ClosureLocation!$B$6 &lt;= Table4[[#This Row],[EndMP]]), "Yes", "")</f>
        <v/>
      </c>
      <c r="Q2620" s="1" t="str">
        <f>IF( AND( Table4[[#This Row],[Route]]=ClosureLocation!$B$3, ClosureLocation!$B$6 &lt;= Table4[[#This Row],[StartMP]], ClosureLocation!$B$6 &gt;= Table4[[#This Row],[EndMP]]), "Yes", "")</f>
        <v/>
      </c>
      <c r="R2620" s="1" t="str">
        <f>IF( OR( Table4[[#This Row],[PrimaryMatch]]="Yes", Table4[[#This Row],[SecondaryMatch]]="Yes"), "Yes", "")</f>
        <v/>
      </c>
    </row>
    <row r="2621" spans="1:18" hidden="1" x14ac:dyDescent="0.25">
      <c r="A2621" t="s">
        <v>1136</v>
      </c>
      <c r="B2621" t="s">
        <v>3209</v>
      </c>
      <c r="C2621" t="s">
        <v>3226</v>
      </c>
      <c r="D2621" t="s">
        <v>4795</v>
      </c>
      <c r="E2621" s="1">
        <v>61.697000000000003</v>
      </c>
      <c r="F2621" s="1">
        <v>0</v>
      </c>
      <c r="K2621" s="39">
        <f>DefaultValues!$B$3</f>
        <v>0</v>
      </c>
      <c r="L2621" s="1">
        <f>DefaultValues!$C$3</f>
        <v>0</v>
      </c>
      <c r="M2621" s="1" t="s">
        <v>4797</v>
      </c>
      <c r="N2621" s="1">
        <f>1000 - 61.697</f>
        <v>938.303</v>
      </c>
      <c r="O2621" s="1">
        <f>ABS(Table4[[#This Row],[EndMP]]-Table4[[#This Row],[StartMP]])</f>
        <v>61.697000000000003</v>
      </c>
      <c r="P2621" s="1" t="str">
        <f>IF( AND( Table4[[#This Row],[Route]]=ClosureLocation!$B$3, ClosureLocation!$B$6 &gt;= Table4[[#This Row],[StartMP]], ClosureLocation!$B$6 &lt;= Table4[[#This Row],[EndMP]]), "Yes", "")</f>
        <v/>
      </c>
      <c r="Q2621" s="1" t="str">
        <f>IF( AND( Table4[[#This Row],[Route]]=ClosureLocation!$B$3, ClosureLocation!$B$6 &lt;= Table4[[#This Row],[StartMP]], ClosureLocation!$B$6 &gt;= Table4[[#This Row],[EndMP]]), "Yes", "")</f>
        <v/>
      </c>
      <c r="R2621" s="1" t="str">
        <f>IF( OR( Table4[[#This Row],[PrimaryMatch]]="Yes", Table4[[#This Row],[SecondaryMatch]]="Yes"), "Yes", "")</f>
        <v/>
      </c>
    </row>
    <row r="2622" spans="1:18" hidden="1" x14ac:dyDescent="0.25">
      <c r="A2622" t="s">
        <v>1140</v>
      </c>
      <c r="B2622" t="s">
        <v>3205</v>
      </c>
      <c r="C2622" t="s">
        <v>3206</v>
      </c>
      <c r="D2622" t="s">
        <v>4008</v>
      </c>
      <c r="E2622" s="1">
        <v>0</v>
      </c>
      <c r="F2622" s="1">
        <v>8.6940000000000008</v>
      </c>
      <c r="K2622" s="39">
        <f>DefaultValues!$B$3</f>
        <v>0</v>
      </c>
      <c r="L2622" s="1">
        <f>DefaultValues!$C$3</f>
        <v>0</v>
      </c>
      <c r="M2622" s="1" t="s">
        <v>4013</v>
      </c>
      <c r="N2622" s="1">
        <v>0</v>
      </c>
      <c r="O2622" s="1">
        <f>ABS(Table4[[#This Row],[EndMP]]-Table4[[#This Row],[StartMP]])</f>
        <v>8.6940000000000008</v>
      </c>
      <c r="P2622" s="1" t="str">
        <f>IF( AND( Table4[[#This Row],[Route]]=ClosureLocation!$B$3, ClosureLocation!$B$6 &gt;= Table4[[#This Row],[StartMP]], ClosureLocation!$B$6 &lt;= Table4[[#This Row],[EndMP]]), "Yes", "")</f>
        <v/>
      </c>
      <c r="Q2622" s="1" t="str">
        <f>IF( AND( Table4[[#This Row],[Route]]=ClosureLocation!$B$3, ClosureLocation!$B$6 &lt;= Table4[[#This Row],[StartMP]], ClosureLocation!$B$6 &gt;= Table4[[#This Row],[EndMP]]), "Yes", "")</f>
        <v/>
      </c>
      <c r="R2622" s="1" t="str">
        <f>IF( OR( Table4[[#This Row],[PrimaryMatch]]="Yes", Table4[[#This Row],[SecondaryMatch]]="Yes"), "Yes", "")</f>
        <v/>
      </c>
    </row>
    <row r="2623" spans="1:18" hidden="1" x14ac:dyDescent="0.25">
      <c r="A2623" t="s">
        <v>1140</v>
      </c>
      <c r="B2623" t="s">
        <v>3209</v>
      </c>
      <c r="C2623" t="s">
        <v>3210</v>
      </c>
      <c r="D2623" t="s">
        <v>4011</v>
      </c>
      <c r="E2623" s="1">
        <v>8.6940000000000008</v>
      </c>
      <c r="F2623" s="1">
        <v>0</v>
      </c>
      <c r="K2623" s="39">
        <f>DefaultValues!$B$3</f>
        <v>0</v>
      </c>
      <c r="L2623" s="1">
        <f>DefaultValues!$C$3</f>
        <v>0</v>
      </c>
      <c r="M2623" s="1" t="s">
        <v>4009</v>
      </c>
      <c r="N2623" s="1">
        <f>1000 - 8.694</f>
        <v>991.30600000000004</v>
      </c>
      <c r="O2623" s="1">
        <f>ABS(Table4[[#This Row],[EndMP]]-Table4[[#This Row],[StartMP]])</f>
        <v>8.6940000000000008</v>
      </c>
      <c r="P2623" s="1" t="str">
        <f>IF( AND( Table4[[#This Row],[Route]]=ClosureLocation!$B$3, ClosureLocation!$B$6 &gt;= Table4[[#This Row],[StartMP]], ClosureLocation!$B$6 &lt;= Table4[[#This Row],[EndMP]]), "Yes", "")</f>
        <v/>
      </c>
      <c r="Q2623" s="1" t="str">
        <f>IF( AND( Table4[[#This Row],[Route]]=ClosureLocation!$B$3, ClosureLocation!$B$6 &lt;= Table4[[#This Row],[StartMP]], ClosureLocation!$B$6 &gt;= Table4[[#This Row],[EndMP]]), "Yes", "")</f>
        <v/>
      </c>
      <c r="R2623" s="1" t="str">
        <f>IF( OR( Table4[[#This Row],[PrimaryMatch]]="Yes", Table4[[#This Row],[SecondaryMatch]]="Yes"), "Yes", "")</f>
        <v/>
      </c>
    </row>
    <row r="2624" spans="1:18" hidden="1" x14ac:dyDescent="0.25">
      <c r="A2624" t="s">
        <v>1176</v>
      </c>
      <c r="B2624" t="s">
        <v>3205</v>
      </c>
      <c r="C2624" t="s">
        <v>3222</v>
      </c>
      <c r="D2624" t="s">
        <v>4798</v>
      </c>
      <c r="E2624" s="1">
        <v>0</v>
      </c>
      <c r="F2624" s="1">
        <v>7.1859999999999999</v>
      </c>
      <c r="K2624" s="39">
        <f>DefaultValues!$B$3</f>
        <v>0</v>
      </c>
      <c r="L2624" s="1">
        <f>DefaultValues!$C$3</f>
        <v>0</v>
      </c>
      <c r="M2624" s="1" t="s">
        <v>3741</v>
      </c>
      <c r="N2624" s="1">
        <v>0</v>
      </c>
      <c r="O2624" s="1">
        <f>ABS(Table4[[#This Row],[EndMP]]-Table4[[#This Row],[StartMP]])</f>
        <v>7.1859999999999999</v>
      </c>
      <c r="P2624" s="1" t="str">
        <f>IF( AND( Table4[[#This Row],[Route]]=ClosureLocation!$B$3, ClosureLocation!$B$6 &gt;= Table4[[#This Row],[StartMP]], ClosureLocation!$B$6 &lt;= Table4[[#This Row],[EndMP]]), "Yes", "")</f>
        <v/>
      </c>
      <c r="Q2624" s="1" t="str">
        <f>IF( AND( Table4[[#This Row],[Route]]=ClosureLocation!$B$3, ClosureLocation!$B$6 &lt;= Table4[[#This Row],[StartMP]], ClosureLocation!$B$6 &gt;= Table4[[#This Row],[EndMP]]), "Yes", "")</f>
        <v/>
      </c>
      <c r="R2624" s="1" t="str">
        <f>IF( OR( Table4[[#This Row],[PrimaryMatch]]="Yes", Table4[[#This Row],[SecondaryMatch]]="Yes"), "Yes", "")</f>
        <v/>
      </c>
    </row>
    <row r="2625" spans="1:18" hidden="1" x14ac:dyDescent="0.25">
      <c r="A2625" t="s">
        <v>1176</v>
      </c>
      <c r="B2625" t="s">
        <v>3209</v>
      </c>
      <c r="C2625" t="s">
        <v>3226</v>
      </c>
      <c r="D2625" t="s">
        <v>4799</v>
      </c>
      <c r="E2625" s="1">
        <v>7.1859999999999999</v>
      </c>
      <c r="F2625" s="1">
        <v>0</v>
      </c>
      <c r="K2625" s="39">
        <f>DefaultValues!$B$3</f>
        <v>0</v>
      </c>
      <c r="L2625" s="1">
        <f>DefaultValues!$C$3</f>
        <v>0</v>
      </c>
      <c r="M2625" s="1" t="s">
        <v>3743</v>
      </c>
      <c r="N2625" s="1">
        <f>1000 - 7.186</f>
        <v>992.81399999999996</v>
      </c>
      <c r="O2625" s="1">
        <f>ABS(Table4[[#This Row],[EndMP]]-Table4[[#This Row],[StartMP]])</f>
        <v>7.1859999999999999</v>
      </c>
      <c r="P2625" s="1" t="str">
        <f>IF( AND( Table4[[#This Row],[Route]]=ClosureLocation!$B$3, ClosureLocation!$B$6 &gt;= Table4[[#This Row],[StartMP]], ClosureLocation!$B$6 &lt;= Table4[[#This Row],[EndMP]]), "Yes", "")</f>
        <v/>
      </c>
      <c r="Q2625" s="1" t="str">
        <f>IF( AND( Table4[[#This Row],[Route]]=ClosureLocation!$B$3, ClosureLocation!$B$6 &lt;= Table4[[#This Row],[StartMP]], ClosureLocation!$B$6 &gt;= Table4[[#This Row],[EndMP]]), "Yes", "")</f>
        <v/>
      </c>
      <c r="R2625" s="1" t="str">
        <f>IF( OR( Table4[[#This Row],[PrimaryMatch]]="Yes", Table4[[#This Row],[SecondaryMatch]]="Yes"), "Yes", "")</f>
        <v/>
      </c>
    </row>
    <row r="2626" spans="1:18" hidden="1" x14ac:dyDescent="0.25">
      <c r="A2626" t="s">
        <v>1223</v>
      </c>
      <c r="B2626" t="s">
        <v>3205</v>
      </c>
      <c r="C2626" t="s">
        <v>3206</v>
      </c>
      <c r="D2626" t="s">
        <v>4800</v>
      </c>
      <c r="E2626" s="1">
        <v>12.159000000000001</v>
      </c>
      <c r="F2626" s="1">
        <v>16.067</v>
      </c>
      <c r="K2626" s="39">
        <f>DefaultValues!$B$3</f>
        <v>0</v>
      </c>
      <c r="L2626" s="1">
        <f>DefaultValues!$C$3</f>
        <v>0</v>
      </c>
      <c r="M2626" s="1" t="s">
        <v>1222</v>
      </c>
      <c r="N2626" s="1">
        <v>12.159000000000001</v>
      </c>
      <c r="O2626" s="1">
        <f>ABS(Table4[[#This Row],[EndMP]]-Table4[[#This Row],[StartMP]])</f>
        <v>3.9079999999999995</v>
      </c>
      <c r="P2626" s="1" t="str">
        <f>IF( AND( Table4[[#This Row],[Route]]=ClosureLocation!$B$3, ClosureLocation!$B$6 &gt;= Table4[[#This Row],[StartMP]], ClosureLocation!$B$6 &lt;= Table4[[#This Row],[EndMP]]), "Yes", "")</f>
        <v/>
      </c>
      <c r="Q2626" s="1" t="str">
        <f>IF( AND( Table4[[#This Row],[Route]]=ClosureLocation!$B$3, ClosureLocation!$B$6 &lt;= Table4[[#This Row],[StartMP]], ClosureLocation!$B$6 &gt;= Table4[[#This Row],[EndMP]]), "Yes", "")</f>
        <v/>
      </c>
      <c r="R2626" s="1" t="str">
        <f>IF( OR( Table4[[#This Row],[PrimaryMatch]]="Yes", Table4[[#This Row],[SecondaryMatch]]="Yes"), "Yes", "")</f>
        <v/>
      </c>
    </row>
    <row r="2627" spans="1:18" hidden="1" x14ac:dyDescent="0.25">
      <c r="A2627" t="s">
        <v>1223</v>
      </c>
      <c r="B2627" t="s">
        <v>3209</v>
      </c>
      <c r="C2627" t="s">
        <v>3210</v>
      </c>
      <c r="D2627" t="s">
        <v>4801</v>
      </c>
      <c r="E2627" s="1">
        <v>16.067</v>
      </c>
      <c r="F2627" s="1">
        <v>12.159000000000001</v>
      </c>
      <c r="K2627" s="39">
        <f>DefaultValues!$B$3</f>
        <v>0</v>
      </c>
      <c r="L2627" s="1">
        <f>DefaultValues!$C$3</f>
        <v>0</v>
      </c>
      <c r="M2627" s="1" t="s">
        <v>1134</v>
      </c>
      <c r="N2627" s="1">
        <f>1000 - 16.067</f>
        <v>983.93299999999999</v>
      </c>
      <c r="O2627" s="1">
        <f>ABS(Table4[[#This Row],[EndMP]]-Table4[[#This Row],[StartMP]])</f>
        <v>3.9079999999999995</v>
      </c>
      <c r="P2627" s="1" t="str">
        <f>IF( AND( Table4[[#This Row],[Route]]=ClosureLocation!$B$3, ClosureLocation!$B$6 &gt;= Table4[[#This Row],[StartMP]], ClosureLocation!$B$6 &lt;= Table4[[#This Row],[EndMP]]), "Yes", "")</f>
        <v/>
      </c>
      <c r="Q2627" s="1" t="str">
        <f>IF( AND( Table4[[#This Row],[Route]]=ClosureLocation!$B$3, ClosureLocation!$B$6 &lt;= Table4[[#This Row],[StartMP]], ClosureLocation!$B$6 &gt;= Table4[[#This Row],[EndMP]]), "Yes", "")</f>
        <v/>
      </c>
      <c r="R2627" s="1" t="str">
        <f>IF( OR( Table4[[#This Row],[PrimaryMatch]]="Yes", Table4[[#This Row],[SecondaryMatch]]="Yes"), "Yes", "")</f>
        <v/>
      </c>
    </row>
    <row r="2628" spans="1:18" hidden="1" x14ac:dyDescent="0.25">
      <c r="A2628" t="s">
        <v>1236</v>
      </c>
      <c r="B2628" t="s">
        <v>3205</v>
      </c>
      <c r="C2628" t="s">
        <v>3222</v>
      </c>
      <c r="D2628" t="s">
        <v>4085</v>
      </c>
      <c r="E2628" s="1">
        <v>27.503</v>
      </c>
      <c r="F2628" s="1">
        <v>43.412999999999997</v>
      </c>
      <c r="K2628" s="39">
        <f>DefaultValues!$B$3</f>
        <v>0</v>
      </c>
      <c r="L2628" s="1">
        <f>DefaultValues!$C$3</f>
        <v>0</v>
      </c>
      <c r="M2628" s="1" t="s">
        <v>4802</v>
      </c>
      <c r="N2628" s="1">
        <v>27.503</v>
      </c>
      <c r="O2628" s="1">
        <f>ABS(Table4[[#This Row],[EndMP]]-Table4[[#This Row],[StartMP]])</f>
        <v>15.909999999999997</v>
      </c>
      <c r="P2628" s="1" t="str">
        <f>IF( AND( Table4[[#This Row],[Route]]=ClosureLocation!$B$3, ClosureLocation!$B$6 &gt;= Table4[[#This Row],[StartMP]], ClosureLocation!$B$6 &lt;= Table4[[#This Row],[EndMP]]), "Yes", "")</f>
        <v/>
      </c>
      <c r="Q2628" s="1" t="str">
        <f>IF( AND( Table4[[#This Row],[Route]]=ClosureLocation!$B$3, ClosureLocation!$B$6 &lt;= Table4[[#This Row],[StartMP]], ClosureLocation!$B$6 &gt;= Table4[[#This Row],[EndMP]]), "Yes", "")</f>
        <v/>
      </c>
      <c r="R2628" s="1" t="str">
        <f>IF( OR( Table4[[#This Row],[PrimaryMatch]]="Yes", Table4[[#This Row],[SecondaryMatch]]="Yes"), "Yes", "")</f>
        <v/>
      </c>
    </row>
    <row r="2629" spans="1:18" hidden="1" x14ac:dyDescent="0.25">
      <c r="A2629" t="s">
        <v>1236</v>
      </c>
      <c r="B2629" t="s">
        <v>3209</v>
      </c>
      <c r="C2629" t="s">
        <v>3226</v>
      </c>
      <c r="D2629" t="s">
        <v>4089</v>
      </c>
      <c r="E2629" s="1">
        <v>43.412999999999997</v>
      </c>
      <c r="F2629" s="1">
        <v>27.503</v>
      </c>
      <c r="K2629" s="39">
        <f>DefaultValues!$B$3</f>
        <v>0</v>
      </c>
      <c r="L2629" s="1">
        <f>DefaultValues!$C$3</f>
        <v>0</v>
      </c>
      <c r="M2629" s="1" t="s">
        <v>4803</v>
      </c>
      <c r="N2629" s="1">
        <f>1000 - 43.413</f>
        <v>956.58699999999999</v>
      </c>
      <c r="O2629" s="1">
        <f>ABS(Table4[[#This Row],[EndMP]]-Table4[[#This Row],[StartMP]])</f>
        <v>15.909999999999997</v>
      </c>
      <c r="P2629" s="1" t="str">
        <f>IF( AND( Table4[[#This Row],[Route]]=ClosureLocation!$B$3, ClosureLocation!$B$6 &gt;= Table4[[#This Row],[StartMP]], ClosureLocation!$B$6 &lt;= Table4[[#This Row],[EndMP]]), "Yes", "")</f>
        <v/>
      </c>
      <c r="Q2629" s="1" t="str">
        <f>IF( AND( Table4[[#This Row],[Route]]=ClosureLocation!$B$3, ClosureLocation!$B$6 &lt;= Table4[[#This Row],[StartMP]], ClosureLocation!$B$6 &gt;= Table4[[#This Row],[EndMP]]), "Yes", "")</f>
        <v/>
      </c>
      <c r="R2629" s="1" t="str">
        <f>IF( OR( Table4[[#This Row],[PrimaryMatch]]="Yes", Table4[[#This Row],[SecondaryMatch]]="Yes"), "Yes", "")</f>
        <v/>
      </c>
    </row>
    <row r="2630" spans="1:18" hidden="1" x14ac:dyDescent="0.25">
      <c r="A2630" t="s">
        <v>1276</v>
      </c>
      <c r="B2630" t="s">
        <v>3205</v>
      </c>
      <c r="C2630" t="s">
        <v>3222</v>
      </c>
      <c r="D2630" t="s">
        <v>4117</v>
      </c>
      <c r="E2630" s="1">
        <v>10.493</v>
      </c>
      <c r="F2630" s="1">
        <v>27.41</v>
      </c>
      <c r="K2630" s="39">
        <f>DefaultValues!$B$3</f>
        <v>0</v>
      </c>
      <c r="L2630" s="1">
        <f>DefaultValues!$C$3</f>
        <v>0</v>
      </c>
      <c r="M2630" s="1" t="s">
        <v>3656</v>
      </c>
      <c r="N2630" s="1">
        <v>10.493</v>
      </c>
      <c r="O2630" s="1">
        <f>ABS(Table4[[#This Row],[EndMP]]-Table4[[#This Row],[StartMP]])</f>
        <v>16.917000000000002</v>
      </c>
      <c r="P2630" s="1" t="str">
        <f>IF( AND( Table4[[#This Row],[Route]]=ClosureLocation!$B$3, ClosureLocation!$B$6 &gt;= Table4[[#This Row],[StartMP]], ClosureLocation!$B$6 &lt;= Table4[[#This Row],[EndMP]]), "Yes", "")</f>
        <v/>
      </c>
      <c r="Q2630" s="1" t="str">
        <f>IF( AND( Table4[[#This Row],[Route]]=ClosureLocation!$B$3, ClosureLocation!$B$6 &lt;= Table4[[#This Row],[StartMP]], ClosureLocation!$B$6 &gt;= Table4[[#This Row],[EndMP]]), "Yes", "")</f>
        <v/>
      </c>
      <c r="R2630" s="1" t="str">
        <f>IF( OR( Table4[[#This Row],[PrimaryMatch]]="Yes", Table4[[#This Row],[SecondaryMatch]]="Yes"), "Yes", "")</f>
        <v/>
      </c>
    </row>
    <row r="2631" spans="1:18" hidden="1" x14ac:dyDescent="0.25">
      <c r="A2631" t="s">
        <v>1276</v>
      </c>
      <c r="B2631" t="s">
        <v>3205</v>
      </c>
      <c r="C2631" t="s">
        <v>3222</v>
      </c>
      <c r="D2631" t="s">
        <v>4117</v>
      </c>
      <c r="E2631" s="1">
        <v>27.41</v>
      </c>
      <c r="F2631" s="1">
        <v>28.795999999999999</v>
      </c>
      <c r="K2631" s="39">
        <f>DefaultValues!$B$3</f>
        <v>0</v>
      </c>
      <c r="L2631" s="1">
        <f>DefaultValues!$C$3</f>
        <v>0</v>
      </c>
      <c r="M2631" s="1" t="s">
        <v>4744</v>
      </c>
      <c r="N2631" s="1">
        <v>27.41</v>
      </c>
      <c r="O2631" s="1">
        <f>ABS(Table4[[#This Row],[EndMP]]-Table4[[#This Row],[StartMP]])</f>
        <v>1.3859999999999992</v>
      </c>
      <c r="P2631" s="1" t="str">
        <f>IF( AND( Table4[[#This Row],[Route]]=ClosureLocation!$B$3, ClosureLocation!$B$6 &gt;= Table4[[#This Row],[StartMP]], ClosureLocation!$B$6 &lt;= Table4[[#This Row],[EndMP]]), "Yes", "")</f>
        <v/>
      </c>
      <c r="Q2631" s="1" t="str">
        <f>IF( AND( Table4[[#This Row],[Route]]=ClosureLocation!$B$3, ClosureLocation!$B$6 &lt;= Table4[[#This Row],[StartMP]], ClosureLocation!$B$6 &gt;= Table4[[#This Row],[EndMP]]), "Yes", "")</f>
        <v/>
      </c>
      <c r="R2631" s="1" t="str">
        <f>IF( OR( Table4[[#This Row],[PrimaryMatch]]="Yes", Table4[[#This Row],[SecondaryMatch]]="Yes"), "Yes", "")</f>
        <v/>
      </c>
    </row>
    <row r="2632" spans="1:18" hidden="1" x14ac:dyDescent="0.25">
      <c r="A2632" t="s">
        <v>1276</v>
      </c>
      <c r="B2632" t="s">
        <v>3209</v>
      </c>
      <c r="C2632" t="s">
        <v>3226</v>
      </c>
      <c r="D2632" t="s">
        <v>4119</v>
      </c>
      <c r="E2632" s="1">
        <v>28.795999999999999</v>
      </c>
      <c r="F2632" s="1">
        <v>27.41</v>
      </c>
      <c r="K2632" s="39">
        <f>DefaultValues!$B$3</f>
        <v>0</v>
      </c>
      <c r="L2632" s="1">
        <f>DefaultValues!$C$3</f>
        <v>0</v>
      </c>
      <c r="M2632" s="1" t="s">
        <v>4745</v>
      </c>
      <c r="N2632" s="1">
        <f>1000 - 28.796</f>
        <v>971.20399999999995</v>
      </c>
      <c r="O2632" s="1">
        <f>ABS(Table4[[#This Row],[EndMP]]-Table4[[#This Row],[StartMP]])</f>
        <v>1.3859999999999992</v>
      </c>
      <c r="P2632" s="1" t="str">
        <f>IF( AND( Table4[[#This Row],[Route]]=ClosureLocation!$B$3, ClosureLocation!$B$6 &gt;= Table4[[#This Row],[StartMP]], ClosureLocation!$B$6 &lt;= Table4[[#This Row],[EndMP]]), "Yes", "")</f>
        <v/>
      </c>
      <c r="Q2632" s="1" t="str">
        <f>IF( AND( Table4[[#This Row],[Route]]=ClosureLocation!$B$3, ClosureLocation!$B$6 &lt;= Table4[[#This Row],[StartMP]], ClosureLocation!$B$6 &gt;= Table4[[#This Row],[EndMP]]), "Yes", "")</f>
        <v/>
      </c>
      <c r="R2632" s="1" t="str">
        <f>IF( OR( Table4[[#This Row],[PrimaryMatch]]="Yes", Table4[[#This Row],[SecondaryMatch]]="Yes"), "Yes", "")</f>
        <v/>
      </c>
    </row>
    <row r="2633" spans="1:18" hidden="1" x14ac:dyDescent="0.25">
      <c r="A2633" t="s">
        <v>1276</v>
      </c>
      <c r="B2633" t="s">
        <v>3209</v>
      </c>
      <c r="C2633" t="s">
        <v>3226</v>
      </c>
      <c r="D2633" t="s">
        <v>4119</v>
      </c>
      <c r="E2633" s="1">
        <v>27.41</v>
      </c>
      <c r="F2633" s="1">
        <v>10.493</v>
      </c>
      <c r="K2633" s="39">
        <f>DefaultValues!$B$3</f>
        <v>0</v>
      </c>
      <c r="L2633" s="1">
        <f>DefaultValues!$C$3</f>
        <v>0</v>
      </c>
      <c r="M2633" s="1" t="s">
        <v>3654</v>
      </c>
      <c r="N2633" s="1">
        <f>1000 - 27.41</f>
        <v>972.59</v>
      </c>
      <c r="O2633" s="1">
        <f>ABS(Table4[[#This Row],[EndMP]]-Table4[[#This Row],[StartMP]])</f>
        <v>16.917000000000002</v>
      </c>
      <c r="P2633" s="1" t="str">
        <f>IF( AND( Table4[[#This Row],[Route]]=ClosureLocation!$B$3, ClosureLocation!$B$6 &gt;= Table4[[#This Row],[StartMP]], ClosureLocation!$B$6 &lt;= Table4[[#This Row],[EndMP]]), "Yes", "")</f>
        <v/>
      </c>
      <c r="Q2633" s="1" t="str">
        <f>IF( AND( Table4[[#This Row],[Route]]=ClosureLocation!$B$3, ClosureLocation!$B$6 &lt;= Table4[[#This Row],[StartMP]], ClosureLocation!$B$6 &gt;= Table4[[#This Row],[EndMP]]), "Yes", "")</f>
        <v/>
      </c>
      <c r="R2633" s="1" t="str">
        <f>IF( OR( Table4[[#This Row],[PrimaryMatch]]="Yes", Table4[[#This Row],[SecondaryMatch]]="Yes"), "Yes", "")</f>
        <v/>
      </c>
    </row>
    <row r="2634" spans="1:18" hidden="1" x14ac:dyDescent="0.25">
      <c r="A2634" t="s">
        <v>1365</v>
      </c>
      <c r="B2634" t="s">
        <v>3205</v>
      </c>
      <c r="C2634" t="s">
        <v>3222</v>
      </c>
      <c r="D2634" t="s">
        <v>4805</v>
      </c>
      <c r="E2634" s="1">
        <v>0</v>
      </c>
      <c r="F2634" s="1">
        <v>1.4570000000000001</v>
      </c>
      <c r="K2634" s="39">
        <f>DefaultValues!$B$3</f>
        <v>0</v>
      </c>
      <c r="L2634" s="1">
        <f>DefaultValues!$C$3</f>
        <v>0</v>
      </c>
      <c r="M2634" s="1" t="s">
        <v>4123</v>
      </c>
      <c r="N2634" s="1">
        <v>0</v>
      </c>
      <c r="O2634" s="1">
        <f>ABS(Table4[[#This Row],[EndMP]]-Table4[[#This Row],[StartMP]])</f>
        <v>1.4570000000000001</v>
      </c>
      <c r="P2634" s="1" t="str">
        <f>IF( AND( Table4[[#This Row],[Route]]=ClosureLocation!$B$3, ClosureLocation!$B$6 &gt;= Table4[[#This Row],[StartMP]], ClosureLocation!$B$6 &lt;= Table4[[#This Row],[EndMP]]), "Yes", "")</f>
        <v/>
      </c>
      <c r="Q2634" s="1" t="str">
        <f>IF( AND( Table4[[#This Row],[Route]]=ClosureLocation!$B$3, ClosureLocation!$B$6 &lt;= Table4[[#This Row],[StartMP]], ClosureLocation!$B$6 &gt;= Table4[[#This Row],[EndMP]]), "Yes", "")</f>
        <v/>
      </c>
      <c r="R2634" s="1" t="str">
        <f>IF( OR( Table4[[#This Row],[PrimaryMatch]]="Yes", Table4[[#This Row],[SecondaryMatch]]="Yes"), "Yes", "")</f>
        <v/>
      </c>
    </row>
    <row r="2635" spans="1:18" hidden="1" x14ac:dyDescent="0.25">
      <c r="A2635" t="s">
        <v>1365</v>
      </c>
      <c r="B2635" t="s">
        <v>3205</v>
      </c>
      <c r="C2635" t="s">
        <v>3222</v>
      </c>
      <c r="D2635" t="s">
        <v>4805</v>
      </c>
      <c r="E2635" s="1">
        <v>1.4570000000000001</v>
      </c>
      <c r="F2635" s="1">
        <v>2.488</v>
      </c>
      <c r="K2635" s="39">
        <f>DefaultValues!$B$3</f>
        <v>0</v>
      </c>
      <c r="L2635" s="1">
        <f>DefaultValues!$C$3</f>
        <v>0</v>
      </c>
      <c r="M2635" s="1" t="s">
        <v>4129</v>
      </c>
      <c r="N2635" s="1">
        <v>1.4570000000000001</v>
      </c>
      <c r="O2635" s="1">
        <f>ABS(Table4[[#This Row],[EndMP]]-Table4[[#This Row],[StartMP]])</f>
        <v>1.0309999999999999</v>
      </c>
      <c r="P2635" s="1" t="str">
        <f>IF( AND( Table4[[#This Row],[Route]]=ClosureLocation!$B$3, ClosureLocation!$B$6 &gt;= Table4[[#This Row],[StartMP]], ClosureLocation!$B$6 &lt;= Table4[[#This Row],[EndMP]]), "Yes", "")</f>
        <v/>
      </c>
      <c r="Q2635" s="1" t="str">
        <f>IF( AND( Table4[[#This Row],[Route]]=ClosureLocation!$B$3, ClosureLocation!$B$6 &lt;= Table4[[#This Row],[StartMP]], ClosureLocation!$B$6 &gt;= Table4[[#This Row],[EndMP]]), "Yes", "")</f>
        <v/>
      </c>
      <c r="R2635" s="1" t="str">
        <f>IF( OR( Table4[[#This Row],[PrimaryMatch]]="Yes", Table4[[#This Row],[SecondaryMatch]]="Yes"), "Yes", "")</f>
        <v/>
      </c>
    </row>
    <row r="2636" spans="1:18" hidden="1" x14ac:dyDescent="0.25">
      <c r="A2636" t="s">
        <v>1365</v>
      </c>
      <c r="B2636" t="s">
        <v>3209</v>
      </c>
      <c r="C2636" t="s">
        <v>3226</v>
      </c>
      <c r="D2636" t="s">
        <v>4804</v>
      </c>
      <c r="E2636" s="1">
        <v>2.488</v>
      </c>
      <c r="F2636" s="1">
        <v>1.4570000000000001</v>
      </c>
      <c r="K2636" s="39">
        <f>DefaultValues!$B$3</f>
        <v>0</v>
      </c>
      <c r="L2636" s="1">
        <f>DefaultValues!$C$3</f>
        <v>0</v>
      </c>
      <c r="M2636" s="1" t="s">
        <v>4123</v>
      </c>
      <c r="N2636" s="1">
        <f>1000 - 2.488</f>
        <v>997.51199999999994</v>
      </c>
      <c r="O2636" s="1">
        <f>ABS(Table4[[#This Row],[EndMP]]-Table4[[#This Row],[StartMP]])</f>
        <v>1.0309999999999999</v>
      </c>
      <c r="P2636" s="1" t="str">
        <f>IF( AND( Table4[[#This Row],[Route]]=ClosureLocation!$B$3, ClosureLocation!$B$6 &gt;= Table4[[#This Row],[StartMP]], ClosureLocation!$B$6 &lt;= Table4[[#This Row],[EndMP]]), "Yes", "")</f>
        <v/>
      </c>
      <c r="Q2636" s="1" t="str">
        <f>IF( AND( Table4[[#This Row],[Route]]=ClosureLocation!$B$3, ClosureLocation!$B$6 &lt;= Table4[[#This Row],[StartMP]], ClosureLocation!$B$6 &gt;= Table4[[#This Row],[EndMP]]), "Yes", "")</f>
        <v/>
      </c>
      <c r="R2636" s="1" t="str">
        <f>IF( OR( Table4[[#This Row],[PrimaryMatch]]="Yes", Table4[[#This Row],[SecondaryMatch]]="Yes"), "Yes", "")</f>
        <v/>
      </c>
    </row>
    <row r="2637" spans="1:18" hidden="1" x14ac:dyDescent="0.25">
      <c r="A2637" t="s">
        <v>1365</v>
      </c>
      <c r="B2637" t="s">
        <v>3209</v>
      </c>
      <c r="C2637" t="s">
        <v>3226</v>
      </c>
      <c r="D2637" t="s">
        <v>4804</v>
      </c>
      <c r="E2637" s="1">
        <v>1.4570000000000001</v>
      </c>
      <c r="F2637" s="1">
        <v>0</v>
      </c>
      <c r="K2637" s="39">
        <f>DefaultValues!$B$3</f>
        <v>0</v>
      </c>
      <c r="L2637" s="1">
        <f>DefaultValues!$C$3</f>
        <v>0</v>
      </c>
      <c r="M2637" s="1" t="s">
        <v>4129</v>
      </c>
      <c r="N2637" s="1">
        <f>1000 - 1.457</f>
        <v>998.54300000000001</v>
      </c>
      <c r="O2637" s="1">
        <f>ABS(Table4[[#This Row],[EndMP]]-Table4[[#This Row],[StartMP]])</f>
        <v>1.4570000000000001</v>
      </c>
      <c r="P2637" s="1" t="str">
        <f>IF( AND( Table4[[#This Row],[Route]]=ClosureLocation!$B$3, ClosureLocation!$B$6 &gt;= Table4[[#This Row],[StartMP]], ClosureLocation!$B$6 &lt;= Table4[[#This Row],[EndMP]]), "Yes", "")</f>
        <v/>
      </c>
      <c r="Q2637" s="1" t="str">
        <f>IF( AND( Table4[[#This Row],[Route]]=ClosureLocation!$B$3, ClosureLocation!$B$6 &lt;= Table4[[#This Row],[StartMP]], ClosureLocation!$B$6 &gt;= Table4[[#This Row],[EndMP]]), "Yes", "")</f>
        <v/>
      </c>
      <c r="R2637" s="1" t="str">
        <f>IF( OR( Table4[[#This Row],[PrimaryMatch]]="Yes", Table4[[#This Row],[SecondaryMatch]]="Yes"), "Yes", "")</f>
        <v/>
      </c>
    </row>
    <row r="2638" spans="1:18" hidden="1" x14ac:dyDescent="0.25">
      <c r="A2638" t="s">
        <v>1401</v>
      </c>
      <c r="B2638" t="s">
        <v>3205</v>
      </c>
      <c r="C2638" t="s">
        <v>3222</v>
      </c>
      <c r="D2638" t="s">
        <v>4184</v>
      </c>
      <c r="E2638" s="1">
        <v>8.9</v>
      </c>
      <c r="F2638" s="1">
        <v>26.443999999999999</v>
      </c>
      <c r="K2638" s="39">
        <f>DefaultValues!$B$3</f>
        <v>0</v>
      </c>
      <c r="L2638" s="1">
        <f>DefaultValues!$C$3</f>
        <v>0</v>
      </c>
      <c r="M2638" s="1" t="s">
        <v>4806</v>
      </c>
      <c r="N2638" s="1">
        <v>8.9</v>
      </c>
      <c r="O2638" s="1">
        <f>ABS(Table4[[#This Row],[EndMP]]-Table4[[#This Row],[StartMP]])</f>
        <v>17.543999999999997</v>
      </c>
      <c r="P2638" s="1" t="str">
        <f>IF( AND( Table4[[#This Row],[Route]]=ClosureLocation!$B$3, ClosureLocation!$B$6 &gt;= Table4[[#This Row],[StartMP]], ClosureLocation!$B$6 &lt;= Table4[[#This Row],[EndMP]]), "Yes", "")</f>
        <v/>
      </c>
      <c r="Q2638" s="1" t="str">
        <f>IF( AND( Table4[[#This Row],[Route]]=ClosureLocation!$B$3, ClosureLocation!$B$6 &lt;= Table4[[#This Row],[StartMP]], ClosureLocation!$B$6 &gt;= Table4[[#This Row],[EndMP]]), "Yes", "")</f>
        <v/>
      </c>
      <c r="R2638" s="1" t="str">
        <f>IF( OR( Table4[[#This Row],[PrimaryMatch]]="Yes", Table4[[#This Row],[SecondaryMatch]]="Yes"), "Yes", "")</f>
        <v/>
      </c>
    </row>
    <row r="2639" spans="1:18" hidden="1" x14ac:dyDescent="0.25">
      <c r="A2639" t="s">
        <v>1401</v>
      </c>
      <c r="B2639" t="s">
        <v>3209</v>
      </c>
      <c r="C2639" t="s">
        <v>3226</v>
      </c>
      <c r="D2639" t="s">
        <v>4186</v>
      </c>
      <c r="E2639" s="1">
        <v>26.443999999999999</v>
      </c>
      <c r="F2639" s="1">
        <v>8.9</v>
      </c>
      <c r="K2639" s="39">
        <f>DefaultValues!$B$3</f>
        <v>0</v>
      </c>
      <c r="L2639" s="1">
        <f>DefaultValues!$C$3</f>
        <v>0</v>
      </c>
      <c r="M2639" s="1" t="s">
        <v>4807</v>
      </c>
      <c r="N2639" s="1">
        <f>1000 - 26.444</f>
        <v>973.55600000000004</v>
      </c>
      <c r="O2639" s="1">
        <f>ABS(Table4[[#This Row],[EndMP]]-Table4[[#This Row],[StartMP]])</f>
        <v>17.543999999999997</v>
      </c>
      <c r="P2639" s="1" t="str">
        <f>IF( AND( Table4[[#This Row],[Route]]=ClosureLocation!$B$3, ClosureLocation!$B$6 &gt;= Table4[[#This Row],[StartMP]], ClosureLocation!$B$6 &lt;= Table4[[#This Row],[EndMP]]), "Yes", "")</f>
        <v/>
      </c>
      <c r="Q2639" s="1" t="str">
        <f>IF( AND( Table4[[#This Row],[Route]]=ClosureLocation!$B$3, ClosureLocation!$B$6 &lt;= Table4[[#This Row],[StartMP]], ClosureLocation!$B$6 &gt;= Table4[[#This Row],[EndMP]]), "Yes", "")</f>
        <v/>
      </c>
      <c r="R2639" s="1" t="str">
        <f>IF( OR( Table4[[#This Row],[PrimaryMatch]]="Yes", Table4[[#This Row],[SecondaryMatch]]="Yes"), "Yes", "")</f>
        <v/>
      </c>
    </row>
    <row r="2640" spans="1:18" hidden="1" x14ac:dyDescent="0.25">
      <c r="A2640" t="s">
        <v>1407</v>
      </c>
      <c r="B2640" t="s">
        <v>3205</v>
      </c>
      <c r="C2640" t="s">
        <v>3222</v>
      </c>
      <c r="D2640" t="s">
        <v>4681</v>
      </c>
      <c r="E2640" s="1">
        <v>0</v>
      </c>
      <c r="F2640" s="1">
        <v>20.327000000000002</v>
      </c>
      <c r="K2640" s="39">
        <f>DefaultValues!$B$3</f>
        <v>0</v>
      </c>
      <c r="L2640" s="1">
        <f>DefaultValues!$C$3</f>
        <v>0</v>
      </c>
      <c r="M2640" s="1" t="s">
        <v>4811</v>
      </c>
      <c r="N2640" s="1">
        <v>0</v>
      </c>
      <c r="O2640" s="1">
        <f>ABS(Table4[[#This Row],[EndMP]]-Table4[[#This Row],[StartMP]])</f>
        <v>20.327000000000002</v>
      </c>
      <c r="P2640" s="1" t="str">
        <f>IF( AND( Table4[[#This Row],[Route]]=ClosureLocation!$B$3, ClosureLocation!$B$6 &gt;= Table4[[#This Row],[StartMP]], ClosureLocation!$B$6 &lt;= Table4[[#This Row],[EndMP]]), "Yes", "")</f>
        <v/>
      </c>
      <c r="Q2640" s="1" t="str">
        <f>IF( AND( Table4[[#This Row],[Route]]=ClosureLocation!$B$3, ClosureLocation!$B$6 &lt;= Table4[[#This Row],[StartMP]], ClosureLocation!$B$6 &gt;= Table4[[#This Row],[EndMP]]), "Yes", "")</f>
        <v/>
      </c>
      <c r="R2640" s="1" t="str">
        <f>IF( OR( Table4[[#This Row],[PrimaryMatch]]="Yes", Table4[[#This Row],[SecondaryMatch]]="Yes"), "Yes", "")</f>
        <v/>
      </c>
    </row>
    <row r="2641" spans="1:18" hidden="1" x14ac:dyDescent="0.25">
      <c r="A2641" t="s">
        <v>1407</v>
      </c>
      <c r="B2641" t="s">
        <v>3209</v>
      </c>
      <c r="C2641" t="s">
        <v>3226</v>
      </c>
      <c r="D2641" t="s">
        <v>4682</v>
      </c>
      <c r="E2641" s="1">
        <v>20.327000000000002</v>
      </c>
      <c r="F2641" s="1">
        <v>0</v>
      </c>
      <c r="K2641" s="39">
        <f>DefaultValues!$B$3</f>
        <v>0</v>
      </c>
      <c r="L2641" s="1">
        <f>DefaultValues!$C$3</f>
        <v>0</v>
      </c>
      <c r="M2641" s="1" t="s">
        <v>4226</v>
      </c>
      <c r="N2641" s="1">
        <f>1000 - 20.327</f>
        <v>979.673</v>
      </c>
      <c r="O2641" s="1">
        <f>ABS(Table4[[#This Row],[EndMP]]-Table4[[#This Row],[StartMP]])</f>
        <v>20.327000000000002</v>
      </c>
      <c r="P2641" s="1" t="str">
        <f>IF( AND( Table4[[#This Row],[Route]]=ClosureLocation!$B$3, ClosureLocation!$B$6 &gt;= Table4[[#This Row],[StartMP]], ClosureLocation!$B$6 &lt;= Table4[[#This Row],[EndMP]]), "Yes", "")</f>
        <v/>
      </c>
      <c r="Q2641" s="1" t="str">
        <f>IF( AND( Table4[[#This Row],[Route]]=ClosureLocation!$B$3, ClosureLocation!$B$6 &lt;= Table4[[#This Row],[StartMP]], ClosureLocation!$B$6 &gt;= Table4[[#This Row],[EndMP]]), "Yes", "")</f>
        <v/>
      </c>
      <c r="R2641" s="1" t="str">
        <f>IF( OR( Table4[[#This Row],[PrimaryMatch]]="Yes", Table4[[#This Row],[SecondaryMatch]]="Yes"), "Yes", "")</f>
        <v/>
      </c>
    </row>
    <row r="2642" spans="1:18" hidden="1" x14ac:dyDescent="0.25">
      <c r="A2642" t="s">
        <v>1410</v>
      </c>
      <c r="B2642" t="s">
        <v>3205</v>
      </c>
      <c r="C2642" t="s">
        <v>3222</v>
      </c>
      <c r="D2642" t="s">
        <v>4808</v>
      </c>
      <c r="E2642" s="1">
        <v>0</v>
      </c>
      <c r="F2642" s="1">
        <v>8.9220000000000006</v>
      </c>
      <c r="K2642" s="39">
        <f>DefaultValues!$B$3</f>
        <v>0</v>
      </c>
      <c r="L2642" s="1">
        <f>DefaultValues!$C$3</f>
        <v>0</v>
      </c>
      <c r="M2642" s="1" t="s">
        <v>4810</v>
      </c>
      <c r="N2642" s="1">
        <v>0</v>
      </c>
      <c r="O2642" s="1">
        <f>ABS(Table4[[#This Row],[EndMP]]-Table4[[#This Row],[StartMP]])</f>
        <v>8.9220000000000006</v>
      </c>
      <c r="P2642" s="1" t="str">
        <f>IF( AND( Table4[[#This Row],[Route]]=ClosureLocation!$B$3, ClosureLocation!$B$6 &gt;= Table4[[#This Row],[StartMP]], ClosureLocation!$B$6 &lt;= Table4[[#This Row],[EndMP]]), "Yes", "")</f>
        <v/>
      </c>
      <c r="Q2642" s="1" t="str">
        <f>IF( AND( Table4[[#This Row],[Route]]=ClosureLocation!$B$3, ClosureLocation!$B$6 &lt;= Table4[[#This Row],[StartMP]], ClosureLocation!$B$6 &gt;= Table4[[#This Row],[EndMP]]), "Yes", "")</f>
        <v/>
      </c>
      <c r="R2642" s="1" t="str">
        <f>IF( OR( Table4[[#This Row],[PrimaryMatch]]="Yes", Table4[[#This Row],[SecondaryMatch]]="Yes"), "Yes", "")</f>
        <v/>
      </c>
    </row>
    <row r="2643" spans="1:18" hidden="1" x14ac:dyDescent="0.25">
      <c r="A2643" t="s">
        <v>1410</v>
      </c>
      <c r="B2643" t="s">
        <v>3209</v>
      </c>
      <c r="C2643" t="s">
        <v>3226</v>
      </c>
      <c r="D2643" t="s">
        <v>4809</v>
      </c>
      <c r="E2643" s="1">
        <v>8.9220000000000006</v>
      </c>
      <c r="F2643" s="1">
        <v>0</v>
      </c>
      <c r="K2643" s="39">
        <f>DefaultValues!$B$3</f>
        <v>0</v>
      </c>
      <c r="L2643" s="1">
        <f>DefaultValues!$C$3</f>
        <v>0</v>
      </c>
      <c r="M2643" s="1" t="s">
        <v>4812</v>
      </c>
      <c r="N2643" s="1">
        <f>1000 - 8.922</f>
        <v>991.07799999999997</v>
      </c>
      <c r="O2643" s="1">
        <f>ABS(Table4[[#This Row],[EndMP]]-Table4[[#This Row],[StartMP]])</f>
        <v>8.9220000000000006</v>
      </c>
      <c r="P2643" s="1" t="str">
        <f>IF( AND( Table4[[#This Row],[Route]]=ClosureLocation!$B$3, ClosureLocation!$B$6 &gt;= Table4[[#This Row],[StartMP]], ClosureLocation!$B$6 &lt;= Table4[[#This Row],[EndMP]]), "Yes", "")</f>
        <v/>
      </c>
      <c r="Q2643" s="1" t="str">
        <f>IF( AND( Table4[[#This Row],[Route]]=ClosureLocation!$B$3, ClosureLocation!$B$6 &lt;= Table4[[#This Row],[StartMP]], ClosureLocation!$B$6 &gt;= Table4[[#This Row],[EndMP]]), "Yes", "")</f>
        <v/>
      </c>
      <c r="R2643" s="1" t="str">
        <f>IF( OR( Table4[[#This Row],[PrimaryMatch]]="Yes", Table4[[#This Row],[SecondaryMatch]]="Yes"), "Yes", "")</f>
        <v/>
      </c>
    </row>
    <row r="2644" spans="1:18" hidden="1" x14ac:dyDescent="0.25">
      <c r="A2644" t="s">
        <v>1569</v>
      </c>
      <c r="B2644" t="s">
        <v>3205</v>
      </c>
      <c r="C2644" t="s">
        <v>3222</v>
      </c>
      <c r="D2644" t="s">
        <v>4310</v>
      </c>
      <c r="E2644" s="1">
        <v>0.50700000000000001</v>
      </c>
      <c r="F2644" s="1">
        <v>13.340999999999999</v>
      </c>
      <c r="K2644" s="39">
        <f>DefaultValues!$B$3</f>
        <v>0</v>
      </c>
      <c r="L2644" s="1">
        <f>DefaultValues!$C$3</f>
        <v>0</v>
      </c>
      <c r="M2644" s="1" t="s">
        <v>4704</v>
      </c>
      <c r="N2644" s="1">
        <v>0.50700000000000001</v>
      </c>
      <c r="O2644" s="1">
        <f>ABS(Table4[[#This Row],[EndMP]]-Table4[[#This Row],[StartMP]])</f>
        <v>12.834</v>
      </c>
      <c r="P2644" s="1" t="str">
        <f>IF( AND( Table4[[#This Row],[Route]]=ClosureLocation!$B$3, ClosureLocation!$B$6 &gt;= Table4[[#This Row],[StartMP]], ClosureLocation!$B$6 &lt;= Table4[[#This Row],[EndMP]]), "Yes", "")</f>
        <v/>
      </c>
      <c r="Q2644" s="1" t="str">
        <f>IF( AND( Table4[[#This Row],[Route]]=ClosureLocation!$B$3, ClosureLocation!$B$6 &lt;= Table4[[#This Row],[StartMP]], ClosureLocation!$B$6 &gt;= Table4[[#This Row],[EndMP]]), "Yes", "")</f>
        <v/>
      </c>
      <c r="R2644" s="1" t="str">
        <f>IF( OR( Table4[[#This Row],[PrimaryMatch]]="Yes", Table4[[#This Row],[SecondaryMatch]]="Yes"), "Yes", "")</f>
        <v/>
      </c>
    </row>
    <row r="2645" spans="1:18" hidden="1" x14ac:dyDescent="0.25">
      <c r="A2645" t="s">
        <v>1569</v>
      </c>
      <c r="B2645" t="s">
        <v>3209</v>
      </c>
      <c r="C2645" t="s">
        <v>3226</v>
      </c>
      <c r="D2645" t="s">
        <v>4312</v>
      </c>
      <c r="E2645" s="1">
        <v>13.340999999999999</v>
      </c>
      <c r="F2645" s="1">
        <v>0.50700000000000001</v>
      </c>
      <c r="K2645" s="39">
        <f>DefaultValues!$B$3</f>
        <v>0</v>
      </c>
      <c r="L2645" s="1">
        <f>DefaultValues!$C$3</f>
        <v>0</v>
      </c>
      <c r="M2645" s="1" t="s">
        <v>4703</v>
      </c>
      <c r="N2645" s="1">
        <f>1000 - 13.341</f>
        <v>986.65899999999999</v>
      </c>
      <c r="O2645" s="1">
        <f>ABS(Table4[[#This Row],[EndMP]]-Table4[[#This Row],[StartMP]])</f>
        <v>12.834</v>
      </c>
      <c r="P2645" s="1" t="str">
        <f>IF( AND( Table4[[#This Row],[Route]]=ClosureLocation!$B$3, ClosureLocation!$B$6 &gt;= Table4[[#This Row],[StartMP]], ClosureLocation!$B$6 &lt;= Table4[[#This Row],[EndMP]]), "Yes", "")</f>
        <v/>
      </c>
      <c r="Q2645" s="1" t="str">
        <f>IF( AND( Table4[[#This Row],[Route]]=ClosureLocation!$B$3, ClosureLocation!$B$6 &lt;= Table4[[#This Row],[StartMP]], ClosureLocation!$B$6 &gt;= Table4[[#This Row],[EndMP]]), "Yes", "")</f>
        <v/>
      </c>
      <c r="R2645" s="1" t="str">
        <f>IF( OR( Table4[[#This Row],[PrimaryMatch]]="Yes", Table4[[#This Row],[SecondaryMatch]]="Yes"), "Yes", "")</f>
        <v/>
      </c>
    </row>
    <row r="2646" spans="1:18" hidden="1" x14ac:dyDescent="0.25">
      <c r="A2646" t="s">
        <v>1578</v>
      </c>
      <c r="B2646" t="s">
        <v>3205</v>
      </c>
      <c r="C2646" t="s">
        <v>3222</v>
      </c>
      <c r="D2646" t="s">
        <v>4314</v>
      </c>
      <c r="E2646" s="1">
        <v>0</v>
      </c>
      <c r="F2646" s="1">
        <v>16.832000000000001</v>
      </c>
      <c r="K2646" s="39">
        <f>DefaultValues!$B$3</f>
        <v>0</v>
      </c>
      <c r="L2646" s="1">
        <f>DefaultValues!$C$3</f>
        <v>0</v>
      </c>
      <c r="M2646" s="1" t="s">
        <v>602</v>
      </c>
      <c r="N2646" s="1">
        <v>0</v>
      </c>
      <c r="O2646" s="1">
        <f>ABS(Table4[[#This Row],[EndMP]]-Table4[[#This Row],[StartMP]])</f>
        <v>16.832000000000001</v>
      </c>
      <c r="P2646" s="1" t="str">
        <f>IF( AND( Table4[[#This Row],[Route]]=ClosureLocation!$B$3, ClosureLocation!$B$6 &gt;= Table4[[#This Row],[StartMP]], ClosureLocation!$B$6 &lt;= Table4[[#This Row],[EndMP]]), "Yes", "")</f>
        <v/>
      </c>
      <c r="Q2646" s="1" t="str">
        <f>IF( AND( Table4[[#This Row],[Route]]=ClosureLocation!$B$3, ClosureLocation!$B$6 &lt;= Table4[[#This Row],[StartMP]], ClosureLocation!$B$6 &gt;= Table4[[#This Row],[EndMP]]), "Yes", "")</f>
        <v/>
      </c>
      <c r="R2646" s="1" t="str">
        <f>IF( OR( Table4[[#This Row],[PrimaryMatch]]="Yes", Table4[[#This Row],[SecondaryMatch]]="Yes"), "Yes", "")</f>
        <v/>
      </c>
    </row>
    <row r="2647" spans="1:18" hidden="1" x14ac:dyDescent="0.25">
      <c r="A2647" t="s">
        <v>1578</v>
      </c>
      <c r="B2647" t="s">
        <v>3209</v>
      </c>
      <c r="C2647" t="s">
        <v>3226</v>
      </c>
      <c r="D2647" t="s">
        <v>4316</v>
      </c>
      <c r="E2647" s="1">
        <v>16.832000000000001</v>
      </c>
      <c r="F2647" s="1">
        <v>0</v>
      </c>
      <c r="K2647" s="39">
        <f>DefaultValues!$B$3</f>
        <v>0</v>
      </c>
      <c r="L2647" s="1">
        <f>DefaultValues!$C$3</f>
        <v>0</v>
      </c>
      <c r="M2647" s="1" t="s">
        <v>602</v>
      </c>
      <c r="N2647" s="1">
        <f>1000 - 16.832</f>
        <v>983.16800000000001</v>
      </c>
      <c r="O2647" s="1">
        <f>ABS(Table4[[#This Row],[EndMP]]-Table4[[#This Row],[StartMP]])</f>
        <v>16.832000000000001</v>
      </c>
      <c r="P2647" s="1" t="str">
        <f>IF( AND( Table4[[#This Row],[Route]]=ClosureLocation!$B$3, ClosureLocation!$B$6 &gt;= Table4[[#This Row],[StartMP]], ClosureLocation!$B$6 &lt;= Table4[[#This Row],[EndMP]]), "Yes", "")</f>
        <v/>
      </c>
      <c r="Q2647" s="1" t="str">
        <f>IF( AND( Table4[[#This Row],[Route]]=ClosureLocation!$B$3, ClosureLocation!$B$6 &lt;= Table4[[#This Row],[StartMP]], ClosureLocation!$B$6 &gt;= Table4[[#This Row],[EndMP]]), "Yes", "")</f>
        <v/>
      </c>
      <c r="R2647" s="1" t="str">
        <f>IF( OR( Table4[[#This Row],[PrimaryMatch]]="Yes", Table4[[#This Row],[SecondaryMatch]]="Yes"), "Yes", "")</f>
        <v/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"/>
  <sheetViews>
    <sheetView tabSelected="1" topLeftCell="A7"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86"/>
  <sheetViews>
    <sheetView zoomScale="120" zoomScaleNormal="120" workbookViewId="0">
      <pane xSplit="4" ySplit="1" topLeftCell="E512" activePane="bottomRight" state="frozen"/>
      <selection pane="topRight" activeCell="E1" sqref="E1"/>
      <selection pane="bottomLeft" activeCell="A2" sqref="A2"/>
      <selection pane="bottomRight" activeCell="G523" sqref="G523"/>
    </sheetView>
  </sheetViews>
  <sheetFormatPr defaultRowHeight="15" x14ac:dyDescent="0.25"/>
  <cols>
    <col min="1" max="1" width="12.85546875" customWidth="1"/>
    <col min="3" max="3" width="14.85546875" style="3" customWidth="1"/>
    <col min="4" max="4" width="11.5703125" customWidth="1"/>
    <col min="5" max="5" width="6.42578125" customWidth="1"/>
    <col min="6" max="6" width="9.85546875" style="1" customWidth="1"/>
    <col min="7" max="7" width="28.42578125" customWidth="1"/>
    <col min="8" max="8" width="8.85546875" style="1" customWidth="1"/>
    <col min="9" max="9" width="29.140625" customWidth="1"/>
    <col min="10" max="10" width="32.5703125" customWidth="1"/>
    <col min="11" max="11" width="27.42578125" bestFit="1" customWidth="1"/>
    <col min="12" max="12" width="21.42578125" bestFit="1" customWidth="1"/>
    <col min="13" max="13" width="22.140625" bestFit="1" customWidth="1"/>
    <col min="14" max="14" width="29.5703125" bestFit="1" customWidth="1"/>
  </cols>
  <sheetData>
    <row r="1" spans="1:14" x14ac:dyDescent="0.25">
      <c r="A1" t="s">
        <v>0</v>
      </c>
      <c r="B1" t="s">
        <v>1</v>
      </c>
      <c r="C1" s="3" t="s">
        <v>34</v>
      </c>
      <c r="D1" t="s">
        <v>2</v>
      </c>
      <c r="E1" t="s">
        <v>2028</v>
      </c>
      <c r="F1" s="1" t="s">
        <v>3</v>
      </c>
      <c r="G1" t="s">
        <v>4</v>
      </c>
      <c r="H1" s="1" t="s">
        <v>5</v>
      </c>
      <c r="I1" t="s">
        <v>6</v>
      </c>
      <c r="J1" t="s">
        <v>7</v>
      </c>
      <c r="K1" t="s">
        <v>1688</v>
      </c>
      <c r="L1" t="s">
        <v>2046</v>
      </c>
      <c r="M1" t="s">
        <v>2047</v>
      </c>
      <c r="N1" t="s">
        <v>8</v>
      </c>
    </row>
    <row r="2" spans="1:14" x14ac:dyDescent="0.25">
      <c r="A2" s="25" t="str">
        <f>Table1[[#This Row],[Route]]&amp;TEXT(Table1[[#This Row],[SegmentID]],"00")</f>
        <v>001A15</v>
      </c>
      <c r="B2" t="s">
        <v>9</v>
      </c>
      <c r="D2">
        <f>IFERROR(ROUND(VLOOKUP(Table1[[#This Row],[Route]],SegmentsPerRoute!$C$3:$L$297,8,FALSE)+(Table1[[#This Row],[Sequence]]-1)*VLOOKUP(Table1[[#This Row],[Route]],SegmentsPerRoute!$C$3:$L$297,10,FALSE),0), 0)</f>
        <v>15</v>
      </c>
      <c r="E2">
        <v>1</v>
      </c>
      <c r="F2" s="1">
        <v>0</v>
      </c>
      <c r="G2" t="s">
        <v>10</v>
      </c>
      <c r="H2" s="1">
        <v>10.053000000000001</v>
      </c>
      <c r="I2" t="s">
        <v>11</v>
      </c>
      <c r="K2" t="s">
        <v>1696</v>
      </c>
      <c r="L2" t="s">
        <v>2048</v>
      </c>
      <c r="M2" t="s">
        <v>2049</v>
      </c>
    </row>
    <row r="3" spans="1:14" x14ac:dyDescent="0.25">
      <c r="A3" s="25" t="str">
        <f>Table1[[#This Row],[Route]]&amp;TEXT(Table1[[#This Row],[SegmentID]],"00")</f>
        <v>002A15</v>
      </c>
      <c r="B3" t="s">
        <v>12</v>
      </c>
      <c r="D3">
        <f>IFERROR(ROUND(VLOOKUP(Table1[[#This Row],[Route]],SegmentsPerRoute!$C$3:$L$297,8,FALSE)+(Table1[[#This Row],[Sequence]]-1)*VLOOKUP(Table1[[#This Row],[Route]],SegmentsPerRoute!$C$3:$L$297,10,FALSE),0), 0)</f>
        <v>15</v>
      </c>
      <c r="E3">
        <v>1</v>
      </c>
      <c r="F3" s="1">
        <v>0</v>
      </c>
      <c r="G3" t="s">
        <v>13</v>
      </c>
      <c r="H3" s="1">
        <v>2.121</v>
      </c>
      <c r="I3" t="s">
        <v>11</v>
      </c>
      <c r="K3" t="s">
        <v>1696</v>
      </c>
      <c r="L3" t="s">
        <v>2050</v>
      </c>
      <c r="M3" t="s">
        <v>2055</v>
      </c>
    </row>
    <row r="4" spans="1:14" x14ac:dyDescent="0.25">
      <c r="A4" s="25" t="str">
        <f>Table1[[#This Row],[Route]]&amp;TEXT(Table1[[#This Row],[SegmentID]],"00")</f>
        <v>002A33</v>
      </c>
      <c r="B4" t="s">
        <v>12</v>
      </c>
      <c r="D4">
        <f>IFERROR(ROUND(VLOOKUP(Table1[[#This Row],[Route]],SegmentsPerRoute!$C$3:$L$297,8,FALSE)+(Table1[[#This Row],[Sequence]]-1)*VLOOKUP(Table1[[#This Row],[Route]],SegmentsPerRoute!$C$3:$L$297,10,FALSE),0), 0)</f>
        <v>33</v>
      </c>
      <c r="E4">
        <v>2</v>
      </c>
      <c r="F4" s="1">
        <v>2.121</v>
      </c>
      <c r="G4" t="s">
        <v>11</v>
      </c>
      <c r="H4" s="1">
        <v>4.3769999999999998</v>
      </c>
      <c r="I4" t="s">
        <v>14</v>
      </c>
      <c r="K4" t="s">
        <v>1696</v>
      </c>
      <c r="L4" t="s">
        <v>2051</v>
      </c>
      <c r="M4" t="s">
        <v>2054</v>
      </c>
    </row>
    <row r="5" spans="1:14" x14ac:dyDescent="0.25">
      <c r="A5" s="25" t="str">
        <f>Table1[[#This Row],[Route]]&amp;TEXT(Table1[[#This Row],[SegmentID]],"00")</f>
        <v>002A50</v>
      </c>
      <c r="B5" t="s">
        <v>12</v>
      </c>
      <c r="D5">
        <f>IFERROR(ROUND(VLOOKUP(Table1[[#This Row],[Route]],SegmentsPerRoute!$C$3:$L$297,8,FALSE)+(Table1[[#This Row],[Sequence]]-1)*VLOOKUP(Table1[[#This Row],[Route]],SegmentsPerRoute!$C$3:$L$297,10,FALSE),0), 0)</f>
        <v>50</v>
      </c>
      <c r="E5">
        <v>3</v>
      </c>
      <c r="F5" s="1">
        <v>4.3769999999999998</v>
      </c>
      <c r="G5" t="s">
        <v>14</v>
      </c>
      <c r="H5" s="1">
        <v>5.9930000000000003</v>
      </c>
      <c r="I5" t="s">
        <v>15</v>
      </c>
      <c r="K5" t="s">
        <v>1696</v>
      </c>
      <c r="L5" t="s">
        <v>2051</v>
      </c>
      <c r="M5" t="s">
        <v>2054</v>
      </c>
    </row>
    <row r="6" spans="1:14" x14ac:dyDescent="0.25">
      <c r="A6" s="25" t="str">
        <f>Table1[[#This Row],[Route]]&amp;TEXT(Table1[[#This Row],[SegmentID]],"00")</f>
        <v>002A68</v>
      </c>
      <c r="B6" t="s">
        <v>12</v>
      </c>
      <c r="D6">
        <f>IFERROR(ROUND(VLOOKUP(Table1[[#This Row],[Route]],SegmentsPerRoute!$C$3:$L$297,8,FALSE)+(Table1[[#This Row],[Sequence]]-1)*VLOOKUP(Table1[[#This Row],[Route]],SegmentsPerRoute!$C$3:$L$297,10,FALSE),0), 0)</f>
        <v>68</v>
      </c>
      <c r="E6">
        <v>4</v>
      </c>
      <c r="F6" s="1">
        <v>5.9930000000000003</v>
      </c>
      <c r="G6" t="s">
        <v>15</v>
      </c>
      <c r="H6" s="1">
        <v>8.7249999999999996</v>
      </c>
      <c r="I6" t="s">
        <v>16</v>
      </c>
      <c r="K6" t="s">
        <v>1696</v>
      </c>
      <c r="L6" t="s">
        <v>2051</v>
      </c>
      <c r="M6" t="s">
        <v>2054</v>
      </c>
    </row>
    <row r="7" spans="1:14" x14ac:dyDescent="0.25">
      <c r="A7" s="25" t="str">
        <f>Table1[[#This Row],[Route]]&amp;TEXT(Table1[[#This Row],[SegmentID]],"00")</f>
        <v>002A85</v>
      </c>
      <c r="B7" t="s">
        <v>12</v>
      </c>
      <c r="D7">
        <f>IFERROR(ROUND(VLOOKUP(Table1[[#This Row],[Route]],SegmentsPerRoute!$C$3:$L$297,8,FALSE)+(Table1[[#This Row],[Sequence]]-1)*VLOOKUP(Table1[[#This Row],[Route]],SegmentsPerRoute!$C$3:$L$297,10,FALSE),0), 0)</f>
        <v>85</v>
      </c>
      <c r="E7">
        <v>5</v>
      </c>
      <c r="F7" s="1">
        <v>8.7249999999999996</v>
      </c>
      <c r="G7" t="s">
        <v>16</v>
      </c>
      <c r="H7" s="1">
        <v>9.8420000000000005</v>
      </c>
      <c r="I7" t="s">
        <v>17</v>
      </c>
      <c r="K7" t="s">
        <v>1696</v>
      </c>
      <c r="L7" t="s">
        <v>2052</v>
      </c>
      <c r="M7" t="s">
        <v>2053</v>
      </c>
    </row>
    <row r="8" spans="1:14" x14ac:dyDescent="0.25">
      <c r="A8" s="25" t="str">
        <f>Table1[[#This Row],[Route]]&amp;TEXT(Table1[[#This Row],[SegmentID]],"00")</f>
        <v>002D15</v>
      </c>
      <c r="B8" t="s">
        <v>18</v>
      </c>
      <c r="D8">
        <f>IFERROR(ROUND(VLOOKUP(Table1[[#This Row],[Route]],SegmentsPerRoute!$C$3:$L$297,8,FALSE)+(Table1[[#This Row],[Sequence]]-1)*VLOOKUP(Table1[[#This Row],[Route]],SegmentsPerRoute!$C$3:$L$297,10,FALSE),0), 0)</f>
        <v>15</v>
      </c>
      <c r="E8">
        <v>1</v>
      </c>
      <c r="F8" s="1">
        <v>19.506</v>
      </c>
      <c r="G8" t="s">
        <v>19</v>
      </c>
      <c r="H8" s="1">
        <v>19.943999999999999</v>
      </c>
      <c r="I8" t="s">
        <v>20</v>
      </c>
      <c r="J8" t="s">
        <v>21</v>
      </c>
      <c r="K8" t="s">
        <v>1709</v>
      </c>
      <c r="N8" t="s">
        <v>22</v>
      </c>
    </row>
    <row r="9" spans="1:14" x14ac:dyDescent="0.25">
      <c r="A9" s="25" t="str">
        <f>Table1[[#This Row],[Route]]&amp;TEXT(Table1[[#This Row],[SegmentID]],"00")</f>
        <v>003A15</v>
      </c>
      <c r="B9" t="s">
        <v>23</v>
      </c>
      <c r="D9">
        <f>IFERROR(ROUND(VLOOKUP(Table1[[#This Row],[Route]],SegmentsPerRoute!$C$3:$L$297,8,FALSE)+(Table1[[#This Row],[Sequence]]-1)*VLOOKUP(Table1[[#This Row],[Route]],SegmentsPerRoute!$C$3:$L$297,10,FALSE),0), 0)</f>
        <v>15</v>
      </c>
      <c r="E9">
        <v>1</v>
      </c>
      <c r="F9" s="1">
        <v>0</v>
      </c>
      <c r="G9" t="s">
        <v>24</v>
      </c>
      <c r="H9" s="1">
        <v>2.444</v>
      </c>
      <c r="I9" t="s">
        <v>24</v>
      </c>
      <c r="J9" t="s">
        <v>4594</v>
      </c>
      <c r="K9" t="s">
        <v>1696</v>
      </c>
      <c r="N9" t="s">
        <v>25</v>
      </c>
    </row>
    <row r="10" spans="1:14" x14ac:dyDescent="0.25">
      <c r="A10" s="40" t="str">
        <f>Table1[[#This Row],[Route]]&amp;TEXT(Table1[[#This Row],[SegmentID]],"00")</f>
        <v>005A15</v>
      </c>
      <c r="B10" t="s">
        <v>26</v>
      </c>
      <c r="D10">
        <f>IFERROR(ROUND(VLOOKUP(Table1[[#This Row],[Route]],SegmentsPerRoute!$C$3:$L$297,8,FALSE)+(Table1[[#This Row],[Sequence]]-1)*VLOOKUP(Table1[[#This Row],[Route]],SegmentsPerRoute!$C$3:$L$297,10,FALSE),0), 0)</f>
        <v>15</v>
      </c>
      <c r="E10">
        <v>1</v>
      </c>
      <c r="F10" s="1">
        <v>0</v>
      </c>
      <c r="G10" t="s">
        <v>27</v>
      </c>
      <c r="H10" s="1">
        <v>14.894</v>
      </c>
      <c r="I10" t="s">
        <v>28</v>
      </c>
      <c r="J10" t="s">
        <v>21</v>
      </c>
      <c r="K10" t="s">
        <v>1710</v>
      </c>
    </row>
    <row r="11" spans="1:14" x14ac:dyDescent="0.25">
      <c r="A11" s="25" t="str">
        <f>Table1[[#This Row],[Route]]&amp;TEXT(Table1[[#This Row],[SegmentID]],"00")</f>
        <v>006A15</v>
      </c>
      <c r="B11" t="s">
        <v>29</v>
      </c>
      <c r="C11" s="3" t="s">
        <v>35</v>
      </c>
      <c r="D11">
        <f>IFERROR(ROUND(VLOOKUP(Table1[[#This Row],[Route]],SegmentsPerRoute!$C$3:$L$297,8,FALSE)+(Table1[[#This Row],[Sequence]]-1)*VLOOKUP(Table1[[#This Row],[Route]],SegmentsPerRoute!$C$3:$L$297,10,FALSE),0), 0)</f>
        <v>15</v>
      </c>
      <c r="E11">
        <v>1</v>
      </c>
      <c r="F11" s="1">
        <v>11.08</v>
      </c>
      <c r="G11" t="s">
        <v>30</v>
      </c>
      <c r="H11" s="1">
        <v>15.132</v>
      </c>
      <c r="I11" t="s">
        <v>31</v>
      </c>
      <c r="K11" t="s">
        <v>1705</v>
      </c>
      <c r="L11" t="s">
        <v>2056</v>
      </c>
      <c r="M11" t="s">
        <v>2059</v>
      </c>
    </row>
    <row r="12" spans="1:14" x14ac:dyDescent="0.25">
      <c r="A12" s="25" t="str">
        <f>Table1[[#This Row],[Route]]&amp;TEXT(Table1[[#This Row],[SegmentID]],"00")</f>
        <v>006A50</v>
      </c>
      <c r="B12" t="s">
        <v>29</v>
      </c>
      <c r="C12" s="3" t="s">
        <v>36</v>
      </c>
      <c r="D12">
        <f>IFERROR(ROUND(VLOOKUP(Table1[[#This Row],[Route]],SegmentsPerRoute!$C$3:$L$297,8,FALSE)+(Table1[[#This Row],[Sequence]]-1)*VLOOKUP(Table1[[#This Row],[Route]],SegmentsPerRoute!$C$3:$L$297,10,FALSE),0), 0)</f>
        <v>50</v>
      </c>
      <c r="E12">
        <v>2</v>
      </c>
      <c r="F12" s="1">
        <v>15.132</v>
      </c>
      <c r="G12" t="s">
        <v>31</v>
      </c>
      <c r="H12" s="1">
        <v>19.954999999999998</v>
      </c>
      <c r="I12" t="s">
        <v>32</v>
      </c>
      <c r="K12" t="s">
        <v>1705</v>
      </c>
      <c r="L12" t="s">
        <v>2057</v>
      </c>
      <c r="M12" t="s">
        <v>2058</v>
      </c>
    </row>
    <row r="13" spans="1:14" x14ac:dyDescent="0.25">
      <c r="A13" s="25" t="str">
        <f>Table1[[#This Row],[Route]]&amp;TEXT(Table1[[#This Row],[SegmentID]],"00")</f>
        <v>006A85</v>
      </c>
      <c r="B13" t="s">
        <v>29</v>
      </c>
      <c r="C13" s="3" t="s">
        <v>37</v>
      </c>
      <c r="D13">
        <f>IFERROR(ROUND(VLOOKUP(Table1[[#This Row],[Route]],SegmentsPerRoute!$C$3:$L$297,8,FALSE)+(Table1[[#This Row],[Sequence]]-1)*VLOOKUP(Table1[[#This Row],[Route]],SegmentsPerRoute!$C$3:$L$297,10,FALSE),0), 0)</f>
        <v>85</v>
      </c>
      <c r="E13">
        <v>3</v>
      </c>
      <c r="F13" s="1">
        <v>19.954999999999998</v>
      </c>
      <c r="G13" t="s">
        <v>32</v>
      </c>
      <c r="H13" s="1">
        <v>26.08</v>
      </c>
      <c r="I13" t="s">
        <v>33</v>
      </c>
      <c r="J13" t="s">
        <v>4595</v>
      </c>
      <c r="K13" t="s">
        <v>1705</v>
      </c>
    </row>
    <row r="14" spans="1:14" x14ac:dyDescent="0.25">
      <c r="A14" s="25" t="str">
        <f>Table1[[#This Row],[Route]]&amp;TEXT(Table1[[#This Row],[SegmentID]],"00")</f>
        <v>006B15</v>
      </c>
      <c r="B14" t="s">
        <v>38</v>
      </c>
      <c r="D14">
        <f>IFERROR(ROUND(VLOOKUP(Table1[[#This Row],[Route]],SegmentsPerRoute!$C$3:$L$297,8,FALSE)+(Table1[[#This Row],[Sequence]]-1)*VLOOKUP(Table1[[#This Row],[Route]],SegmentsPerRoute!$C$3:$L$297,10,FALSE),0), 0)</f>
        <v>15</v>
      </c>
      <c r="E14">
        <v>1</v>
      </c>
      <c r="F14" s="1">
        <v>30.123000000000001</v>
      </c>
      <c r="G14" t="s">
        <v>39</v>
      </c>
      <c r="H14" s="1">
        <v>34.534999999999997</v>
      </c>
      <c r="I14" t="s">
        <v>40</v>
      </c>
      <c r="J14" t="s">
        <v>4596</v>
      </c>
      <c r="K14" t="s">
        <v>1696</v>
      </c>
    </row>
    <row r="15" spans="1:14" x14ac:dyDescent="0.25">
      <c r="A15" s="25" t="str">
        <f>Table1[[#This Row],[Route]]&amp;TEXT(Table1[[#This Row],[SegmentID]],"00")</f>
        <v>006C15</v>
      </c>
      <c r="B15" t="s">
        <v>41</v>
      </c>
      <c r="D15">
        <f>IFERROR(ROUND(VLOOKUP(Table1[[#This Row],[Route]],SegmentsPerRoute!$C$3:$L$297,8,FALSE)+(Table1[[#This Row],[Sequence]]-1)*VLOOKUP(Table1[[#This Row],[Route]],SegmentsPerRoute!$C$3:$L$297,10,FALSE),0), 0)</f>
        <v>15</v>
      </c>
      <c r="E15">
        <v>1</v>
      </c>
      <c r="F15" s="1">
        <v>37.161000000000001</v>
      </c>
      <c r="G15" t="s">
        <v>40</v>
      </c>
      <c r="H15" s="1">
        <v>46.058</v>
      </c>
      <c r="I15" t="s">
        <v>42</v>
      </c>
      <c r="J15" t="s">
        <v>4595</v>
      </c>
      <c r="K15" t="s">
        <v>1696</v>
      </c>
      <c r="N15" t="s">
        <v>48</v>
      </c>
    </row>
    <row r="16" spans="1:14" x14ac:dyDescent="0.25">
      <c r="A16" s="25" t="str">
        <f>Table1[[#This Row],[Route]]&amp;TEXT(Table1[[#This Row],[SegmentID]],"00")</f>
        <v>006D15</v>
      </c>
      <c r="B16" t="s">
        <v>45</v>
      </c>
      <c r="C16" s="3" t="s">
        <v>43</v>
      </c>
      <c r="D16">
        <f>IFERROR(ROUND(VLOOKUP(Table1[[#This Row],[Route]],SegmentsPerRoute!$C$3:$L$297,8,FALSE)+(Table1[[#This Row],[Sequence]]-1)*VLOOKUP(Table1[[#This Row],[Route]],SegmentsPerRoute!$C$3:$L$297,10,FALSE),0), 0)</f>
        <v>15</v>
      </c>
      <c r="E16">
        <v>1</v>
      </c>
      <c r="F16" s="1">
        <v>92.275000000000006</v>
      </c>
      <c r="G16" t="s">
        <v>46</v>
      </c>
      <c r="H16" s="1">
        <v>99.231999999999999</v>
      </c>
      <c r="I16" t="s">
        <v>56</v>
      </c>
      <c r="J16" t="s">
        <v>4595</v>
      </c>
      <c r="K16" t="s">
        <v>1705</v>
      </c>
      <c r="N16" t="s">
        <v>48</v>
      </c>
    </row>
    <row r="17" spans="1:14" x14ac:dyDescent="0.25">
      <c r="A17" s="25" t="str">
        <f>Table1[[#This Row],[Route]]&amp;TEXT(Table1[[#This Row],[SegmentID]],"00")</f>
        <v>006D50</v>
      </c>
      <c r="B17" t="s">
        <v>45</v>
      </c>
      <c r="C17" s="3" t="s">
        <v>44</v>
      </c>
      <c r="D17">
        <f>IFERROR(ROUND(VLOOKUP(Table1[[#This Row],[Route]],SegmentsPerRoute!$C$3:$L$297,8,FALSE)+(Table1[[#This Row],[Sequence]]-1)*VLOOKUP(Table1[[#This Row],[Route]],SegmentsPerRoute!$C$3:$L$297,10,FALSE),0), 0)</f>
        <v>50</v>
      </c>
      <c r="E17">
        <v>2</v>
      </c>
      <c r="F17" s="1">
        <v>99.231999999999999</v>
      </c>
      <c r="G17" t="s">
        <v>56</v>
      </c>
      <c r="H17" s="1">
        <v>107.21</v>
      </c>
      <c r="I17" t="s">
        <v>47</v>
      </c>
      <c r="J17" t="s">
        <v>4595</v>
      </c>
      <c r="K17" t="s">
        <v>1705</v>
      </c>
      <c r="N17" t="s">
        <v>49</v>
      </c>
    </row>
    <row r="18" spans="1:14" x14ac:dyDescent="0.25">
      <c r="A18" s="41" t="str">
        <f>Table1[[#This Row],[Route]]&amp;TEXT(Table1[[#This Row],[SegmentID]],"00")</f>
        <v>006D85</v>
      </c>
      <c r="B18" t="s">
        <v>45</v>
      </c>
      <c r="C18" s="3" t="s">
        <v>44</v>
      </c>
      <c r="D18">
        <f>IFERROR(ROUND(VLOOKUP(Table1[[#This Row],[Route]],SegmentsPerRoute!$C$3:$L$297,8,FALSE)+(Table1[[#This Row],[Sequence]]-1)*VLOOKUP(Table1[[#This Row],[Route]],SegmentsPerRoute!$C$3:$L$297,10,FALSE),0), 0)</f>
        <v>85</v>
      </c>
      <c r="E18">
        <v>3</v>
      </c>
      <c r="F18" s="1">
        <v>107.21</v>
      </c>
      <c r="G18" t="s">
        <v>47</v>
      </c>
      <c r="H18" s="1">
        <v>110.806</v>
      </c>
      <c r="I18" t="s">
        <v>789</v>
      </c>
      <c r="J18" t="s">
        <v>4595</v>
      </c>
      <c r="K18" t="s">
        <v>1705</v>
      </c>
      <c r="N18" t="s">
        <v>49</v>
      </c>
    </row>
    <row r="19" spans="1:14" x14ac:dyDescent="0.25">
      <c r="A19" s="25" t="str">
        <f>Table1[[#This Row],[Route]]&amp;TEXT(Table1[[#This Row],[SegmentID]],"00")</f>
        <v>006E33</v>
      </c>
      <c r="B19" t="s">
        <v>50</v>
      </c>
      <c r="C19" s="3" t="s">
        <v>51</v>
      </c>
      <c r="D19">
        <f>IFERROR(ROUND(VLOOKUP(Table1[[#This Row],[Route]],SegmentsPerRoute!$C$3:$L$297,8,FALSE)+(Table1[[#This Row],[Sequence]]-1)*VLOOKUP(Table1[[#This Row],[Route]],SegmentsPerRoute!$C$3:$L$297,10,FALSE),0), 0)</f>
        <v>33</v>
      </c>
      <c r="E19">
        <v>3</v>
      </c>
      <c r="F19" s="1">
        <v>149.71799999999999</v>
      </c>
      <c r="G19" t="s">
        <v>53</v>
      </c>
      <c r="H19" s="1">
        <v>159.184</v>
      </c>
      <c r="I19" t="s">
        <v>54</v>
      </c>
      <c r="J19" t="s">
        <v>4595</v>
      </c>
      <c r="K19" t="s">
        <v>1705</v>
      </c>
      <c r="N19" t="s">
        <v>60</v>
      </c>
    </row>
    <row r="20" spans="1:14" x14ac:dyDescent="0.25">
      <c r="A20" s="41" t="str">
        <f>Table1[[#This Row],[Route]]&amp;TEXT(Table1[[#This Row],[SegmentID]],"00")</f>
        <v>006E41</v>
      </c>
      <c r="B20" t="s">
        <v>50</v>
      </c>
      <c r="C20" s="11" t="s">
        <v>1720</v>
      </c>
      <c r="D20">
        <f>IFERROR(ROUND(VLOOKUP(Table1[[#This Row],[Route]],SegmentsPerRoute!$C$3:$L$297,8,FALSE)+(Table1[[#This Row],[Sequence]]-1)*VLOOKUP(Table1[[#This Row],[Route]],SegmentsPerRoute!$C$3:$L$297,10,FALSE),0), 0)</f>
        <v>41</v>
      </c>
      <c r="E20">
        <f>E19+1</f>
        <v>4</v>
      </c>
      <c r="F20" s="1">
        <v>159.184</v>
      </c>
      <c r="G20" t="s">
        <v>54</v>
      </c>
      <c r="H20" s="1">
        <v>159.57300000000001</v>
      </c>
      <c r="I20" t="s">
        <v>59</v>
      </c>
      <c r="J20" s="10"/>
      <c r="K20" t="s">
        <v>1724</v>
      </c>
      <c r="L20" t="s">
        <v>2060</v>
      </c>
      <c r="M20" t="s">
        <v>2063</v>
      </c>
      <c r="N20" t="s">
        <v>60</v>
      </c>
    </row>
    <row r="21" spans="1:14" x14ac:dyDescent="0.25">
      <c r="A21" s="25" t="str">
        <f>Table1[[#This Row],[Route]]&amp;TEXT(Table1[[#This Row],[SegmentID]],"00")</f>
        <v>006E50</v>
      </c>
      <c r="B21" t="s">
        <v>50</v>
      </c>
      <c r="C21" s="11" t="s">
        <v>1721</v>
      </c>
      <c r="D21">
        <f>IFERROR(ROUND(VLOOKUP(Table1[[#This Row],[Route]],SegmentsPerRoute!$C$3:$L$297,8,FALSE)+(Table1[[#This Row],[Sequence]]-1)*VLOOKUP(Table1[[#This Row],[Route]],SegmentsPerRoute!$C$3:$L$297,10,FALSE),0), 0)</f>
        <v>50</v>
      </c>
      <c r="E21">
        <f t="shared" ref="E21:E23" si="0">E20+1</f>
        <v>5</v>
      </c>
      <c r="F21" s="1">
        <v>159.57300000000001</v>
      </c>
      <c r="G21" t="s">
        <v>59</v>
      </c>
      <c r="H21" s="1">
        <v>165.995</v>
      </c>
      <c r="I21" t="s">
        <v>55</v>
      </c>
      <c r="J21" s="10" t="s">
        <v>4595</v>
      </c>
      <c r="K21" t="s">
        <v>1724</v>
      </c>
      <c r="N21" t="s">
        <v>60</v>
      </c>
    </row>
    <row r="22" spans="1:14" x14ac:dyDescent="0.25">
      <c r="A22" s="25" t="str">
        <f>Table1[[#This Row],[Route]]&amp;TEXT(Table1[[#This Row],[SegmentID]],"00")</f>
        <v>006E59</v>
      </c>
      <c r="B22" t="s">
        <v>50</v>
      </c>
      <c r="C22" s="11" t="s">
        <v>1722</v>
      </c>
      <c r="D22">
        <f>IFERROR(ROUND(VLOOKUP(Table1[[#This Row],[Route]],SegmentsPerRoute!$C$3:$L$297,8,FALSE)+(Table1[[#This Row],[Sequence]]-1)*VLOOKUP(Table1[[#This Row],[Route]],SegmentsPerRoute!$C$3:$L$297,10,FALSE),0), 0)</f>
        <v>59</v>
      </c>
      <c r="E22">
        <f t="shared" si="0"/>
        <v>6</v>
      </c>
      <c r="F22" s="1">
        <v>165.995</v>
      </c>
      <c r="G22" s="10" t="s">
        <v>55</v>
      </c>
      <c r="H22" s="14">
        <v>170.041</v>
      </c>
      <c r="I22" s="10" t="s">
        <v>1713</v>
      </c>
      <c r="J22" s="10" t="s">
        <v>4595</v>
      </c>
      <c r="K22" t="s">
        <v>1724</v>
      </c>
      <c r="N22" t="s">
        <v>60</v>
      </c>
    </row>
    <row r="23" spans="1:14" x14ac:dyDescent="0.25">
      <c r="A23" s="41" t="str">
        <f>Table1[[#This Row],[Route]]&amp;TEXT(Table1[[#This Row],[SegmentID]],"00")</f>
        <v>006E68</v>
      </c>
      <c r="B23" t="s">
        <v>50</v>
      </c>
      <c r="C23" s="11" t="s">
        <v>1723</v>
      </c>
      <c r="D23">
        <f>IFERROR(ROUND(VLOOKUP(Table1[[#This Row],[Route]],SegmentsPerRoute!$C$3:$L$297,8,FALSE)+(Table1[[#This Row],[Sequence]]-1)*VLOOKUP(Table1[[#This Row],[Route]],SegmentsPerRoute!$C$3:$L$297,10,FALSE),0), 0)</f>
        <v>68</v>
      </c>
      <c r="E23">
        <f t="shared" si="0"/>
        <v>7</v>
      </c>
      <c r="F23" s="1">
        <v>170.041</v>
      </c>
      <c r="G23" s="10" t="s">
        <v>1713</v>
      </c>
      <c r="H23" s="14">
        <v>172.167</v>
      </c>
      <c r="I23" s="10" t="s">
        <v>58</v>
      </c>
      <c r="J23" s="10"/>
      <c r="K23" t="s">
        <v>1724</v>
      </c>
      <c r="L23" t="s">
        <v>2061</v>
      </c>
      <c r="M23" t="s">
        <v>2062</v>
      </c>
      <c r="N23" t="s">
        <v>60</v>
      </c>
    </row>
    <row r="24" spans="1:14" x14ac:dyDescent="0.25">
      <c r="A24" s="25" t="str">
        <f>Table1[[#This Row],[Route]]&amp;TEXT(Table1[[#This Row],[SegmentID]],"00")</f>
        <v>006E85</v>
      </c>
      <c r="B24" t="s">
        <v>50</v>
      </c>
      <c r="C24" s="3" t="s">
        <v>52</v>
      </c>
      <c r="D24">
        <f>IFERROR(ROUND(VLOOKUP(Table1[[#This Row],[Route]],SegmentsPerRoute!$C$3:$L$297,8,FALSE)+(Table1[[#This Row],[Sequence]]-1)*VLOOKUP(Table1[[#This Row],[Route]],SegmentsPerRoute!$C$3:$L$297,10,FALSE),0), 0)</f>
        <v>85</v>
      </c>
      <c r="E24">
        <f>E23+2</f>
        <v>9</v>
      </c>
      <c r="F24" s="1">
        <v>172.167</v>
      </c>
      <c r="G24" t="s">
        <v>58</v>
      </c>
      <c r="H24" s="1">
        <v>174.541</v>
      </c>
      <c r="I24" t="s">
        <v>57</v>
      </c>
      <c r="J24" t="s">
        <v>4595</v>
      </c>
      <c r="K24" t="s">
        <v>1706</v>
      </c>
      <c r="N24" t="s">
        <v>60</v>
      </c>
    </row>
    <row r="25" spans="1:14" x14ac:dyDescent="0.25">
      <c r="A25" s="25" t="str">
        <f>Table1[[#This Row],[Route]]&amp;TEXT(Table1[[#This Row],[SegmentID]],"00")</f>
        <v>006F15</v>
      </c>
      <c r="B25" t="s">
        <v>61</v>
      </c>
      <c r="D25">
        <f>IFERROR(ROUND(VLOOKUP(Table1[[#This Row],[Route]],SegmentsPerRoute!$C$3:$L$297,8,FALSE)+(Table1[[#This Row],[Sequence]]-1)*VLOOKUP(Table1[[#This Row],[Route]],SegmentsPerRoute!$C$3:$L$297,10,FALSE),0), 0)</f>
        <v>15</v>
      </c>
      <c r="E25">
        <v>1</v>
      </c>
      <c r="F25" s="1">
        <v>208.65899999999999</v>
      </c>
      <c r="G25" t="s">
        <v>62</v>
      </c>
      <c r="H25" s="1">
        <v>229.89599999999999</v>
      </c>
      <c r="I25" t="s">
        <v>63</v>
      </c>
      <c r="J25" t="s">
        <v>4595</v>
      </c>
      <c r="K25" t="s">
        <v>1696</v>
      </c>
      <c r="N25" t="s">
        <v>64</v>
      </c>
    </row>
    <row r="26" spans="1:14" x14ac:dyDescent="0.25">
      <c r="A26" s="25" t="str">
        <f>Table1[[#This Row],[Route]]&amp;TEXT(Table1[[#This Row],[SegmentID]],"00")</f>
        <v>006G15</v>
      </c>
      <c r="B26" t="s">
        <v>65</v>
      </c>
      <c r="C26" s="3" t="s">
        <v>78</v>
      </c>
      <c r="D26">
        <f>IFERROR(ROUND(VLOOKUP(Table1[[#This Row],[Route]],SegmentsPerRoute!$C$3:$L$297,8,FALSE)+(Table1[[#This Row],[Sequence]]-1)*VLOOKUP(Table1[[#This Row],[Route]],SegmentsPerRoute!$C$3:$L$297,10,FALSE),0), 0)</f>
        <v>15</v>
      </c>
      <c r="E26">
        <v>1</v>
      </c>
      <c r="F26" s="1">
        <v>257.07900000000001</v>
      </c>
      <c r="G26" t="s">
        <v>66</v>
      </c>
      <c r="H26" s="1">
        <v>257.75099999999998</v>
      </c>
      <c r="I26" t="s">
        <v>67</v>
      </c>
      <c r="K26" t="s">
        <v>1705</v>
      </c>
      <c r="L26" t="s">
        <v>2064</v>
      </c>
      <c r="M26" t="s">
        <v>2081</v>
      </c>
      <c r="N26" t="s">
        <v>76</v>
      </c>
    </row>
    <row r="27" spans="1:14" x14ac:dyDescent="0.25">
      <c r="A27" s="25" t="str">
        <f>Table1[[#This Row],[Route]]&amp;TEXT(Table1[[#This Row],[SegmentID]],"00")</f>
        <v>006G22</v>
      </c>
      <c r="B27" t="s">
        <v>65</v>
      </c>
      <c r="C27" s="3" t="s">
        <v>78</v>
      </c>
      <c r="D27">
        <f>IFERROR(ROUND(VLOOKUP(Table1[[#This Row],[Route]],SegmentsPerRoute!$C$3:$L$297,8,FALSE)+(Table1[[#This Row],[Sequence]]-1)*VLOOKUP(Table1[[#This Row],[Route]],SegmentsPerRoute!$C$3:$L$297,10,FALSE),0), 0)</f>
        <v>22</v>
      </c>
      <c r="E27">
        <v>2</v>
      </c>
      <c r="F27" s="1">
        <v>257.75099999999998</v>
      </c>
      <c r="G27" t="s">
        <v>67</v>
      </c>
      <c r="H27" s="1">
        <v>260.27</v>
      </c>
      <c r="I27" t="s">
        <v>68</v>
      </c>
      <c r="K27" t="s">
        <v>1705</v>
      </c>
      <c r="L27" t="s">
        <v>2065</v>
      </c>
      <c r="M27" t="s">
        <v>2080</v>
      </c>
      <c r="N27" t="s">
        <v>76</v>
      </c>
    </row>
    <row r="28" spans="1:14" x14ac:dyDescent="0.25">
      <c r="A28" s="25" t="str">
        <f>Table1[[#This Row],[Route]]&amp;TEXT(Table1[[#This Row],[SegmentID]],"00")</f>
        <v>006G29</v>
      </c>
      <c r="B28" t="s">
        <v>65</v>
      </c>
      <c r="C28" s="3" t="s">
        <v>79</v>
      </c>
      <c r="D28">
        <f>IFERROR(ROUND(VLOOKUP(Table1[[#This Row],[Route]],SegmentsPerRoute!$C$3:$L$297,8,FALSE)+(Table1[[#This Row],[Sequence]]-1)*VLOOKUP(Table1[[#This Row],[Route]],SegmentsPerRoute!$C$3:$L$297,10,FALSE),0), 0)</f>
        <v>29</v>
      </c>
      <c r="E28">
        <v>3</v>
      </c>
      <c r="F28" s="1">
        <v>260.27</v>
      </c>
      <c r="G28" t="s">
        <v>68</v>
      </c>
      <c r="H28" s="1">
        <v>271.60199999999998</v>
      </c>
      <c r="I28" t="s">
        <v>69</v>
      </c>
      <c r="K28" t="s">
        <v>1705</v>
      </c>
      <c r="L28" t="s">
        <v>2066</v>
      </c>
      <c r="M28" t="s">
        <v>2079</v>
      </c>
      <c r="N28" t="s">
        <v>76</v>
      </c>
    </row>
    <row r="29" spans="1:14" x14ac:dyDescent="0.25">
      <c r="A29" s="25" t="str">
        <f>Table1[[#This Row],[Route]]&amp;TEXT(Table1[[#This Row],[SegmentID]],"00")</f>
        <v>006G36</v>
      </c>
      <c r="B29" t="s">
        <v>65</v>
      </c>
      <c r="C29" s="3" t="s">
        <v>80</v>
      </c>
      <c r="D29">
        <f>IFERROR(ROUND(VLOOKUP(Table1[[#This Row],[Route]],SegmentsPerRoute!$C$3:$L$297,8,FALSE)+(Table1[[#This Row],[Sequence]]-1)*VLOOKUP(Table1[[#This Row],[Route]],SegmentsPerRoute!$C$3:$L$297,10,FALSE),0), 0)</f>
        <v>36</v>
      </c>
      <c r="E29">
        <v>4</v>
      </c>
      <c r="F29" s="1">
        <v>271.60199999999998</v>
      </c>
      <c r="G29" t="s">
        <v>69</v>
      </c>
      <c r="H29" s="1">
        <v>274.61399999999998</v>
      </c>
      <c r="I29" t="s">
        <v>70</v>
      </c>
      <c r="K29" t="s">
        <v>1705</v>
      </c>
      <c r="L29" t="s">
        <v>2067</v>
      </c>
      <c r="M29" t="s">
        <v>2078</v>
      </c>
    </row>
    <row r="30" spans="1:14" x14ac:dyDescent="0.25">
      <c r="A30" s="41" t="str">
        <f>Table1[[#This Row],[Route]]&amp;TEXT(Table1[[#This Row],[SegmentID]],"00")</f>
        <v>006G43</v>
      </c>
      <c r="B30" t="s">
        <v>65</v>
      </c>
      <c r="C30" s="3" t="s">
        <v>80</v>
      </c>
      <c r="D30">
        <f>IFERROR(ROUND(VLOOKUP(Table1[[#This Row],[Route]],SegmentsPerRoute!$C$3:$L$297,8,FALSE)+(Table1[[#This Row],[Sequence]]-1)*VLOOKUP(Table1[[#This Row],[Route]],SegmentsPerRoute!$C$3:$L$297,10,FALSE),0), 0)</f>
        <v>43</v>
      </c>
      <c r="E30">
        <v>5</v>
      </c>
      <c r="F30" s="1">
        <v>274.61399999999998</v>
      </c>
      <c r="G30" t="s">
        <v>70</v>
      </c>
      <c r="H30" s="1">
        <v>275.12900000000002</v>
      </c>
      <c r="I30" t="s">
        <v>15</v>
      </c>
      <c r="K30" t="s">
        <v>1705</v>
      </c>
      <c r="L30" t="s">
        <v>2068</v>
      </c>
      <c r="M30" t="s">
        <v>2077</v>
      </c>
    </row>
    <row r="31" spans="1:14" x14ac:dyDescent="0.25">
      <c r="A31" s="41" t="str">
        <f>Table1[[#This Row],[Route]]&amp;TEXT(Table1[[#This Row],[SegmentID]],"00")</f>
        <v>006G50</v>
      </c>
      <c r="B31" t="s">
        <v>65</v>
      </c>
      <c r="C31" s="3" t="s">
        <v>80</v>
      </c>
      <c r="D31">
        <f>IFERROR(ROUND(VLOOKUP(Table1[[#This Row],[Route]],SegmentsPerRoute!$C$3:$L$297,8,FALSE)+(Table1[[#This Row],[Sequence]]-1)*VLOOKUP(Table1[[#This Row],[Route]],SegmentsPerRoute!$C$3:$L$297,10,FALSE),0), 0)</f>
        <v>50</v>
      </c>
      <c r="E31">
        <v>6</v>
      </c>
      <c r="F31" s="1">
        <v>275.12900000000002</v>
      </c>
      <c r="G31" t="s">
        <v>15</v>
      </c>
      <c r="H31" s="1">
        <v>275.64999999999998</v>
      </c>
      <c r="I31" t="s">
        <v>71</v>
      </c>
      <c r="K31" t="s">
        <v>1705</v>
      </c>
      <c r="L31" t="s">
        <v>2068</v>
      </c>
      <c r="M31" t="s">
        <v>2077</v>
      </c>
    </row>
    <row r="32" spans="1:14" x14ac:dyDescent="0.25">
      <c r="A32" s="41" t="str">
        <f>Table1[[#This Row],[Route]]&amp;TEXT(Table1[[#This Row],[SegmentID]],"00")</f>
        <v>006G57</v>
      </c>
      <c r="B32" t="s">
        <v>65</v>
      </c>
      <c r="C32" s="3" t="s">
        <v>80</v>
      </c>
      <c r="D32">
        <f>IFERROR(ROUND(VLOOKUP(Table1[[#This Row],[Route]],SegmentsPerRoute!$C$3:$L$297,8,FALSE)+(Table1[[#This Row],[Sequence]]-1)*VLOOKUP(Table1[[#This Row],[Route]],SegmentsPerRoute!$C$3:$L$297,10,FALSE),0), 0)</f>
        <v>57</v>
      </c>
      <c r="E32">
        <v>7</v>
      </c>
      <c r="F32" s="1">
        <v>275.64999999999998</v>
      </c>
      <c r="G32" t="s">
        <v>71</v>
      </c>
      <c r="H32" s="1">
        <v>279.32499999999999</v>
      </c>
      <c r="I32" t="s">
        <v>72</v>
      </c>
      <c r="K32" t="s">
        <v>1705</v>
      </c>
      <c r="L32" t="s">
        <v>2069</v>
      </c>
      <c r="M32" t="s">
        <v>2076</v>
      </c>
    </row>
    <row r="33" spans="1:14" x14ac:dyDescent="0.25">
      <c r="A33" s="41" t="str">
        <f>Table1[[#This Row],[Route]]&amp;TEXT(Table1[[#This Row],[SegmentID]],"00")</f>
        <v>006G64</v>
      </c>
      <c r="B33" t="s">
        <v>65</v>
      </c>
      <c r="C33" s="3" t="s">
        <v>80</v>
      </c>
      <c r="D33">
        <f>IFERROR(ROUND(VLOOKUP(Table1[[#This Row],[Route]],SegmentsPerRoute!$C$3:$L$297,8,FALSE)+(Table1[[#This Row],[Sequence]]-1)*VLOOKUP(Table1[[#This Row],[Route]],SegmentsPerRoute!$C$3:$L$297,10,FALSE),0), 0)</f>
        <v>64</v>
      </c>
      <c r="E33">
        <v>8</v>
      </c>
      <c r="F33" s="1">
        <v>279.32499999999999</v>
      </c>
      <c r="G33" t="s">
        <v>72</v>
      </c>
      <c r="H33" s="1">
        <v>280.83499999999998</v>
      </c>
      <c r="I33" t="s">
        <v>73</v>
      </c>
      <c r="K33" t="s">
        <v>1705</v>
      </c>
      <c r="L33" t="s">
        <v>2070</v>
      </c>
      <c r="M33" t="s">
        <v>2075</v>
      </c>
    </row>
    <row r="34" spans="1:14" x14ac:dyDescent="0.25">
      <c r="A34" s="41" t="str">
        <f>Table1[[#This Row],[Route]]&amp;TEXT(Table1[[#This Row],[SegmentID]],"00")</f>
        <v>006G71</v>
      </c>
      <c r="B34" t="s">
        <v>65</v>
      </c>
      <c r="C34" s="3" t="s">
        <v>80</v>
      </c>
      <c r="D34">
        <f>IFERROR(ROUND(VLOOKUP(Table1[[#This Row],[Route]],SegmentsPerRoute!$C$3:$L$297,8,FALSE)+(Table1[[#This Row],[Sequence]]-1)*VLOOKUP(Table1[[#This Row],[Route]],SegmentsPerRoute!$C$3:$L$297,10,FALSE),0), 0)</f>
        <v>71</v>
      </c>
      <c r="E34">
        <v>9</v>
      </c>
      <c r="F34" s="1">
        <v>280.83499999999998</v>
      </c>
      <c r="G34" t="s">
        <v>73</v>
      </c>
      <c r="H34" s="1">
        <v>282.33300000000003</v>
      </c>
      <c r="I34" t="s">
        <v>74</v>
      </c>
      <c r="K34" t="s">
        <v>1705</v>
      </c>
      <c r="L34" t="s">
        <v>2071</v>
      </c>
      <c r="M34" t="s">
        <v>2074</v>
      </c>
    </row>
    <row r="35" spans="1:14" x14ac:dyDescent="0.25">
      <c r="A35" s="41" t="str">
        <f>Table1[[#This Row],[Route]]&amp;TEXT(Table1[[#This Row],[SegmentID]],"00")</f>
        <v>006G78</v>
      </c>
      <c r="B35" t="s">
        <v>65</v>
      </c>
      <c r="C35" s="3" t="s">
        <v>80</v>
      </c>
      <c r="D35">
        <f>IFERROR(ROUND(VLOOKUP(Table1[[#This Row],[Route]],SegmentsPerRoute!$C$3:$L$297,8,FALSE)+(Table1[[#This Row],[Sequence]]-1)*VLOOKUP(Table1[[#This Row],[Route]],SegmentsPerRoute!$C$3:$L$297,10,FALSE),0), 0)</f>
        <v>78</v>
      </c>
      <c r="E35">
        <v>10</v>
      </c>
      <c r="F35" s="1">
        <v>282.33300000000003</v>
      </c>
      <c r="G35" t="s">
        <v>74</v>
      </c>
      <c r="H35" s="1">
        <v>283.863</v>
      </c>
      <c r="I35" t="s">
        <v>75</v>
      </c>
      <c r="K35" t="s">
        <v>1705</v>
      </c>
      <c r="L35" t="s">
        <v>2072</v>
      </c>
      <c r="M35" t="s">
        <v>2073</v>
      </c>
    </row>
    <row r="36" spans="1:14" x14ac:dyDescent="0.25">
      <c r="A36" s="41" t="str">
        <f>Table1[[#This Row],[Route]]&amp;TEXT(Table1[[#This Row],[SegmentID]],"00")</f>
        <v>006G85</v>
      </c>
      <c r="B36" t="s">
        <v>65</v>
      </c>
      <c r="C36" s="3" t="s">
        <v>80</v>
      </c>
      <c r="D36">
        <f>IFERROR(ROUND(VLOOKUP(Table1[[#This Row],[Route]],SegmentsPerRoute!$C$3:$L$297,8,FALSE)+(Table1[[#This Row],[Sequence]]-1)*VLOOKUP(Table1[[#This Row],[Route]],SegmentsPerRoute!$C$3:$L$297,10,FALSE),0), 0)</f>
        <v>85</v>
      </c>
      <c r="E36">
        <v>11</v>
      </c>
      <c r="F36" s="1">
        <v>283.863</v>
      </c>
      <c r="G36" t="s">
        <v>75</v>
      </c>
      <c r="H36" s="1">
        <v>284.65699999999998</v>
      </c>
      <c r="I36" t="s">
        <v>11</v>
      </c>
      <c r="K36" t="s">
        <v>1705</v>
      </c>
      <c r="L36" s="34"/>
      <c r="M36" s="34"/>
      <c r="N36" t="s">
        <v>77</v>
      </c>
    </row>
    <row r="37" spans="1:14" x14ac:dyDescent="0.25">
      <c r="A37" s="41" t="str">
        <f>Table1[[#This Row],[Route]]&amp;TEXT(Table1[[#This Row],[SegmentID]],"00")</f>
        <v>006H15</v>
      </c>
      <c r="B37" t="s">
        <v>81</v>
      </c>
      <c r="D37">
        <f>IFERROR(ROUND(VLOOKUP(Table1[[#This Row],[Route]],SegmentsPerRoute!$C$3:$L$297,8,FALSE)+(Table1[[#This Row],[Sequence]]-1)*VLOOKUP(Table1[[#This Row],[Route]],SegmentsPerRoute!$C$3:$L$297,10,FALSE),0), 0)</f>
        <v>15</v>
      </c>
      <c r="E37">
        <v>1</v>
      </c>
      <c r="F37" s="1">
        <v>290.98</v>
      </c>
      <c r="G37" t="s">
        <v>82</v>
      </c>
      <c r="H37" s="1">
        <v>292.14499999999998</v>
      </c>
      <c r="I37" t="s">
        <v>83</v>
      </c>
      <c r="K37" t="s">
        <v>1696</v>
      </c>
      <c r="L37" t="s">
        <v>2082</v>
      </c>
      <c r="M37" t="s">
        <v>2087</v>
      </c>
    </row>
    <row r="38" spans="1:14" x14ac:dyDescent="0.25">
      <c r="A38" s="41" t="str">
        <f>Table1[[#This Row],[Route]]&amp;TEXT(Table1[[#This Row],[SegmentID]],"00")</f>
        <v>006H33</v>
      </c>
      <c r="B38" t="s">
        <v>81</v>
      </c>
      <c r="D38">
        <f>IFERROR(ROUND(VLOOKUP(Table1[[#This Row],[Route]],SegmentsPerRoute!$C$3:$L$297,8,FALSE)+(Table1[[#This Row],[Sequence]]-1)*VLOOKUP(Table1[[#This Row],[Route]],SegmentsPerRoute!$C$3:$L$297,10,FALSE),0), 0)</f>
        <v>33</v>
      </c>
      <c r="E38">
        <v>2</v>
      </c>
      <c r="F38" s="1">
        <v>292.14499999999998</v>
      </c>
      <c r="G38" t="s">
        <v>83</v>
      </c>
      <c r="H38" s="1">
        <v>292.72300000000001</v>
      </c>
      <c r="I38" t="s">
        <v>84</v>
      </c>
      <c r="K38" t="s">
        <v>1696</v>
      </c>
      <c r="L38" t="s">
        <v>2083</v>
      </c>
      <c r="M38" t="s">
        <v>2086</v>
      </c>
      <c r="N38" t="s">
        <v>88</v>
      </c>
    </row>
    <row r="39" spans="1:14" x14ac:dyDescent="0.25">
      <c r="A39" s="41" t="str">
        <f>Table1[[#This Row],[Route]]&amp;TEXT(Table1[[#This Row],[SegmentID]],"00")</f>
        <v>006H50</v>
      </c>
      <c r="B39" t="s">
        <v>81</v>
      </c>
      <c r="D39">
        <f>IFERROR(ROUND(VLOOKUP(Table1[[#This Row],[Route]],SegmentsPerRoute!$C$3:$L$297,8,FALSE)+(Table1[[#This Row],[Sequence]]-1)*VLOOKUP(Table1[[#This Row],[Route]],SegmentsPerRoute!$C$3:$L$297,10,FALSE),0), 0)</f>
        <v>50</v>
      </c>
      <c r="E39">
        <v>3</v>
      </c>
      <c r="F39" s="1">
        <v>292.72300000000001</v>
      </c>
      <c r="G39" t="s">
        <v>84</v>
      </c>
      <c r="H39" s="1">
        <v>294.23500000000001</v>
      </c>
      <c r="I39" t="s">
        <v>85</v>
      </c>
      <c r="K39" t="s">
        <v>1696</v>
      </c>
      <c r="L39" t="s">
        <v>2084</v>
      </c>
      <c r="M39" t="s">
        <v>2085</v>
      </c>
    </row>
    <row r="40" spans="1:14" x14ac:dyDescent="0.25">
      <c r="A40" s="41" t="str">
        <f>Table1[[#This Row],[Route]]&amp;TEXT(Table1[[#This Row],[SegmentID]],"00")</f>
        <v>006H68</v>
      </c>
      <c r="B40" t="s">
        <v>81</v>
      </c>
      <c r="D40">
        <f>IFERROR(ROUND(VLOOKUP(Table1[[#This Row],[Route]],SegmentsPerRoute!$C$3:$L$297,8,FALSE)+(Table1[[#This Row],[Sequence]]-1)*VLOOKUP(Table1[[#This Row],[Route]],SegmentsPerRoute!$C$3:$L$297,10,FALSE),0), 0)</f>
        <v>68</v>
      </c>
      <c r="E40">
        <v>4</v>
      </c>
      <c r="F40" s="1">
        <v>294.23500000000001</v>
      </c>
      <c r="G40" t="s">
        <v>85</v>
      </c>
      <c r="H40" s="1">
        <v>294.91000000000003</v>
      </c>
      <c r="I40" t="s">
        <v>86</v>
      </c>
      <c r="K40" t="s">
        <v>1696</v>
      </c>
      <c r="L40" t="s">
        <v>2084</v>
      </c>
      <c r="M40" t="s">
        <v>2085</v>
      </c>
    </row>
    <row r="41" spans="1:14" x14ac:dyDescent="0.25">
      <c r="A41" s="41" t="str">
        <f>Table1[[#This Row],[Route]]&amp;TEXT(Table1[[#This Row],[SegmentID]],"00")</f>
        <v>006H85</v>
      </c>
      <c r="B41" t="s">
        <v>81</v>
      </c>
      <c r="D41">
        <f>IFERROR(ROUND(VLOOKUP(Table1[[#This Row],[Route]],SegmentsPerRoute!$C$3:$L$297,8,FALSE)+(Table1[[#This Row],[Sequence]]-1)*VLOOKUP(Table1[[#This Row],[Route]],SegmentsPerRoute!$C$3:$L$297,10,FALSE),0), 0)</f>
        <v>85</v>
      </c>
      <c r="E41">
        <v>5</v>
      </c>
      <c r="F41" s="1">
        <v>294.91000000000003</v>
      </c>
      <c r="G41" t="s">
        <v>86</v>
      </c>
      <c r="H41" s="1">
        <v>296.32</v>
      </c>
      <c r="I41" t="s">
        <v>87</v>
      </c>
      <c r="K41" t="s">
        <v>1696</v>
      </c>
      <c r="L41" t="s">
        <v>2084</v>
      </c>
      <c r="M41" t="s">
        <v>2085</v>
      </c>
    </row>
    <row r="42" spans="1:14" x14ac:dyDescent="0.25">
      <c r="A42" s="41" t="str">
        <f>Table1[[#This Row],[Route]]&amp;TEXT(Table1[[#This Row],[SegmentID]],"00")</f>
        <v>006I15</v>
      </c>
      <c r="B42" s="10" t="s">
        <v>89</v>
      </c>
      <c r="C42" s="3" t="s">
        <v>2035</v>
      </c>
      <c r="D42">
        <f>IFERROR(ROUND(VLOOKUP(Table1[[#This Row],[Route]],SegmentsPerRoute!$C$3:$L$297,8,FALSE)+(Table1[[#This Row],[Sequence]]-1)*VLOOKUP(Table1[[#This Row],[Route]],SegmentsPerRoute!$C$3:$L$297,10,FALSE),0), 0)</f>
        <v>15</v>
      </c>
      <c r="E42">
        <v>1</v>
      </c>
      <c r="F42" s="1">
        <v>343.51900000000001</v>
      </c>
      <c r="G42" t="s">
        <v>90</v>
      </c>
      <c r="H42" s="1">
        <v>345.928</v>
      </c>
      <c r="I42" t="s">
        <v>91</v>
      </c>
      <c r="J42" s="10" t="s">
        <v>4620</v>
      </c>
      <c r="K42" t="s">
        <v>2040</v>
      </c>
    </row>
    <row r="43" spans="1:14" ht="30" x14ac:dyDescent="0.25">
      <c r="A43" s="41" t="str">
        <f>Table1[[#This Row],[Route]]&amp;TEXT(Table1[[#This Row],[SegmentID]],"00")</f>
        <v>006I50</v>
      </c>
      <c r="B43" s="10" t="s">
        <v>89</v>
      </c>
      <c r="C43" s="3" t="s">
        <v>2036</v>
      </c>
      <c r="D43">
        <f>IFERROR(ROUND(VLOOKUP(Table1[[#This Row],[Route]],SegmentsPerRoute!$C$3:$L$297,8,FALSE)+(Table1[[#This Row],[Sequence]]-1)*VLOOKUP(Table1[[#This Row],[Route]],SegmentsPerRoute!$C$3:$L$297,10,FALSE),0), 0)</f>
        <v>50</v>
      </c>
      <c r="E43">
        <v>2</v>
      </c>
      <c r="F43" s="1">
        <v>345.928</v>
      </c>
      <c r="G43" t="s">
        <v>91</v>
      </c>
      <c r="H43" s="1">
        <v>346.42500000000001</v>
      </c>
      <c r="I43" t="s">
        <v>92</v>
      </c>
      <c r="J43" s="4" t="s">
        <v>2037</v>
      </c>
      <c r="K43" t="s">
        <v>2040</v>
      </c>
      <c r="L43" s="35"/>
      <c r="M43" s="35"/>
    </row>
    <row r="44" spans="1:14" x14ac:dyDescent="0.25">
      <c r="A44" s="41" t="str">
        <f>Table1[[#This Row],[Route]]&amp;TEXT(Table1[[#This Row],[SegmentID]],"00")</f>
        <v>006I85</v>
      </c>
      <c r="B44" t="s">
        <v>89</v>
      </c>
      <c r="C44" s="3" t="s">
        <v>2036</v>
      </c>
      <c r="D44">
        <f>IFERROR(ROUND(VLOOKUP(Table1[[#This Row],[Route]],SegmentsPerRoute!$C$3:$L$297,8,FALSE)+(Table1[[#This Row],[Sequence]]-1)*VLOOKUP(Table1[[#This Row],[Route]],SegmentsPerRoute!$C$3:$L$297,10,FALSE),0), 0)</f>
        <v>85</v>
      </c>
      <c r="E44">
        <v>3</v>
      </c>
      <c r="F44" s="1">
        <v>346.42500000000001</v>
      </c>
      <c r="G44" t="s">
        <v>92</v>
      </c>
      <c r="H44" s="1">
        <v>346.697</v>
      </c>
      <c r="I44" t="s">
        <v>87</v>
      </c>
      <c r="J44" t="s">
        <v>2041</v>
      </c>
      <c r="K44" t="s">
        <v>2040</v>
      </c>
      <c r="L44" s="34"/>
      <c r="M44" s="34"/>
    </row>
    <row r="45" spans="1:14" x14ac:dyDescent="0.25">
      <c r="A45" s="41" t="str">
        <f>Table1[[#This Row],[Route]]&amp;TEXT(Table1[[#This Row],[SegmentID]],"00")</f>
        <v>006J15</v>
      </c>
      <c r="B45" t="s">
        <v>93</v>
      </c>
      <c r="C45" s="3" t="s">
        <v>102</v>
      </c>
      <c r="D45">
        <f>IFERROR(ROUND(VLOOKUP(Table1[[#This Row],[Route]],SegmentsPerRoute!$C$3:$L$297,8,FALSE)+(Table1[[#This Row],[Sequence]]-1)*VLOOKUP(Table1[[#This Row],[Route]],SegmentsPerRoute!$C$3:$L$297,10,FALSE),0), 0)</f>
        <v>15</v>
      </c>
      <c r="E45">
        <v>1</v>
      </c>
      <c r="F45" s="1">
        <v>371.69</v>
      </c>
      <c r="G45" t="s">
        <v>94</v>
      </c>
      <c r="H45" s="1">
        <v>397.95499999999998</v>
      </c>
      <c r="I45" t="s">
        <v>95</v>
      </c>
      <c r="J45" t="s">
        <v>4597</v>
      </c>
      <c r="K45" t="s">
        <v>1705</v>
      </c>
      <c r="N45" t="s">
        <v>77</v>
      </c>
    </row>
    <row r="46" spans="1:14" x14ac:dyDescent="0.25">
      <c r="A46" s="41" t="str">
        <f>Table1[[#This Row],[Route]]&amp;TEXT(Table1[[#This Row],[SegmentID]],"00")</f>
        <v>006J26</v>
      </c>
      <c r="B46" t="s">
        <v>93</v>
      </c>
      <c r="C46" s="3" t="s">
        <v>103</v>
      </c>
      <c r="D46">
        <f>IFERROR(ROUND(VLOOKUP(Table1[[#This Row],[Route]],SegmentsPerRoute!$C$3:$L$297,8,FALSE)+(Table1[[#This Row],[Sequence]]-1)*VLOOKUP(Table1[[#This Row],[Route]],SegmentsPerRoute!$C$3:$L$297,10,FALSE),0), 0)</f>
        <v>26</v>
      </c>
      <c r="E46">
        <v>2</v>
      </c>
      <c r="F46" s="1">
        <v>397.95499999999998</v>
      </c>
      <c r="G46" t="s">
        <v>95</v>
      </c>
      <c r="H46" s="1">
        <v>404.12799999999999</v>
      </c>
      <c r="I46" t="s">
        <v>96</v>
      </c>
      <c r="K46" t="s">
        <v>1705</v>
      </c>
      <c r="L46" t="s">
        <v>2089</v>
      </c>
      <c r="M46" t="s">
        <v>2096</v>
      </c>
      <c r="N46" t="s">
        <v>77</v>
      </c>
    </row>
    <row r="47" spans="1:14" x14ac:dyDescent="0.25">
      <c r="A47" s="41" t="str">
        <f>Table1[[#This Row],[Route]]&amp;TEXT(Table1[[#This Row],[SegmentID]],"00")</f>
        <v>006J36</v>
      </c>
      <c r="B47" t="s">
        <v>93</v>
      </c>
      <c r="C47" s="3" t="s">
        <v>103</v>
      </c>
      <c r="D47">
        <f>IFERROR(ROUND(VLOOKUP(Table1[[#This Row],[Route]],SegmentsPerRoute!$C$3:$L$297,8,FALSE)+(Table1[[#This Row],[Sequence]]-1)*VLOOKUP(Table1[[#This Row],[Route]],SegmentsPerRoute!$C$3:$L$297,10,FALSE),0), 0)</f>
        <v>36</v>
      </c>
      <c r="E47">
        <v>3</v>
      </c>
      <c r="F47" s="1">
        <v>404.12799999999999</v>
      </c>
      <c r="G47" t="s">
        <v>96</v>
      </c>
      <c r="H47" s="1">
        <v>404.45699999999999</v>
      </c>
      <c r="I47" t="s">
        <v>97</v>
      </c>
      <c r="K47" t="s">
        <v>1705</v>
      </c>
      <c r="L47" t="s">
        <v>2089</v>
      </c>
      <c r="M47" t="s">
        <v>2088</v>
      </c>
      <c r="N47" t="s">
        <v>77</v>
      </c>
    </row>
    <row r="48" spans="1:14" x14ac:dyDescent="0.25">
      <c r="A48" s="41" t="str">
        <f>Table1[[#This Row],[Route]]&amp;TEXT(Table1[[#This Row],[SegmentID]],"00")</f>
        <v>006J47</v>
      </c>
      <c r="B48" t="s">
        <v>93</v>
      </c>
      <c r="C48" s="3" t="s">
        <v>103</v>
      </c>
      <c r="D48">
        <f>IFERROR(ROUND(VLOOKUP(Table1[[#This Row],[Route]],SegmentsPerRoute!$C$3:$L$297,8,FALSE)+(Table1[[#This Row],[Sequence]]-1)*VLOOKUP(Table1[[#This Row],[Route]],SegmentsPerRoute!$C$3:$L$297,10,FALSE),0), 0)</f>
        <v>47</v>
      </c>
      <c r="E48">
        <v>4</v>
      </c>
      <c r="F48" s="1">
        <v>404.45699999999999</v>
      </c>
      <c r="G48" t="s">
        <v>97</v>
      </c>
      <c r="H48" s="1">
        <v>404.64400000000001</v>
      </c>
      <c r="I48" t="s">
        <v>98</v>
      </c>
      <c r="K48" t="s">
        <v>1705</v>
      </c>
      <c r="L48" t="s">
        <v>2089</v>
      </c>
      <c r="M48" t="s">
        <v>2088</v>
      </c>
      <c r="N48" t="s">
        <v>77</v>
      </c>
    </row>
    <row r="49" spans="1:14" x14ac:dyDescent="0.25">
      <c r="A49" s="41" t="str">
        <f>Table1[[#This Row],[Route]]&amp;TEXT(Table1[[#This Row],[SegmentID]],"00")</f>
        <v>006J57</v>
      </c>
      <c r="B49" t="s">
        <v>93</v>
      </c>
      <c r="C49" s="3" t="s">
        <v>104</v>
      </c>
      <c r="D49">
        <f>IFERROR(ROUND(VLOOKUP(Table1[[#This Row],[Route]],SegmentsPerRoute!$C$3:$L$297,8,FALSE)+(Table1[[#This Row],[Sequence]]-1)*VLOOKUP(Table1[[#This Row],[Route]],SegmentsPerRoute!$C$3:$L$297,10,FALSE),0), 0)</f>
        <v>57</v>
      </c>
      <c r="E49">
        <v>5</v>
      </c>
      <c r="F49" s="1">
        <v>404.64400000000001</v>
      </c>
      <c r="G49" t="s">
        <v>98</v>
      </c>
      <c r="H49" s="1">
        <v>406.56799999999998</v>
      </c>
      <c r="I49" t="s">
        <v>87</v>
      </c>
      <c r="K49" t="s">
        <v>1705</v>
      </c>
      <c r="L49" t="s">
        <v>2090</v>
      </c>
      <c r="M49" t="s">
        <v>2093</v>
      </c>
      <c r="N49" t="s">
        <v>77</v>
      </c>
    </row>
    <row r="50" spans="1:14" x14ac:dyDescent="0.25">
      <c r="A50" s="41" t="str">
        <f>Table1[[#This Row],[Route]]&amp;TEXT(Table1[[#This Row],[SegmentID]],"00")</f>
        <v>006J68</v>
      </c>
      <c r="B50" t="s">
        <v>93</v>
      </c>
      <c r="C50" s="3" t="s">
        <v>104</v>
      </c>
      <c r="D50">
        <f>IFERROR(ROUND(VLOOKUP(Table1[[#This Row],[Route]],SegmentsPerRoute!$C$3:$L$297,8,FALSE)+(Table1[[#This Row],[Sequence]]-1)*VLOOKUP(Table1[[#This Row],[Route]],SegmentsPerRoute!$C$3:$L$297,10,FALSE),0), 0)</f>
        <v>68</v>
      </c>
      <c r="E50">
        <v>6</v>
      </c>
      <c r="F50" s="1">
        <v>406.56799999999998</v>
      </c>
      <c r="G50" t="s">
        <v>87</v>
      </c>
      <c r="H50" s="1">
        <v>406.79300000000001</v>
      </c>
      <c r="I50" t="s">
        <v>99</v>
      </c>
      <c r="K50" t="s">
        <v>1705</v>
      </c>
      <c r="L50" t="s">
        <v>2091</v>
      </c>
      <c r="M50" t="s">
        <v>2092</v>
      </c>
    </row>
    <row r="51" spans="1:14" x14ac:dyDescent="0.25">
      <c r="A51" s="41" t="str">
        <f>Table1[[#This Row],[Route]]&amp;TEXT(Table1[[#This Row],[SegmentID]],"00")</f>
        <v>006J78</v>
      </c>
      <c r="B51" t="s">
        <v>93</v>
      </c>
      <c r="C51" s="3" t="s">
        <v>104</v>
      </c>
      <c r="D51">
        <f>IFERROR(ROUND(VLOOKUP(Table1[[#This Row],[Route]],SegmentsPerRoute!$C$3:$L$297,8,FALSE)+(Table1[[#This Row],[Sequence]]-1)*VLOOKUP(Table1[[#This Row],[Route]],SegmentsPerRoute!$C$3:$L$297,10,FALSE),0), 0)</f>
        <v>78</v>
      </c>
      <c r="E51">
        <v>7</v>
      </c>
      <c r="F51" s="1">
        <v>406.79300000000001</v>
      </c>
      <c r="G51" t="s">
        <v>99</v>
      </c>
      <c r="H51" s="1">
        <v>436.49599999999998</v>
      </c>
      <c r="I51" t="s">
        <v>100</v>
      </c>
      <c r="K51" t="s">
        <v>1705</v>
      </c>
      <c r="L51" t="s">
        <v>2091</v>
      </c>
      <c r="M51" t="s">
        <v>2092</v>
      </c>
    </row>
    <row r="52" spans="1:14" x14ac:dyDescent="0.25">
      <c r="A52" s="41" t="str">
        <f>Table1[[#This Row],[Route]]&amp;TEXT(Table1[[#This Row],[SegmentID]],"00")</f>
        <v>006J89</v>
      </c>
      <c r="B52" t="s">
        <v>93</v>
      </c>
      <c r="C52" s="3" t="s">
        <v>104</v>
      </c>
      <c r="D52">
        <f>IFERROR(ROUND(VLOOKUP(Table1[[#This Row],[Route]],SegmentsPerRoute!$C$3:$L$297,8,FALSE)+(Table1[[#This Row],[Sequence]]-1)*VLOOKUP(Table1[[#This Row],[Route]],SegmentsPerRoute!$C$3:$L$297,10,FALSE),0), 0)</f>
        <v>89</v>
      </c>
      <c r="E52">
        <v>8</v>
      </c>
      <c r="F52" s="1">
        <v>436.49599999999998</v>
      </c>
      <c r="G52" t="s">
        <v>100</v>
      </c>
      <c r="H52" s="1">
        <v>454.06</v>
      </c>
      <c r="I52" t="s">
        <v>101</v>
      </c>
      <c r="K52" t="s">
        <v>1705</v>
      </c>
      <c r="L52" t="s">
        <v>2091</v>
      </c>
      <c r="M52" t="s">
        <v>2092</v>
      </c>
    </row>
    <row r="53" spans="1:14" x14ac:dyDescent="0.25">
      <c r="A53" s="41" t="str">
        <f>Table1[[#This Row],[Route]]&amp;TEXT(Table1[[#This Row],[SegmentID]],"00")</f>
        <v>006J99</v>
      </c>
      <c r="B53" t="s">
        <v>93</v>
      </c>
      <c r="C53" s="3" t="s">
        <v>104</v>
      </c>
      <c r="D53">
        <f>IFERROR(ROUND(VLOOKUP(Table1[[#This Row],[Route]],SegmentsPerRoute!$C$3:$L$297,8,FALSE)+(Table1[[#This Row],[Sequence]]-1)*VLOOKUP(Table1[[#This Row],[Route]],SegmentsPerRoute!$C$3:$L$297,10,FALSE),0), 0)</f>
        <v>99</v>
      </c>
      <c r="E53">
        <v>9</v>
      </c>
      <c r="F53" s="1">
        <v>454.06</v>
      </c>
      <c r="G53" t="s">
        <v>101</v>
      </c>
      <c r="H53" s="1">
        <v>467.24799999999999</v>
      </c>
      <c r="I53" t="s">
        <v>250</v>
      </c>
      <c r="K53" t="s">
        <v>1705</v>
      </c>
      <c r="L53" t="s">
        <v>2091</v>
      </c>
      <c r="M53" t="s">
        <v>2092</v>
      </c>
    </row>
    <row r="54" spans="1:14" x14ac:dyDescent="0.25">
      <c r="A54" s="42" t="str">
        <f>Table1[[#This Row],[Route]]&amp;TEXT(Table1[[#This Row],[SegmentID]],"00")</f>
        <v>006K15</v>
      </c>
      <c r="B54" t="s">
        <v>105</v>
      </c>
      <c r="D54">
        <f>IFERROR(ROUND(VLOOKUP(Table1[[#This Row],[Route]],SegmentsPerRoute!$C$3:$L$297,8,FALSE)+(Table1[[#This Row],[Sequence]]-1)*VLOOKUP(Table1[[#This Row],[Route]],SegmentsPerRoute!$C$3:$L$297,10,FALSE),0), 0)</f>
        <v>15</v>
      </c>
      <c r="E54">
        <v>1</v>
      </c>
      <c r="F54" s="1">
        <v>0</v>
      </c>
      <c r="G54" t="s">
        <v>106</v>
      </c>
      <c r="H54" s="1">
        <v>0.33800000000000002</v>
      </c>
      <c r="I54" t="s">
        <v>792</v>
      </c>
      <c r="J54" t="s">
        <v>21</v>
      </c>
      <c r="K54" t="s">
        <v>1709</v>
      </c>
    </row>
    <row r="55" spans="1:14" x14ac:dyDescent="0.25">
      <c r="A55" s="41" t="str">
        <f>Table1[[#This Row],[Route]]&amp;TEXT(Table1[[#This Row],[SegmentID]],"00")</f>
        <v>006L15</v>
      </c>
      <c r="B55" t="s">
        <v>108</v>
      </c>
      <c r="D55">
        <f>IFERROR(ROUND(VLOOKUP(Table1[[#This Row],[Route]],SegmentsPerRoute!$C$3:$L$297,8,FALSE)+(Table1[[#This Row],[Sequence]]-1)*VLOOKUP(Table1[[#This Row],[Route]],SegmentsPerRoute!$C$3:$L$297,10,FALSE),0), 0)</f>
        <v>15</v>
      </c>
      <c r="E55">
        <v>1</v>
      </c>
      <c r="F55" s="1">
        <v>88.894999999999996</v>
      </c>
      <c r="G55" t="s">
        <v>109</v>
      </c>
      <c r="H55" s="1">
        <v>91.24</v>
      </c>
      <c r="I55" t="s">
        <v>110</v>
      </c>
      <c r="K55" t="s">
        <v>1696</v>
      </c>
      <c r="L55" t="s">
        <v>2097</v>
      </c>
      <c r="M55" t="s">
        <v>2098</v>
      </c>
      <c r="N55" t="s">
        <v>48</v>
      </c>
    </row>
    <row r="56" spans="1:14" x14ac:dyDescent="0.25">
      <c r="A56" s="41" t="str">
        <f>Table1[[#This Row],[Route]]&amp;TEXT(Table1[[#This Row],[SegmentID]],"00")</f>
        <v>006M15</v>
      </c>
      <c r="B56" t="s">
        <v>107</v>
      </c>
      <c r="C56" s="3" t="s">
        <v>116</v>
      </c>
      <c r="D56">
        <f>IFERROR(ROUND(VLOOKUP(Table1[[#This Row],[Route]],SegmentsPerRoute!$C$3:$L$297,8,FALSE)+(Table1[[#This Row],[Sequence]]-1)*VLOOKUP(Table1[[#This Row],[Route]],SegmentsPerRoute!$C$3:$L$297,10,FALSE),0), 0)</f>
        <v>15</v>
      </c>
      <c r="E56">
        <v>1</v>
      </c>
      <c r="F56" s="1">
        <v>62.305</v>
      </c>
      <c r="G56" t="s">
        <v>111</v>
      </c>
      <c r="H56" s="1">
        <v>72.248000000000005</v>
      </c>
      <c r="I56" t="s">
        <v>112</v>
      </c>
      <c r="J56" t="s">
        <v>4595</v>
      </c>
      <c r="K56" t="s">
        <v>1705</v>
      </c>
      <c r="N56" t="s">
        <v>48</v>
      </c>
    </row>
    <row r="57" spans="1:14" x14ac:dyDescent="0.25">
      <c r="A57" s="41" t="str">
        <f>Table1[[#This Row],[Route]]&amp;TEXT(Table1[[#This Row],[SegmentID]],"00")</f>
        <v>006M38</v>
      </c>
      <c r="B57" t="s">
        <v>107</v>
      </c>
      <c r="C57" s="3" t="s">
        <v>116</v>
      </c>
      <c r="D57">
        <f>IFERROR(ROUND(VLOOKUP(Table1[[#This Row],[Route]],SegmentsPerRoute!$C$3:$L$297,8,FALSE)+(Table1[[#This Row],[Sequence]]-1)*VLOOKUP(Table1[[#This Row],[Route]],SegmentsPerRoute!$C$3:$L$297,10,FALSE),0), 0)</f>
        <v>38</v>
      </c>
      <c r="E57">
        <v>2</v>
      </c>
      <c r="F57" s="1">
        <v>72.248000000000005</v>
      </c>
      <c r="G57" t="s">
        <v>112</v>
      </c>
      <c r="H57" s="1">
        <v>75.421999999999997</v>
      </c>
      <c r="I57" t="s">
        <v>113</v>
      </c>
      <c r="J57" t="s">
        <v>4595</v>
      </c>
      <c r="K57" t="s">
        <v>1705</v>
      </c>
      <c r="N57" t="s">
        <v>48</v>
      </c>
    </row>
    <row r="58" spans="1:14" x14ac:dyDescent="0.25">
      <c r="A58" s="41" t="str">
        <f>Table1[[#This Row],[Route]]&amp;TEXT(Table1[[#This Row],[SegmentID]],"00")</f>
        <v>006M62</v>
      </c>
      <c r="B58" t="s">
        <v>107</v>
      </c>
      <c r="C58" s="3" t="s">
        <v>117</v>
      </c>
      <c r="D58">
        <f>IFERROR(ROUND(VLOOKUP(Table1[[#This Row],[Route]],SegmentsPerRoute!$C$3:$L$297,8,FALSE)+(Table1[[#This Row],[Sequence]]-1)*VLOOKUP(Table1[[#This Row],[Route]],SegmentsPerRoute!$C$3:$L$297,10,FALSE),0), 0)</f>
        <v>62</v>
      </c>
      <c r="E58">
        <v>3</v>
      </c>
      <c r="F58" s="1">
        <v>75.421999999999997</v>
      </c>
      <c r="G58" t="s">
        <v>113</v>
      </c>
      <c r="H58" s="1">
        <v>82.768000000000001</v>
      </c>
      <c r="I58" t="s">
        <v>114</v>
      </c>
      <c r="J58" t="s">
        <v>4595</v>
      </c>
      <c r="K58" t="s">
        <v>1705</v>
      </c>
      <c r="N58" t="s">
        <v>48</v>
      </c>
    </row>
    <row r="59" spans="1:14" x14ac:dyDescent="0.25">
      <c r="A59" s="41" t="str">
        <f>Table1[[#This Row],[Route]]&amp;TEXT(Table1[[#This Row],[SegmentID]],"00")</f>
        <v>006M85</v>
      </c>
      <c r="B59" t="s">
        <v>107</v>
      </c>
      <c r="C59" s="3" t="s">
        <v>118</v>
      </c>
      <c r="D59">
        <f>IFERROR(ROUND(VLOOKUP(Table1[[#This Row],[Route]],SegmentsPerRoute!$C$3:$L$297,8,FALSE)+(Table1[[#This Row],[Sequence]]-1)*VLOOKUP(Table1[[#This Row],[Route]],SegmentsPerRoute!$C$3:$L$297,10,FALSE),0), 0)</f>
        <v>85</v>
      </c>
      <c r="E59">
        <v>4</v>
      </c>
      <c r="F59" s="1">
        <v>82.768000000000001</v>
      </c>
      <c r="G59" t="s">
        <v>114</v>
      </c>
      <c r="H59" s="1">
        <v>88.894999999999996</v>
      </c>
      <c r="I59" t="s">
        <v>115</v>
      </c>
      <c r="J59" t="s">
        <v>4595</v>
      </c>
      <c r="K59" t="s">
        <v>1705</v>
      </c>
      <c r="N59" t="s">
        <v>48</v>
      </c>
    </row>
    <row r="60" spans="1:14" x14ac:dyDescent="0.25">
      <c r="A60" s="41" t="str">
        <f>Table1[[#This Row],[Route]]&amp;TEXT(Table1[[#This Row],[SegmentID]],"00")</f>
        <v>006N15</v>
      </c>
      <c r="B60" t="s">
        <v>119</v>
      </c>
      <c r="D60">
        <f>IFERROR(ROUND(VLOOKUP(Table1[[#This Row],[Route]],SegmentsPerRoute!$C$3:$L$297,8,FALSE)+(Table1[[#This Row],[Sequence]]-1)*VLOOKUP(Table1[[#This Row],[Route]],SegmentsPerRoute!$C$3:$L$297,10,FALSE),0), 0)</f>
        <v>15</v>
      </c>
      <c r="E60">
        <v>1</v>
      </c>
      <c r="F60" s="1">
        <v>141.81800000000001</v>
      </c>
      <c r="G60" t="s">
        <v>120</v>
      </c>
      <c r="H60" s="1">
        <v>141.99299999999999</v>
      </c>
      <c r="I60" t="s">
        <v>121</v>
      </c>
      <c r="J60" t="s">
        <v>197</v>
      </c>
      <c r="K60" t="s">
        <v>1709</v>
      </c>
      <c r="N60" t="s">
        <v>60</v>
      </c>
    </row>
    <row r="61" spans="1:14" x14ac:dyDescent="0.25">
      <c r="A61" s="41" t="str">
        <f>Table1[[#This Row],[Route]]&amp;TEXT(Table1[[#This Row],[SegmentID]],"00")</f>
        <v>006Z15</v>
      </c>
      <c r="B61" t="s">
        <v>122</v>
      </c>
      <c r="D61">
        <f>IFERROR(ROUND(VLOOKUP(Table1[[#This Row],[Route]],SegmentsPerRoute!$C$3:$L$297,8,FALSE)+(Table1[[#This Row],[Sequence]]-1)*VLOOKUP(Table1[[#This Row],[Route]],SegmentsPerRoute!$C$3:$L$297,10,FALSE),0), 0)</f>
        <v>15</v>
      </c>
      <c r="E61">
        <v>1</v>
      </c>
      <c r="F61" s="1">
        <v>0</v>
      </c>
      <c r="G61" t="s">
        <v>123</v>
      </c>
      <c r="H61" s="1">
        <v>8.8999999999999996E-2</v>
      </c>
      <c r="I61" t="s">
        <v>124</v>
      </c>
      <c r="K61" t="s">
        <v>1705</v>
      </c>
      <c r="L61" t="s">
        <v>2094</v>
      </c>
      <c r="M61" t="s">
        <v>2095</v>
      </c>
      <c r="N61" t="s">
        <v>77</v>
      </c>
    </row>
    <row r="62" spans="1:14" x14ac:dyDescent="0.25">
      <c r="A62" s="41" t="str">
        <f>Table1[[#This Row],[Route]]&amp;TEXT(Table1[[#This Row],[SegmentID]],"00")</f>
        <v>006Z50</v>
      </c>
      <c r="B62" t="s">
        <v>122</v>
      </c>
      <c r="D62">
        <f>IFERROR(ROUND(VLOOKUP(Table1[[#This Row],[Route]],SegmentsPerRoute!$C$3:$L$297,8,FALSE)+(Table1[[#This Row],[Sequence]]-1)*VLOOKUP(Table1[[#This Row],[Route]],SegmentsPerRoute!$C$3:$L$297,10,FALSE),0), 0)</f>
        <v>50</v>
      </c>
      <c r="E62">
        <v>2</v>
      </c>
      <c r="F62" s="1">
        <v>8.8999999999999996E-2</v>
      </c>
      <c r="G62" t="s">
        <v>124</v>
      </c>
      <c r="H62" s="1">
        <v>0.28000000000000003</v>
      </c>
      <c r="I62" t="s">
        <v>97</v>
      </c>
      <c r="K62" t="s">
        <v>1705</v>
      </c>
      <c r="L62" t="s">
        <v>2096</v>
      </c>
      <c r="M62" t="s">
        <v>2095</v>
      </c>
      <c r="N62" t="s">
        <v>77</v>
      </c>
    </row>
    <row r="63" spans="1:14" x14ac:dyDescent="0.25">
      <c r="A63" s="41" t="str">
        <f>Table1[[#This Row],[Route]]&amp;TEXT(Table1[[#This Row],[SegmentID]],"00")</f>
        <v>006Z85</v>
      </c>
      <c r="B63" t="s">
        <v>122</v>
      </c>
      <c r="D63">
        <f>IFERROR(ROUND(VLOOKUP(Table1[[#This Row],[Route]],SegmentsPerRoute!$C$3:$L$297,8,FALSE)+(Table1[[#This Row],[Sequence]]-1)*VLOOKUP(Table1[[#This Row],[Route]],SegmentsPerRoute!$C$3:$L$297,10,FALSE),0), 0)</f>
        <v>85</v>
      </c>
      <c r="E63">
        <v>3</v>
      </c>
      <c r="F63" s="1">
        <v>0.28000000000000003</v>
      </c>
      <c r="G63" t="s">
        <v>97</v>
      </c>
      <c r="H63" s="1">
        <v>0.60399999999999998</v>
      </c>
      <c r="I63" t="s">
        <v>125</v>
      </c>
      <c r="K63" t="s">
        <v>1705</v>
      </c>
      <c r="L63" t="s">
        <v>2096</v>
      </c>
      <c r="M63" t="s">
        <v>2095</v>
      </c>
      <c r="N63" t="s">
        <v>77</v>
      </c>
    </row>
    <row r="64" spans="1:14" x14ac:dyDescent="0.25">
      <c r="A64" s="41" t="str">
        <f>Table1[[#This Row],[Route]]&amp;TEXT(Table1[[#This Row],[SegmentID]],"00")</f>
        <v>007A15</v>
      </c>
      <c r="B64" t="s">
        <v>126</v>
      </c>
      <c r="C64" s="3" t="s">
        <v>132</v>
      </c>
      <c r="D64">
        <f>IFERROR(ROUND(VLOOKUP(Table1[[#This Row],[Route]],SegmentsPerRoute!$C$3:$L$297,8,FALSE)+(Table1[[#This Row],[Sequence]]-1)*VLOOKUP(Table1[[#This Row],[Route]],SegmentsPerRoute!$C$3:$L$297,10,FALSE),0), 0)</f>
        <v>15</v>
      </c>
      <c r="E64">
        <v>1</v>
      </c>
      <c r="F64" s="1">
        <v>0</v>
      </c>
      <c r="G64" t="s">
        <v>127</v>
      </c>
      <c r="H64" s="1">
        <v>14.91</v>
      </c>
      <c r="I64" t="s">
        <v>128</v>
      </c>
      <c r="K64" t="s">
        <v>1702</v>
      </c>
      <c r="L64" t="s">
        <v>2099</v>
      </c>
      <c r="M64" t="s">
        <v>2103</v>
      </c>
    </row>
    <row r="65" spans="1:14" x14ac:dyDescent="0.25">
      <c r="A65" s="41" t="str">
        <f>Table1[[#This Row],[Route]]&amp;TEXT(Table1[[#This Row],[SegmentID]],"00")</f>
        <v>007A38</v>
      </c>
      <c r="B65" t="s">
        <v>126</v>
      </c>
      <c r="C65" s="3" t="s">
        <v>132</v>
      </c>
      <c r="D65">
        <f>IFERROR(ROUND(VLOOKUP(Table1[[#This Row],[Route]],SegmentsPerRoute!$C$3:$L$297,8,FALSE)+(Table1[[#This Row],[Sequence]]-1)*VLOOKUP(Table1[[#This Row],[Route]],SegmentsPerRoute!$C$3:$L$297,10,FALSE),0), 0)</f>
        <v>38</v>
      </c>
      <c r="E65">
        <v>2</v>
      </c>
      <c r="F65" s="1">
        <v>14.91</v>
      </c>
      <c r="G65" t="s">
        <v>128</v>
      </c>
      <c r="H65" s="1">
        <v>16.085999999999999</v>
      </c>
      <c r="I65" t="s">
        <v>129</v>
      </c>
      <c r="K65" t="s">
        <v>1702</v>
      </c>
      <c r="L65" t="s">
        <v>2100</v>
      </c>
      <c r="M65" t="s">
        <v>2104</v>
      </c>
      <c r="N65" t="s">
        <v>134</v>
      </c>
    </row>
    <row r="66" spans="1:14" x14ac:dyDescent="0.25">
      <c r="A66" s="41" t="str">
        <f>Table1[[#This Row],[Route]]&amp;TEXT(Table1[[#This Row],[SegmentID]],"00")</f>
        <v>007A62</v>
      </c>
      <c r="B66" t="s">
        <v>126</v>
      </c>
      <c r="C66" s="3" t="s">
        <v>132</v>
      </c>
      <c r="D66">
        <f>IFERROR(ROUND(VLOOKUP(Table1[[#This Row],[Route]],SegmentsPerRoute!$C$3:$L$297,8,FALSE)+(Table1[[#This Row],[Sequence]]-1)*VLOOKUP(Table1[[#This Row],[Route]],SegmentsPerRoute!$C$3:$L$297,10,FALSE),0), 0)</f>
        <v>62</v>
      </c>
      <c r="E66">
        <v>3</v>
      </c>
      <c r="F66" s="1">
        <v>16.085999999999999</v>
      </c>
      <c r="G66" t="s">
        <v>129</v>
      </c>
      <c r="H66" s="1">
        <v>19.248999999999999</v>
      </c>
      <c r="I66" t="s">
        <v>130</v>
      </c>
      <c r="K66" t="s">
        <v>1702</v>
      </c>
      <c r="L66" t="s">
        <v>2099</v>
      </c>
      <c r="M66" t="s">
        <v>2103</v>
      </c>
    </row>
    <row r="67" spans="1:14" x14ac:dyDescent="0.25">
      <c r="A67" s="41" t="str">
        <f>Table1[[#This Row],[Route]]&amp;TEXT(Table1[[#This Row],[SegmentID]],"00")</f>
        <v>007A85</v>
      </c>
      <c r="B67" t="s">
        <v>126</v>
      </c>
      <c r="C67" s="3" t="s">
        <v>133</v>
      </c>
      <c r="D67">
        <f>IFERROR(ROUND(VLOOKUP(Table1[[#This Row],[Route]],SegmentsPerRoute!$C$3:$L$297,8,FALSE)+(Table1[[#This Row],[Sequence]]-1)*VLOOKUP(Table1[[#This Row],[Route]],SegmentsPerRoute!$C$3:$L$297,10,FALSE),0), 0)</f>
        <v>85</v>
      </c>
      <c r="E67">
        <v>4</v>
      </c>
      <c r="F67" s="1">
        <v>19.248999999999999</v>
      </c>
      <c r="G67" t="s">
        <v>130</v>
      </c>
      <c r="H67" s="1">
        <v>33.08</v>
      </c>
      <c r="I67" t="s">
        <v>131</v>
      </c>
      <c r="K67" t="s">
        <v>1702</v>
      </c>
      <c r="L67" t="s">
        <v>2101</v>
      </c>
      <c r="M67" t="s">
        <v>2102</v>
      </c>
      <c r="N67" t="s">
        <v>135</v>
      </c>
    </row>
    <row r="68" spans="1:14" x14ac:dyDescent="0.25">
      <c r="A68" s="41" t="str">
        <f>Table1[[#This Row],[Route]]&amp;TEXT(Table1[[#This Row],[SegmentID]],"00")</f>
        <v>007B85</v>
      </c>
      <c r="B68" t="s">
        <v>136</v>
      </c>
      <c r="D68">
        <f>IFERROR(ROUND(VLOOKUP(Table1[[#This Row],[Route]],SegmentsPerRoute!$C$3:$L$297,8,FALSE)+(Table1[[#This Row],[Sequence]]-1)*VLOOKUP(Table1[[#This Row],[Route]],SegmentsPerRoute!$C$3:$L$297,10,FALSE),0), 0)</f>
        <v>85</v>
      </c>
      <c r="E68">
        <v>2</v>
      </c>
      <c r="F68" s="1">
        <v>49.506</v>
      </c>
      <c r="G68" t="s">
        <v>137</v>
      </c>
      <c r="H68" s="1">
        <v>50.639000000000003</v>
      </c>
      <c r="I68" t="s">
        <v>138</v>
      </c>
      <c r="K68" t="s">
        <v>1696</v>
      </c>
      <c r="L68" t="s">
        <v>2105</v>
      </c>
      <c r="M68" t="s">
        <v>2106</v>
      </c>
    </row>
    <row r="69" spans="1:14" x14ac:dyDescent="0.25">
      <c r="A69" s="41" t="str">
        <f>Table1[[#This Row],[Route]]&amp;TEXT(Table1[[#This Row],[SegmentID]],"00")</f>
        <v>007C15</v>
      </c>
      <c r="B69" t="s">
        <v>139</v>
      </c>
      <c r="D69">
        <f>IFERROR(ROUND(VLOOKUP(Table1[[#This Row],[Route]],SegmentsPerRoute!$C$3:$L$297,8,FALSE)+(Table1[[#This Row],[Sequence]]-1)*VLOOKUP(Table1[[#This Row],[Route]],SegmentsPerRoute!$C$3:$L$297,10,FALSE),0), 0)</f>
        <v>15</v>
      </c>
      <c r="E69">
        <v>1</v>
      </c>
      <c r="F69" s="1">
        <v>52.29</v>
      </c>
      <c r="G69" t="s">
        <v>138</v>
      </c>
      <c r="H69" s="1">
        <v>53.457000000000001</v>
      </c>
      <c r="I69" t="s">
        <v>140</v>
      </c>
      <c r="K69" t="s">
        <v>1696</v>
      </c>
      <c r="L69" t="s">
        <v>2107</v>
      </c>
      <c r="M69" t="s">
        <v>2110</v>
      </c>
    </row>
    <row r="70" spans="1:14" x14ac:dyDescent="0.25">
      <c r="A70" s="41" t="str">
        <f>Table1[[#This Row],[Route]]&amp;TEXT(Table1[[#This Row],[SegmentID]],"00")</f>
        <v>007C50</v>
      </c>
      <c r="B70" t="s">
        <v>139</v>
      </c>
      <c r="D70">
        <f>IFERROR(ROUND(VLOOKUP(Table1[[#This Row],[Route]],SegmentsPerRoute!$C$3:$L$297,8,FALSE)+(Table1[[#This Row],[Sequence]]-1)*VLOOKUP(Table1[[#This Row],[Route]],SegmentsPerRoute!$C$3:$L$297,10,FALSE),0), 0)</f>
        <v>50</v>
      </c>
      <c r="E70">
        <v>2</v>
      </c>
      <c r="F70" s="1">
        <v>53.457000000000001</v>
      </c>
      <c r="G70" t="s">
        <v>140</v>
      </c>
      <c r="H70" s="1">
        <v>59.29</v>
      </c>
      <c r="I70" t="s">
        <v>141</v>
      </c>
      <c r="K70" t="s">
        <v>1696</v>
      </c>
      <c r="L70" t="s">
        <v>2108</v>
      </c>
      <c r="M70" t="s">
        <v>2109</v>
      </c>
    </row>
    <row r="71" spans="1:14" x14ac:dyDescent="0.25">
      <c r="A71" s="41" t="str">
        <f>Table1[[#This Row],[Route]]&amp;TEXT(Table1[[#This Row],[SegmentID]],"00")</f>
        <v>007C85</v>
      </c>
      <c r="B71" t="s">
        <v>139</v>
      </c>
      <c r="D71">
        <f>IFERROR(ROUND(VLOOKUP(Table1[[#This Row],[Route]],SegmentsPerRoute!$C$3:$L$297,8,FALSE)+(Table1[[#This Row],[Sequence]]-1)*VLOOKUP(Table1[[#This Row],[Route]],SegmentsPerRoute!$C$3:$L$297,10,FALSE),0), 0)</f>
        <v>85</v>
      </c>
      <c r="E71">
        <v>3</v>
      </c>
      <c r="F71" s="1">
        <v>59.29</v>
      </c>
      <c r="G71" t="s">
        <v>141</v>
      </c>
      <c r="H71" s="1">
        <v>60.683</v>
      </c>
      <c r="I71" t="s">
        <v>142</v>
      </c>
      <c r="K71" t="s">
        <v>1696</v>
      </c>
      <c r="L71" t="s">
        <v>2108</v>
      </c>
      <c r="M71" t="s">
        <v>2109</v>
      </c>
    </row>
    <row r="72" spans="1:14" x14ac:dyDescent="0.25">
      <c r="A72" s="41" t="str">
        <f>Table1[[#This Row],[Route]]&amp;TEXT(Table1[[#This Row],[SegmentID]],"00")</f>
        <v>007D15</v>
      </c>
      <c r="B72" t="s">
        <v>143</v>
      </c>
      <c r="D72">
        <f>IFERROR(ROUND(VLOOKUP(Table1[[#This Row],[Route]],SegmentsPerRoute!$C$3:$L$297,8,FALSE)+(Table1[[#This Row],[Sequence]]-1)*VLOOKUP(Table1[[#This Row],[Route]],SegmentsPerRoute!$C$3:$L$297,10,FALSE),0), 0)</f>
        <v>15</v>
      </c>
      <c r="E72">
        <v>1</v>
      </c>
      <c r="F72" s="1">
        <v>61.877000000000002</v>
      </c>
      <c r="G72" t="s">
        <v>144</v>
      </c>
      <c r="H72" s="1">
        <v>68.352000000000004</v>
      </c>
      <c r="I72" t="s">
        <v>11</v>
      </c>
      <c r="K72" t="s">
        <v>1693</v>
      </c>
      <c r="L72" t="s">
        <v>2111</v>
      </c>
      <c r="M72" t="s">
        <v>2112</v>
      </c>
    </row>
    <row r="73" spans="1:14" x14ac:dyDescent="0.25">
      <c r="A73" s="41" t="str">
        <f>Table1[[#This Row],[Route]]&amp;TEXT(Table1[[#This Row],[SegmentID]],"00")</f>
        <v>007D38</v>
      </c>
      <c r="B73" t="s">
        <v>143</v>
      </c>
      <c r="D73">
        <f>IFERROR(ROUND(VLOOKUP(Table1[[#This Row],[Route]],SegmentsPerRoute!$C$3:$L$297,8,FALSE)+(Table1[[#This Row],[Sequence]]-1)*VLOOKUP(Table1[[#This Row],[Route]],SegmentsPerRoute!$C$3:$L$297,10,FALSE),0), 0)</f>
        <v>38</v>
      </c>
      <c r="E73">
        <v>2</v>
      </c>
      <c r="F73" s="1">
        <v>68.352000000000004</v>
      </c>
      <c r="G73" t="s">
        <v>11</v>
      </c>
      <c r="H73" s="1">
        <v>77.052000000000007</v>
      </c>
      <c r="I73" t="s">
        <v>145</v>
      </c>
      <c r="K73" t="s">
        <v>1693</v>
      </c>
      <c r="L73" t="s">
        <v>2111</v>
      </c>
      <c r="M73" t="s">
        <v>2112</v>
      </c>
    </row>
    <row r="74" spans="1:14" x14ac:dyDescent="0.25">
      <c r="A74" s="41" t="str">
        <f>Table1[[#This Row],[Route]]&amp;TEXT(Table1[[#This Row],[SegmentID]],"00")</f>
        <v>007E15</v>
      </c>
      <c r="B74" t="s">
        <v>146</v>
      </c>
      <c r="D74">
        <f>IFERROR(ROUND(VLOOKUP(Table1[[#This Row],[Route]],SegmentsPerRoute!$C$3:$L$297,8,FALSE)+(Table1[[#This Row],[Sequence]]-1)*VLOOKUP(Table1[[#This Row],[Route]],SegmentsPerRoute!$C$3:$L$297,10,FALSE),0), 0)</f>
        <v>15</v>
      </c>
      <c r="E74">
        <v>1</v>
      </c>
      <c r="F74" s="1">
        <v>0</v>
      </c>
      <c r="G74" t="s">
        <v>147</v>
      </c>
      <c r="H74" s="1">
        <v>1.5920000000000001</v>
      </c>
      <c r="I74" t="s">
        <v>148</v>
      </c>
      <c r="J74" t="s">
        <v>4598</v>
      </c>
      <c r="K74" t="s">
        <v>1696</v>
      </c>
      <c r="N74" t="s">
        <v>134</v>
      </c>
    </row>
    <row r="75" spans="1:14" x14ac:dyDescent="0.25">
      <c r="A75" s="41" t="str">
        <f>Table1[[#This Row],[Route]]&amp;TEXT(Table1[[#This Row],[SegmentID]],"00")</f>
        <v>008A15</v>
      </c>
      <c r="B75" t="s">
        <v>149</v>
      </c>
      <c r="C75" s="3" t="s">
        <v>153</v>
      </c>
      <c r="D75">
        <f>IFERROR(ROUND(VLOOKUP(Table1[[#This Row],[Route]],SegmentsPerRoute!$C$3:$L$297,8,FALSE)+(Table1[[#This Row],[Sequence]]-1)*VLOOKUP(Table1[[#This Row],[Route]],SegmentsPerRoute!$C$3:$L$297,10,FALSE),0), 0)</f>
        <v>15</v>
      </c>
      <c r="E75">
        <v>1</v>
      </c>
      <c r="F75" s="1">
        <v>0</v>
      </c>
      <c r="G75" t="s">
        <v>13</v>
      </c>
      <c r="H75" s="1">
        <v>2.1280000000000001</v>
      </c>
      <c r="I75" t="s">
        <v>150</v>
      </c>
      <c r="K75" t="s">
        <v>1705</v>
      </c>
      <c r="L75" t="s">
        <v>2113</v>
      </c>
      <c r="M75" t="s">
        <v>2118</v>
      </c>
    </row>
    <row r="76" spans="1:14" x14ac:dyDescent="0.25">
      <c r="A76" s="41" t="str">
        <f>Table1[[#This Row],[Route]]&amp;TEXT(Table1[[#This Row],[SegmentID]],"00")</f>
        <v>008A38</v>
      </c>
      <c r="B76" t="s">
        <v>149</v>
      </c>
      <c r="C76" s="3" t="s">
        <v>154</v>
      </c>
      <c r="D76">
        <f>IFERROR(ROUND(VLOOKUP(Table1[[#This Row],[Route]],SegmentsPerRoute!$C$3:$L$297,8,FALSE)+(Table1[[#This Row],[Sequence]]-1)*VLOOKUP(Table1[[#This Row],[Route]],SegmentsPerRoute!$C$3:$L$297,10,FALSE),0), 0)</f>
        <v>38</v>
      </c>
      <c r="E76">
        <v>2</v>
      </c>
      <c r="F76" s="1">
        <v>2.1280000000000001</v>
      </c>
      <c r="G76" t="s">
        <v>150</v>
      </c>
      <c r="H76" s="1">
        <v>2.883</v>
      </c>
      <c r="I76" t="s">
        <v>151</v>
      </c>
      <c r="K76" t="s">
        <v>1705</v>
      </c>
      <c r="L76" t="s">
        <v>2114</v>
      </c>
      <c r="M76" t="s">
        <v>2117</v>
      </c>
      <c r="N76" t="s">
        <v>155</v>
      </c>
    </row>
    <row r="77" spans="1:14" x14ac:dyDescent="0.25">
      <c r="A77" s="41" t="str">
        <f>Table1[[#This Row],[Route]]&amp;TEXT(Table1[[#This Row],[SegmentID]],"00")</f>
        <v>008A62</v>
      </c>
      <c r="B77" t="s">
        <v>149</v>
      </c>
      <c r="C77" s="3" t="s">
        <v>154</v>
      </c>
      <c r="D77">
        <f>IFERROR(ROUND(VLOOKUP(Table1[[#This Row],[Route]],SegmentsPerRoute!$C$3:$L$297,8,FALSE)+(Table1[[#This Row],[Sequence]]-1)*VLOOKUP(Table1[[#This Row],[Route]],SegmentsPerRoute!$C$3:$L$297,10,FALSE),0), 0)</f>
        <v>62</v>
      </c>
      <c r="E77">
        <v>3</v>
      </c>
      <c r="F77" s="1">
        <v>2.883</v>
      </c>
      <c r="G77" t="s">
        <v>151</v>
      </c>
      <c r="H77" s="1">
        <v>6.9130000000000003</v>
      </c>
      <c r="I77" t="s">
        <v>152</v>
      </c>
      <c r="K77" t="s">
        <v>1705</v>
      </c>
      <c r="L77" t="s">
        <v>2115</v>
      </c>
      <c r="M77" t="s">
        <v>2116</v>
      </c>
      <c r="N77" t="s">
        <v>155</v>
      </c>
    </row>
    <row r="78" spans="1:14" x14ac:dyDescent="0.25">
      <c r="A78" s="41" t="str">
        <f>Table1[[#This Row],[Route]]&amp;TEXT(Table1[[#This Row],[SegmentID]],"00")</f>
        <v>008A85</v>
      </c>
      <c r="B78" t="s">
        <v>149</v>
      </c>
      <c r="C78" s="3" t="s">
        <v>154</v>
      </c>
      <c r="D78">
        <f>IFERROR(ROUND(VLOOKUP(Table1[[#This Row],[Route]],SegmentsPerRoute!$C$3:$L$297,8,FALSE)+(Table1[[#This Row],[Sequence]]-1)*VLOOKUP(Table1[[#This Row],[Route]],SegmentsPerRoute!$C$3:$L$297,10,FALSE),0), 0)</f>
        <v>85</v>
      </c>
      <c r="E78">
        <v>4</v>
      </c>
      <c r="F78" s="1">
        <v>6.9130000000000003</v>
      </c>
      <c r="G78" t="s">
        <v>152</v>
      </c>
      <c r="H78" s="1">
        <v>8.6829999999999998</v>
      </c>
      <c r="I78" t="s">
        <v>73</v>
      </c>
      <c r="K78" t="s">
        <v>1705</v>
      </c>
      <c r="L78" t="s">
        <v>2115</v>
      </c>
      <c r="M78" t="s">
        <v>2116</v>
      </c>
      <c r="N78" t="s">
        <v>155</v>
      </c>
    </row>
    <row r="79" spans="1:14" x14ac:dyDescent="0.25">
      <c r="A79" s="41" t="str">
        <f>Table1[[#This Row],[Route]]&amp;TEXT(Table1[[#This Row],[SegmentID]],"00")</f>
        <v>009A15</v>
      </c>
      <c r="B79" t="s">
        <v>156</v>
      </c>
      <c r="D79">
        <f>IFERROR(ROUND(VLOOKUP(Table1[[#This Row],[Route]],SegmentsPerRoute!$C$3:$L$297,8,FALSE)+(Table1[[#This Row],[Sequence]]-1)*VLOOKUP(Table1[[#This Row],[Route]],SegmentsPerRoute!$C$3:$L$297,10,FALSE),0), 0)</f>
        <v>15</v>
      </c>
      <c r="E79">
        <v>1</v>
      </c>
      <c r="F79" s="1">
        <v>0</v>
      </c>
      <c r="G79" t="s">
        <v>157</v>
      </c>
      <c r="H79" s="1">
        <v>46.98</v>
      </c>
      <c r="I79" t="s">
        <v>158</v>
      </c>
      <c r="K79" t="s">
        <v>1696</v>
      </c>
      <c r="L79" t="s">
        <v>2119</v>
      </c>
      <c r="M79" t="s">
        <v>2120</v>
      </c>
      <c r="N79" t="s">
        <v>159</v>
      </c>
    </row>
    <row r="80" spans="1:14" x14ac:dyDescent="0.25">
      <c r="A80" s="41" t="str">
        <f>Table1[[#This Row],[Route]]&amp;TEXT(Table1[[#This Row],[SegmentID]],"00")</f>
        <v>009B15</v>
      </c>
      <c r="B80" t="s">
        <v>160</v>
      </c>
      <c r="D80">
        <f>IFERROR(ROUND(VLOOKUP(Table1[[#This Row],[Route]],SegmentsPerRoute!$C$3:$L$297,8,FALSE)+(Table1[[#This Row],[Sequence]]-1)*VLOOKUP(Table1[[#This Row],[Route]],SegmentsPerRoute!$C$3:$L$297,10,FALSE),0), 0)</f>
        <v>15</v>
      </c>
      <c r="E80">
        <v>1</v>
      </c>
      <c r="F80" s="1">
        <v>47.582000000000001</v>
      </c>
      <c r="G80" t="s">
        <v>161</v>
      </c>
      <c r="H80" s="1">
        <v>63.731999999999999</v>
      </c>
      <c r="I80" t="s">
        <v>162</v>
      </c>
      <c r="K80" t="s">
        <v>1696</v>
      </c>
      <c r="L80" t="s">
        <v>2121</v>
      </c>
      <c r="M80" t="s">
        <v>2122</v>
      </c>
      <c r="N80" t="s">
        <v>159</v>
      </c>
    </row>
    <row r="81" spans="1:14" x14ac:dyDescent="0.25">
      <c r="A81" s="41" t="str">
        <f>Table1[[#This Row],[Route]]&amp;TEXT(Table1[[#This Row],[SegmentID]],"00")</f>
        <v>009C15</v>
      </c>
      <c r="B81" t="s">
        <v>163</v>
      </c>
      <c r="D81">
        <f>IFERROR(ROUND(VLOOKUP(Table1[[#This Row],[Route]],SegmentsPerRoute!$C$3:$L$297,8,FALSE)+(Table1[[#This Row],[Sequence]]-1)*VLOOKUP(Table1[[#This Row],[Route]],SegmentsPerRoute!$C$3:$L$297,10,FALSE),0), 0)</f>
        <v>15</v>
      </c>
      <c r="E81">
        <v>1</v>
      </c>
      <c r="F81" s="1">
        <v>64.673000000000002</v>
      </c>
      <c r="G81" t="s">
        <v>164</v>
      </c>
      <c r="H81" s="1">
        <v>97.23</v>
      </c>
      <c r="I81" t="s">
        <v>165</v>
      </c>
      <c r="K81" t="s">
        <v>1693</v>
      </c>
      <c r="L81" t="s">
        <v>2123</v>
      </c>
      <c r="M81" t="s">
        <v>2124</v>
      </c>
      <c r="N81" t="s">
        <v>166</v>
      </c>
    </row>
    <row r="82" spans="1:14" x14ac:dyDescent="0.25">
      <c r="A82" s="41" t="str">
        <f>Table1[[#This Row],[Route]]&amp;TEXT(Table1[[#This Row],[SegmentID]],"00")</f>
        <v>009D15</v>
      </c>
      <c r="B82" t="s">
        <v>167</v>
      </c>
      <c r="D82">
        <f>IFERROR(ROUND(VLOOKUP(Table1[[#This Row],[Route]],SegmentsPerRoute!$C$3:$L$297,8,FALSE)+(Table1[[#This Row],[Sequence]]-1)*VLOOKUP(Table1[[#This Row],[Route]],SegmentsPerRoute!$C$3:$L$297,10,FALSE),0), 0)</f>
        <v>15</v>
      </c>
      <c r="E82">
        <v>1</v>
      </c>
      <c r="F82" s="1">
        <v>101.562</v>
      </c>
      <c r="G82" t="s">
        <v>168</v>
      </c>
      <c r="H82" s="1">
        <v>138.91999999999999</v>
      </c>
      <c r="I82" t="s">
        <v>169</v>
      </c>
      <c r="K82" t="s">
        <v>1693</v>
      </c>
      <c r="L82" t="s">
        <v>2125</v>
      </c>
      <c r="M82" t="s">
        <v>2126</v>
      </c>
      <c r="N82" t="s">
        <v>166</v>
      </c>
    </row>
    <row r="83" spans="1:14" x14ac:dyDescent="0.25">
      <c r="A83" s="41" t="str">
        <f>Table1[[#This Row],[Route]]&amp;TEXT(Table1[[#This Row],[SegmentID]],"00")</f>
        <v>010A15</v>
      </c>
      <c r="B83" t="s">
        <v>170</v>
      </c>
      <c r="D83">
        <f>IFERROR(ROUND(VLOOKUP(Table1[[#This Row],[Route]],SegmentsPerRoute!$C$3:$L$297,8,FALSE)+(Table1[[#This Row],[Sequence]]-1)*VLOOKUP(Table1[[#This Row],[Route]],SegmentsPerRoute!$C$3:$L$297,10,FALSE),0), 0)</f>
        <v>15</v>
      </c>
      <c r="E83">
        <v>1</v>
      </c>
      <c r="F83" s="1">
        <v>0</v>
      </c>
      <c r="G83" t="s">
        <v>171</v>
      </c>
      <c r="H83" s="1">
        <v>62.371000000000002</v>
      </c>
      <c r="I83" t="s">
        <v>172</v>
      </c>
      <c r="K83" t="s">
        <v>1696</v>
      </c>
      <c r="L83" t="s">
        <v>2127</v>
      </c>
      <c r="M83" t="s">
        <v>2132</v>
      </c>
      <c r="N83" t="s">
        <v>173</v>
      </c>
    </row>
    <row r="84" spans="1:14" x14ac:dyDescent="0.25">
      <c r="A84" s="41" t="str">
        <f>Table1[[#This Row],[Route]]&amp;TEXT(Table1[[#This Row],[SegmentID]],"00")</f>
        <v>010A50</v>
      </c>
      <c r="B84" t="s">
        <v>170</v>
      </c>
      <c r="D84">
        <f>IFERROR(ROUND(VLOOKUP(Table1[[#This Row],[Route]],SegmentsPerRoute!$C$3:$L$297,8,FALSE)+(Table1[[#This Row],[Sequence]]-1)*VLOOKUP(Table1[[#This Row],[Route]],SegmentsPerRoute!$C$3:$L$297,10,FALSE),0), 0)</f>
        <v>50</v>
      </c>
      <c r="E84">
        <v>2</v>
      </c>
      <c r="F84" s="1">
        <v>62.371000000000002</v>
      </c>
      <c r="G84" t="s">
        <v>172</v>
      </c>
      <c r="H84" s="1">
        <v>62.88</v>
      </c>
      <c r="I84" t="s">
        <v>174</v>
      </c>
      <c r="K84" t="s">
        <v>1696</v>
      </c>
      <c r="L84" t="s">
        <v>2128</v>
      </c>
      <c r="M84" t="s">
        <v>2131</v>
      </c>
    </row>
    <row r="85" spans="1:14" x14ac:dyDescent="0.25">
      <c r="A85" s="41" t="str">
        <f>Table1[[#This Row],[Route]]&amp;TEXT(Table1[[#This Row],[SegmentID]],"00")</f>
        <v>010A85</v>
      </c>
      <c r="B85" t="s">
        <v>170</v>
      </c>
      <c r="D85">
        <f>IFERROR(ROUND(VLOOKUP(Table1[[#This Row],[Route]],SegmentsPerRoute!$C$3:$L$297,8,FALSE)+(Table1[[#This Row],[Sequence]]-1)*VLOOKUP(Table1[[#This Row],[Route]],SegmentsPerRoute!$C$3:$L$297,10,FALSE),0), 0)</f>
        <v>85</v>
      </c>
      <c r="E85">
        <v>3</v>
      </c>
      <c r="F85" s="1">
        <v>62.88</v>
      </c>
      <c r="G85" t="s">
        <v>174</v>
      </c>
      <c r="H85" s="1">
        <v>71.968000000000004</v>
      </c>
      <c r="I85" t="s">
        <v>175</v>
      </c>
      <c r="K85" t="s">
        <v>1696</v>
      </c>
      <c r="L85" t="s">
        <v>2129</v>
      </c>
      <c r="M85" t="s">
        <v>2130</v>
      </c>
    </row>
    <row r="86" spans="1:14" x14ac:dyDescent="0.25">
      <c r="A86" s="41" t="str">
        <f>Table1[[#This Row],[Route]]&amp;TEXT(Table1[[#This Row],[SegmentID]],"00")</f>
        <v>011A15</v>
      </c>
      <c r="B86" t="s">
        <v>176</v>
      </c>
      <c r="D86">
        <f>IFERROR(ROUND(VLOOKUP(Table1[[#This Row],[Route]],SegmentsPerRoute!$C$3:$L$297,8,FALSE)+(Table1[[#This Row],[Sequence]]-1)*VLOOKUP(Table1[[#This Row],[Route]],SegmentsPerRoute!$C$3:$L$297,10,FALSE),0), 0)</f>
        <v>15</v>
      </c>
      <c r="E86">
        <v>1</v>
      </c>
      <c r="F86" s="1">
        <v>0</v>
      </c>
      <c r="G86" t="s">
        <v>177</v>
      </c>
      <c r="H86" s="1">
        <v>1.35</v>
      </c>
      <c r="I86" t="s">
        <v>249</v>
      </c>
      <c r="K86" t="s">
        <v>1695</v>
      </c>
      <c r="L86" t="s">
        <v>2133</v>
      </c>
      <c r="M86" t="s">
        <v>2134</v>
      </c>
    </row>
    <row r="87" spans="1:14" x14ac:dyDescent="0.25">
      <c r="A87" s="41" t="str">
        <f>Table1[[#This Row],[Route]]&amp;TEXT(Table1[[#This Row],[SegmentID]],"00")</f>
        <v>012A15</v>
      </c>
      <c r="B87" t="s">
        <v>178</v>
      </c>
      <c r="D87">
        <f>IFERROR(ROUND(VLOOKUP(Table1[[#This Row],[Route]],SegmentsPerRoute!$C$3:$L$297,8,FALSE)+(Table1[[#This Row],[Sequence]]-1)*VLOOKUP(Table1[[#This Row],[Route]],SegmentsPerRoute!$C$3:$L$297,10,FALSE),0), 0)</f>
        <v>15</v>
      </c>
      <c r="E87">
        <v>1</v>
      </c>
      <c r="F87" s="1">
        <v>0</v>
      </c>
      <c r="G87" t="s">
        <v>179</v>
      </c>
      <c r="H87" s="1">
        <v>70.832999999999998</v>
      </c>
      <c r="I87" t="s">
        <v>180</v>
      </c>
      <c r="J87" t="s">
        <v>4599</v>
      </c>
      <c r="K87" s="10" t="s">
        <v>1711</v>
      </c>
      <c r="L87" s="10"/>
      <c r="M87" s="10"/>
      <c r="N87" t="s">
        <v>181</v>
      </c>
    </row>
    <row r="88" spans="1:14" x14ac:dyDescent="0.25">
      <c r="A88" s="41" t="str">
        <f>Table1[[#This Row],[Route]]&amp;TEXT(Table1[[#This Row],[SegmentID]],"00")</f>
        <v>013A15</v>
      </c>
      <c r="B88" t="s">
        <v>182</v>
      </c>
      <c r="D88">
        <f>IFERROR(ROUND(VLOOKUP(Table1[[#This Row],[Route]],SegmentsPerRoute!$C$3:$L$297,8,FALSE)+(Table1[[#This Row],[Sequence]]-1)*VLOOKUP(Table1[[#This Row],[Route]],SegmentsPerRoute!$C$3:$L$297,10,FALSE),0), 0)</f>
        <v>15</v>
      </c>
      <c r="E88">
        <v>1</v>
      </c>
      <c r="F88" s="1">
        <v>1.0589999999999999</v>
      </c>
      <c r="G88" t="s">
        <v>183</v>
      </c>
      <c r="H88" s="1">
        <v>4.1139999999999999</v>
      </c>
      <c r="I88" t="s">
        <v>184</v>
      </c>
      <c r="K88" t="s">
        <v>1696</v>
      </c>
      <c r="L88" t="s">
        <v>2135</v>
      </c>
      <c r="M88" t="s">
        <v>2136</v>
      </c>
      <c r="N88" t="s">
        <v>189</v>
      </c>
    </row>
    <row r="89" spans="1:14" x14ac:dyDescent="0.25">
      <c r="A89" s="41" t="str">
        <f>Table1[[#This Row],[Route]]&amp;TEXT(Table1[[#This Row],[SegmentID]],"00")</f>
        <v>013A38</v>
      </c>
      <c r="B89" t="s">
        <v>182</v>
      </c>
      <c r="D89">
        <f>IFERROR(ROUND(VLOOKUP(Table1[[#This Row],[Route]],SegmentsPerRoute!$C$3:$L$297,8,FALSE)+(Table1[[#This Row],[Sequence]]-1)*VLOOKUP(Table1[[#This Row],[Route]],SegmentsPerRoute!$C$3:$L$297,10,FALSE),0), 0)</f>
        <v>38</v>
      </c>
      <c r="E89">
        <v>2</v>
      </c>
      <c r="F89" s="1">
        <v>4.1139999999999999</v>
      </c>
      <c r="G89" t="s">
        <v>184</v>
      </c>
      <c r="H89" s="1">
        <v>39</v>
      </c>
      <c r="I89" t="s">
        <v>185</v>
      </c>
      <c r="K89" t="s">
        <v>1696</v>
      </c>
      <c r="L89" t="s">
        <v>2135</v>
      </c>
      <c r="M89" t="s">
        <v>2136</v>
      </c>
      <c r="N89" t="s">
        <v>190</v>
      </c>
    </row>
    <row r="90" spans="1:14" x14ac:dyDescent="0.25">
      <c r="A90" s="41" t="str">
        <f>Table1[[#This Row],[Route]]&amp;TEXT(Table1[[#This Row],[SegmentID]],"00")</f>
        <v>013A62</v>
      </c>
      <c r="B90" t="s">
        <v>182</v>
      </c>
      <c r="D90">
        <f>IFERROR(ROUND(VLOOKUP(Table1[[#This Row],[Route]],SegmentsPerRoute!$C$3:$L$297,8,FALSE)+(Table1[[#This Row],[Sequence]]-1)*VLOOKUP(Table1[[#This Row],[Route]],SegmentsPerRoute!$C$3:$L$297,10,FALSE),0), 0)</f>
        <v>62</v>
      </c>
      <c r="E90">
        <v>3</v>
      </c>
      <c r="F90" s="1">
        <v>39</v>
      </c>
      <c r="G90" t="s">
        <v>185</v>
      </c>
      <c r="H90" s="1">
        <v>75.793000000000006</v>
      </c>
      <c r="I90" t="s">
        <v>186</v>
      </c>
      <c r="K90" t="s">
        <v>1696</v>
      </c>
      <c r="L90" t="s">
        <v>2135</v>
      </c>
      <c r="M90" t="s">
        <v>2136</v>
      </c>
      <c r="N90" t="s">
        <v>190</v>
      </c>
    </row>
    <row r="91" spans="1:14" x14ac:dyDescent="0.25">
      <c r="A91" s="41" t="str">
        <f>Table1[[#This Row],[Route]]&amp;TEXT(Table1[[#This Row],[SegmentID]],"00")</f>
        <v>013A85</v>
      </c>
      <c r="B91" t="s">
        <v>182</v>
      </c>
      <c r="D91">
        <f>IFERROR(ROUND(VLOOKUP(Table1[[#This Row],[Route]],SegmentsPerRoute!$C$3:$L$297,8,FALSE)+(Table1[[#This Row],[Sequence]]-1)*VLOOKUP(Table1[[#This Row],[Route]],SegmentsPerRoute!$C$3:$L$297,10,FALSE),0), 0)</f>
        <v>85</v>
      </c>
      <c r="E91">
        <v>4</v>
      </c>
      <c r="F91" s="1">
        <v>75.793000000000006</v>
      </c>
      <c r="G91" t="s">
        <v>186</v>
      </c>
      <c r="H91" s="1">
        <v>88.635000000000005</v>
      </c>
      <c r="I91" t="s">
        <v>187</v>
      </c>
      <c r="K91" t="s">
        <v>1696</v>
      </c>
      <c r="L91" t="s">
        <v>2135</v>
      </c>
      <c r="M91" t="s">
        <v>2136</v>
      </c>
      <c r="N91" t="s">
        <v>188</v>
      </c>
    </row>
    <row r="92" spans="1:14" x14ac:dyDescent="0.25">
      <c r="A92" s="41" t="str">
        <f>Table1[[#This Row],[Route]]&amp;TEXT(Table1[[#This Row],[SegmentID]],"00")</f>
        <v>013B15</v>
      </c>
      <c r="B92" t="s">
        <v>191</v>
      </c>
      <c r="D92">
        <f>IFERROR(ROUND(VLOOKUP(Table1[[#This Row],[Route]],SegmentsPerRoute!$C$3:$L$297,8,FALSE)+(Table1[[#This Row],[Sequence]]-1)*VLOOKUP(Table1[[#This Row],[Route]],SegmentsPerRoute!$C$3:$L$297,10,FALSE),0), 0)</f>
        <v>15</v>
      </c>
      <c r="E92">
        <v>1</v>
      </c>
      <c r="F92" s="1">
        <v>89.58</v>
      </c>
      <c r="G92" t="s">
        <v>187</v>
      </c>
      <c r="H92" s="1">
        <v>89.706000000000003</v>
      </c>
      <c r="I92" t="s">
        <v>192</v>
      </c>
      <c r="K92" t="s">
        <v>1695</v>
      </c>
      <c r="L92" t="s">
        <v>2137</v>
      </c>
      <c r="M92" t="s">
        <v>2140</v>
      </c>
    </row>
    <row r="93" spans="1:14" x14ac:dyDescent="0.25">
      <c r="A93" s="41" t="str">
        <f>Table1[[#This Row],[Route]]&amp;TEXT(Table1[[#This Row],[SegmentID]],"00")</f>
        <v>013B99</v>
      </c>
      <c r="B93" t="s">
        <v>191</v>
      </c>
      <c r="D93">
        <f>IFERROR(ROUND(VLOOKUP(Table1[[#This Row],[Route]],SegmentsPerRoute!$C$3:$L$297,8,FALSE)+(Table1[[#This Row],[Sequence]]-1)*VLOOKUP(Table1[[#This Row],[Route]],SegmentsPerRoute!$C$3:$L$297,10,FALSE),0), 0)</f>
        <v>99</v>
      </c>
      <c r="E93">
        <v>2</v>
      </c>
      <c r="F93" s="1">
        <v>89.706000000000003</v>
      </c>
      <c r="G93" t="s">
        <v>192</v>
      </c>
      <c r="H93" s="1">
        <v>128.07</v>
      </c>
      <c r="I93" t="s">
        <v>251</v>
      </c>
      <c r="K93" t="s">
        <v>1695</v>
      </c>
      <c r="L93" t="s">
        <v>2138</v>
      </c>
      <c r="M93" t="s">
        <v>2139</v>
      </c>
      <c r="N93" t="s">
        <v>193</v>
      </c>
    </row>
    <row r="94" spans="1:14" x14ac:dyDescent="0.25">
      <c r="A94" s="41" t="str">
        <f>Table1[[#This Row],[Route]]&amp;TEXT(Table1[[#This Row],[SegmentID]],"00")</f>
        <v>013C15</v>
      </c>
      <c r="B94" t="s">
        <v>194</v>
      </c>
      <c r="D94">
        <f>IFERROR(ROUND(VLOOKUP(Table1[[#This Row],[Route]],SegmentsPerRoute!$C$3:$L$297,8,FALSE)+(Table1[[#This Row],[Sequence]]-1)*VLOOKUP(Table1[[#This Row],[Route]],SegmentsPerRoute!$C$3:$L$297,10,FALSE),0), 0)</f>
        <v>15</v>
      </c>
      <c r="E94">
        <v>1</v>
      </c>
      <c r="F94" s="1">
        <v>0</v>
      </c>
      <c r="G94" t="s">
        <v>195</v>
      </c>
      <c r="H94" s="1">
        <v>0.222</v>
      </c>
      <c r="I94" t="s">
        <v>196</v>
      </c>
      <c r="J94" t="s">
        <v>197</v>
      </c>
      <c r="K94" t="s">
        <v>1696</v>
      </c>
      <c r="N94" t="s">
        <v>48</v>
      </c>
    </row>
    <row r="95" spans="1:14" x14ac:dyDescent="0.25">
      <c r="A95" s="41" t="str">
        <f>Table1[[#This Row],[Route]]&amp;TEXT(Table1[[#This Row],[SegmentID]],"00")</f>
        <v>014A15</v>
      </c>
      <c r="B95" t="s">
        <v>198</v>
      </c>
      <c r="D95">
        <f>IFERROR(ROUND(VLOOKUP(Table1[[#This Row],[Route]],SegmentsPerRoute!$C$3:$L$297,8,FALSE)+(Table1[[#This Row],[Sequence]]-1)*VLOOKUP(Table1[[#This Row],[Route]],SegmentsPerRoute!$C$3:$L$297,10,FALSE),0), 0)</f>
        <v>15</v>
      </c>
      <c r="E95">
        <v>1</v>
      </c>
      <c r="F95" s="1">
        <v>0</v>
      </c>
      <c r="G95" t="s">
        <v>199</v>
      </c>
      <c r="H95" s="1">
        <v>32.968000000000004</v>
      </c>
      <c r="I95" t="s">
        <v>200</v>
      </c>
      <c r="K95" t="s">
        <v>1696</v>
      </c>
      <c r="L95" t="s">
        <v>2141</v>
      </c>
      <c r="M95" t="s">
        <v>2142</v>
      </c>
      <c r="N95" t="s">
        <v>201</v>
      </c>
    </row>
    <row r="96" spans="1:14" ht="30" x14ac:dyDescent="0.25">
      <c r="A96" s="41" t="str">
        <f>Table1[[#This Row],[Route]]&amp;TEXT(Table1[[#This Row],[SegmentID]],"00")</f>
        <v>014B15</v>
      </c>
      <c r="B96" t="s">
        <v>202</v>
      </c>
      <c r="D96">
        <f>IFERROR(ROUND(VLOOKUP(Table1[[#This Row],[Route]],SegmentsPerRoute!$C$3:$L$297,8,FALSE)+(Table1[[#This Row],[Sequence]]-1)*VLOOKUP(Table1[[#This Row],[Route]],SegmentsPerRoute!$C$3:$L$297,10,FALSE),0), 0)</f>
        <v>15</v>
      </c>
      <c r="E96">
        <v>1</v>
      </c>
      <c r="F96" s="1">
        <v>34.090000000000003</v>
      </c>
      <c r="G96" t="s">
        <v>203</v>
      </c>
      <c r="H96" s="1">
        <v>121.71299999999999</v>
      </c>
      <c r="I96" t="s">
        <v>204</v>
      </c>
      <c r="K96" t="s">
        <v>1696</v>
      </c>
      <c r="L96" t="s">
        <v>2143</v>
      </c>
      <c r="M96" t="s">
        <v>2144</v>
      </c>
      <c r="N96" s="4" t="s">
        <v>205</v>
      </c>
    </row>
    <row r="97" spans="1:14" x14ac:dyDescent="0.25">
      <c r="A97" s="41" t="str">
        <f>Table1[[#This Row],[Route]]&amp;TEXT(Table1[[#This Row],[SegmentID]],"00")</f>
        <v>014C15</v>
      </c>
      <c r="B97" t="s">
        <v>206</v>
      </c>
      <c r="C97" s="3" t="s">
        <v>1697</v>
      </c>
      <c r="D97">
        <f>IFERROR(ROUND(VLOOKUP(Table1[[#This Row],[Route]],SegmentsPerRoute!$C$3:$L$297,8,FALSE)+(Table1[[#This Row],[Sequence]]-1)*VLOOKUP(Table1[[#This Row],[Route]],SegmentsPerRoute!$C$3:$L$297,10,FALSE),0), 0)</f>
        <v>15</v>
      </c>
      <c r="E97">
        <v>1</v>
      </c>
      <c r="F97" s="1">
        <v>134.77000000000001</v>
      </c>
      <c r="G97" t="s">
        <v>207</v>
      </c>
      <c r="H97" s="1">
        <v>138.96799999999999</v>
      </c>
      <c r="I97" t="s">
        <v>11</v>
      </c>
      <c r="K97" t="s">
        <v>1702</v>
      </c>
      <c r="L97" t="s">
        <v>2145</v>
      </c>
      <c r="M97" t="s">
        <v>2158</v>
      </c>
      <c r="N97" t="s">
        <v>214</v>
      </c>
    </row>
    <row r="98" spans="1:14" x14ac:dyDescent="0.25">
      <c r="A98" s="41" t="str">
        <f>Table1[[#This Row],[Route]]&amp;TEXT(Table1[[#This Row],[SegmentID]],"00")</f>
        <v>014C24</v>
      </c>
      <c r="B98" t="s">
        <v>206</v>
      </c>
      <c r="C98" s="3" t="s">
        <v>1697</v>
      </c>
      <c r="D98">
        <f>IFERROR(ROUND(VLOOKUP(Table1[[#This Row],[Route]],SegmentsPerRoute!$C$3:$L$297,8,FALSE)+(Table1[[#This Row],[Sequence]]-1)*VLOOKUP(Table1[[#This Row],[Route]],SegmentsPerRoute!$C$3:$L$297,10,FALSE),0), 0)</f>
        <v>24</v>
      </c>
      <c r="E98">
        <v>2</v>
      </c>
      <c r="F98" s="1">
        <v>138.96799999999999</v>
      </c>
      <c r="G98" t="s">
        <v>11</v>
      </c>
      <c r="H98" s="1">
        <v>144.15199999999999</v>
      </c>
      <c r="I98" t="s">
        <v>215</v>
      </c>
      <c r="K98" t="s">
        <v>1702</v>
      </c>
      <c r="L98" t="s">
        <v>2146</v>
      </c>
      <c r="M98" t="s">
        <v>2157</v>
      </c>
    </row>
    <row r="99" spans="1:14" x14ac:dyDescent="0.25">
      <c r="A99" s="41" t="str">
        <f>Table1[[#This Row],[Route]]&amp;TEXT(Table1[[#This Row],[SegmentID]],"00")</f>
        <v>014C33</v>
      </c>
      <c r="B99" t="s">
        <v>206</v>
      </c>
      <c r="C99" s="3" t="s">
        <v>1697</v>
      </c>
      <c r="D99">
        <f>IFERROR(ROUND(VLOOKUP(Table1[[#This Row],[Route]],SegmentsPerRoute!$C$3:$L$297,8,FALSE)+(Table1[[#This Row],[Sequence]]-1)*VLOOKUP(Table1[[#This Row],[Route]],SegmentsPerRoute!$C$3:$L$297,10,FALSE),0), 0)</f>
        <v>33</v>
      </c>
      <c r="E99">
        <v>3</v>
      </c>
      <c r="F99" s="1">
        <v>144.15199999999999</v>
      </c>
      <c r="G99" t="s">
        <v>215</v>
      </c>
      <c r="H99" s="1">
        <v>153.37</v>
      </c>
      <c r="I99" t="s">
        <v>209</v>
      </c>
      <c r="K99" t="s">
        <v>1702</v>
      </c>
      <c r="L99" t="s">
        <v>2146</v>
      </c>
      <c r="M99" t="s">
        <v>2157</v>
      </c>
    </row>
    <row r="100" spans="1:14" x14ac:dyDescent="0.25">
      <c r="A100" s="41" t="str">
        <f>Table1[[#This Row],[Route]]&amp;TEXT(Table1[[#This Row],[SegmentID]],"00")</f>
        <v>014C41</v>
      </c>
      <c r="B100" t="s">
        <v>206</v>
      </c>
      <c r="C100" s="3" t="s">
        <v>1697</v>
      </c>
      <c r="D100">
        <f>IFERROR(ROUND(VLOOKUP(Table1[[#This Row],[Route]],SegmentsPerRoute!$C$3:$L$297,8,FALSE)+(Table1[[#This Row],[Sequence]]-1)*VLOOKUP(Table1[[#This Row],[Route]],SegmentsPerRoute!$C$3:$L$297,10,FALSE),0), 0)</f>
        <v>41</v>
      </c>
      <c r="E100">
        <v>4</v>
      </c>
      <c r="F100" s="1">
        <v>153.37</v>
      </c>
      <c r="G100" t="s">
        <v>209</v>
      </c>
      <c r="H100" s="1">
        <v>176.18899999999999</v>
      </c>
      <c r="I100" t="s">
        <v>210</v>
      </c>
      <c r="K100" t="s">
        <v>1702</v>
      </c>
      <c r="L100" t="s">
        <v>2147</v>
      </c>
      <c r="M100" t="s">
        <v>2156</v>
      </c>
    </row>
    <row r="101" spans="1:14" x14ac:dyDescent="0.25">
      <c r="A101" s="41" t="str">
        <f>Table1[[#This Row],[Route]]&amp;TEXT(Table1[[#This Row],[SegmentID]],"00")</f>
        <v>014C50</v>
      </c>
      <c r="B101" t="s">
        <v>206</v>
      </c>
      <c r="C101" s="3" t="s">
        <v>1697</v>
      </c>
      <c r="D101">
        <f>IFERROR(ROUND(VLOOKUP(Table1[[#This Row],[Route]],SegmentsPerRoute!$C$3:$L$297,8,FALSE)+(Table1[[#This Row],[Sequence]]-1)*VLOOKUP(Table1[[#This Row],[Route]],SegmentsPerRoute!$C$3:$L$297,10,FALSE),0), 0)</f>
        <v>50</v>
      </c>
      <c r="E101">
        <v>5</v>
      </c>
      <c r="F101" s="1">
        <v>176.18899999999999</v>
      </c>
      <c r="G101" t="s">
        <v>210</v>
      </c>
      <c r="H101" s="1">
        <v>205.23599999999999</v>
      </c>
      <c r="I101" t="s">
        <v>211</v>
      </c>
      <c r="K101" t="s">
        <v>1702</v>
      </c>
      <c r="L101" t="s">
        <v>2148</v>
      </c>
      <c r="M101" t="s">
        <v>2155</v>
      </c>
    </row>
    <row r="102" spans="1:14" x14ac:dyDescent="0.25">
      <c r="A102" s="41" t="str">
        <f>Table1[[#This Row],[Route]]&amp;TEXT(Table1[[#This Row],[SegmentID]],"00")</f>
        <v>014C59</v>
      </c>
      <c r="B102" t="s">
        <v>206</v>
      </c>
      <c r="C102" s="3" t="s">
        <v>1698</v>
      </c>
      <c r="D102">
        <f>IFERROR(ROUND(VLOOKUP(Table1[[#This Row],[Route]],SegmentsPerRoute!$C$3:$L$297,8,FALSE)+(Table1[[#This Row],[Sequence]]-1)*VLOOKUP(Table1[[#This Row],[Route]],SegmentsPerRoute!$C$3:$L$297,10,FALSE),0), 0)</f>
        <v>59</v>
      </c>
      <c r="E102">
        <v>6</v>
      </c>
      <c r="F102" s="1">
        <v>205.23599999999999</v>
      </c>
      <c r="G102" t="s">
        <v>211</v>
      </c>
      <c r="H102" s="1">
        <v>211.80699999999999</v>
      </c>
      <c r="I102" t="s">
        <v>212</v>
      </c>
      <c r="K102" t="s">
        <v>1702</v>
      </c>
      <c r="L102" t="s">
        <v>2149</v>
      </c>
      <c r="M102" t="s">
        <v>2154</v>
      </c>
    </row>
    <row r="103" spans="1:14" x14ac:dyDescent="0.25">
      <c r="A103" s="41" t="str">
        <f>Table1[[#This Row],[Route]]&amp;TEXT(Table1[[#This Row],[SegmentID]],"00")</f>
        <v>014C68</v>
      </c>
      <c r="B103" t="s">
        <v>206</v>
      </c>
      <c r="C103" s="3" t="s">
        <v>1698</v>
      </c>
      <c r="D103">
        <f>IFERROR(ROUND(VLOOKUP(Table1[[#This Row],[Route]],SegmentsPerRoute!$C$3:$L$297,8,FALSE)+(Table1[[#This Row],[Sequence]]-1)*VLOOKUP(Table1[[#This Row],[Route]],SegmentsPerRoute!$C$3:$L$297,10,FALSE),0), 0)</f>
        <v>68</v>
      </c>
      <c r="E103">
        <v>7</v>
      </c>
      <c r="F103" s="1">
        <v>211.80699999999999</v>
      </c>
      <c r="G103" t="s">
        <v>212</v>
      </c>
      <c r="H103" s="1">
        <v>215.828</v>
      </c>
      <c r="I103" t="s">
        <v>213</v>
      </c>
      <c r="K103" t="s">
        <v>1702</v>
      </c>
      <c r="L103" t="s">
        <v>2149</v>
      </c>
      <c r="M103" t="s">
        <v>2154</v>
      </c>
    </row>
    <row r="104" spans="1:14" x14ac:dyDescent="0.25">
      <c r="A104" s="41" t="str">
        <f>Table1[[#This Row],[Route]]&amp;TEXT(Table1[[#This Row],[SegmentID]],"00")</f>
        <v>014C77</v>
      </c>
      <c r="B104" t="s">
        <v>206</v>
      </c>
      <c r="C104" s="3" t="s">
        <v>1698</v>
      </c>
      <c r="D104">
        <f>IFERROR(ROUND(VLOOKUP(Table1[[#This Row],[Route]],SegmentsPerRoute!$C$3:$L$297,8,FALSE)+(Table1[[#This Row],[Sequence]]-1)*VLOOKUP(Table1[[#This Row],[Route]],SegmentsPerRoute!$C$3:$L$297,10,FALSE),0), 0)</f>
        <v>77</v>
      </c>
      <c r="E104">
        <v>8</v>
      </c>
      <c r="F104" s="1">
        <v>215.828</v>
      </c>
      <c r="G104" t="s">
        <v>213</v>
      </c>
      <c r="H104" s="1">
        <v>236.82400000000001</v>
      </c>
      <c r="I104" t="s">
        <v>96</v>
      </c>
      <c r="K104" t="s">
        <v>1702</v>
      </c>
      <c r="L104" t="s">
        <v>2150</v>
      </c>
      <c r="M104" t="s">
        <v>2153</v>
      </c>
    </row>
    <row r="105" spans="1:14" x14ac:dyDescent="0.25">
      <c r="A105" s="41" t="str">
        <f>Table1[[#This Row],[Route]]&amp;TEXT(Table1[[#This Row],[SegmentID]],"00")</f>
        <v>014C85</v>
      </c>
      <c r="B105" t="s">
        <v>206</v>
      </c>
      <c r="C105" s="3" t="s">
        <v>1698</v>
      </c>
      <c r="D105">
        <f>IFERROR(ROUND(VLOOKUP(Table1[[#This Row],[Route]],SegmentsPerRoute!$C$3:$L$297,8,FALSE)+(Table1[[#This Row],[Sequence]]-1)*VLOOKUP(Table1[[#This Row],[Route]],SegmentsPerRoute!$C$3:$L$297,10,FALSE),0), 0)</f>
        <v>85</v>
      </c>
      <c r="E105">
        <v>9</v>
      </c>
      <c r="F105" s="1">
        <v>236.82400000000001</v>
      </c>
      <c r="G105" t="s">
        <v>96</v>
      </c>
      <c r="H105" s="1">
        <v>236.92400000000001</v>
      </c>
      <c r="I105" t="s">
        <v>125</v>
      </c>
      <c r="K105" t="s">
        <v>1702</v>
      </c>
      <c r="L105" t="s">
        <v>2151</v>
      </c>
      <c r="M105" t="s">
        <v>2152</v>
      </c>
    </row>
    <row r="106" spans="1:14" x14ac:dyDescent="0.25">
      <c r="A106" s="41" t="str">
        <f>Table1[[#This Row],[Route]]&amp;TEXT(Table1[[#This Row],[SegmentID]],"00")</f>
        <v>015A15</v>
      </c>
      <c r="B106" t="s">
        <v>216</v>
      </c>
      <c r="D106">
        <f>IFERROR(ROUND(VLOOKUP(Table1[[#This Row],[Route]],SegmentsPerRoute!$C$3:$L$297,8,FALSE)+(Table1[[#This Row],[Sequence]]-1)*VLOOKUP(Table1[[#This Row],[Route]],SegmentsPerRoute!$C$3:$L$297,10,FALSE),0), 0)</f>
        <v>15</v>
      </c>
      <c r="E106">
        <v>1</v>
      </c>
      <c r="F106" s="1">
        <v>0</v>
      </c>
      <c r="G106" t="s">
        <v>217</v>
      </c>
      <c r="H106" s="1">
        <v>10.412000000000001</v>
      </c>
      <c r="I106" t="s">
        <v>218</v>
      </c>
      <c r="K106" t="s">
        <v>1696</v>
      </c>
      <c r="L106" t="s">
        <v>2160</v>
      </c>
      <c r="M106" t="s">
        <v>2159</v>
      </c>
    </row>
    <row r="107" spans="1:14" x14ac:dyDescent="0.25">
      <c r="A107" s="41" t="str">
        <f>Table1[[#This Row],[Route]]&amp;TEXT(Table1[[#This Row],[SegmentID]],"00")</f>
        <v>015A85</v>
      </c>
      <c r="B107" t="s">
        <v>216</v>
      </c>
      <c r="D107">
        <f>IFERROR(ROUND(VLOOKUP(Table1[[#This Row],[Route]],SegmentsPerRoute!$C$3:$L$297,8,FALSE)+(Table1[[#This Row],[Sequence]]-1)*VLOOKUP(Table1[[#This Row],[Route]],SegmentsPerRoute!$C$3:$L$297,10,FALSE),0), 0)</f>
        <v>85</v>
      </c>
      <c r="E107">
        <v>2</v>
      </c>
      <c r="F107" s="1">
        <v>10.412000000000001</v>
      </c>
      <c r="G107" t="s">
        <v>218</v>
      </c>
      <c r="H107" s="1">
        <v>12.374000000000001</v>
      </c>
      <c r="I107" t="s">
        <v>219</v>
      </c>
      <c r="J107" t="s">
        <v>21</v>
      </c>
      <c r="K107" t="s">
        <v>1696</v>
      </c>
    </row>
    <row r="108" spans="1:14" x14ac:dyDescent="0.25">
      <c r="A108" s="41" t="str">
        <f>Table1[[#This Row],[Route]]&amp;TEXT(Table1[[#This Row],[SegmentID]],"00")</f>
        <v>015B15</v>
      </c>
      <c r="B108" t="s">
        <v>220</v>
      </c>
      <c r="D108">
        <f>IFERROR(ROUND(VLOOKUP(Table1[[#This Row],[Route]],SegmentsPerRoute!$C$3:$L$297,8,FALSE)+(Table1[[#This Row],[Sequence]]-1)*VLOOKUP(Table1[[#This Row],[Route]],SegmentsPerRoute!$C$3:$L$297,10,FALSE),0), 0)</f>
        <v>15</v>
      </c>
      <c r="E108">
        <v>1</v>
      </c>
      <c r="F108" s="1">
        <v>20.398</v>
      </c>
      <c r="G108" t="s">
        <v>221</v>
      </c>
      <c r="H108" s="1">
        <v>26.562000000000001</v>
      </c>
      <c r="I108" t="s">
        <v>222</v>
      </c>
      <c r="J108" t="s">
        <v>21</v>
      </c>
      <c r="K108" t="s">
        <v>1696</v>
      </c>
      <c r="N108" t="s">
        <v>224</v>
      </c>
    </row>
    <row r="109" spans="1:14" x14ac:dyDescent="0.25">
      <c r="A109" s="41" t="str">
        <f>Table1[[#This Row],[Route]]&amp;TEXT(Table1[[#This Row],[SegmentID]],"00")</f>
        <v>015B85</v>
      </c>
      <c r="B109" t="s">
        <v>220</v>
      </c>
      <c r="D109">
        <f>IFERROR(ROUND(VLOOKUP(Table1[[#This Row],[Route]],SegmentsPerRoute!$C$3:$L$297,8,FALSE)+(Table1[[#This Row],[Sequence]]-1)*VLOOKUP(Table1[[#This Row],[Route]],SegmentsPerRoute!$C$3:$L$297,10,FALSE),0), 0)</f>
        <v>85</v>
      </c>
      <c r="E109">
        <v>2</v>
      </c>
      <c r="F109" s="1">
        <v>26.562000000000001</v>
      </c>
      <c r="G109" t="s">
        <v>222</v>
      </c>
      <c r="H109" s="1">
        <v>30.914999999999999</v>
      </c>
      <c r="I109" t="s">
        <v>223</v>
      </c>
      <c r="K109" t="s">
        <v>1696</v>
      </c>
      <c r="L109" t="s">
        <v>2161</v>
      </c>
      <c r="M109" t="s">
        <v>2162</v>
      </c>
      <c r="N109" t="s">
        <v>224</v>
      </c>
    </row>
    <row r="110" spans="1:14" x14ac:dyDescent="0.25">
      <c r="A110" s="41" t="str">
        <f>Table1[[#This Row],[Route]]&amp;TEXT(Table1[[#This Row],[SegmentID]],"00")</f>
        <v>016A15</v>
      </c>
      <c r="B110" t="s">
        <v>225</v>
      </c>
      <c r="D110">
        <f>IFERROR(ROUND(VLOOKUP(Table1[[#This Row],[Route]],SegmentsPerRoute!$C$3:$L$297,8,FALSE)+(Table1[[#This Row],[Sequence]]-1)*VLOOKUP(Table1[[#This Row],[Route]],SegmentsPerRoute!$C$3:$L$297,10,FALSE),0), 0)</f>
        <v>15</v>
      </c>
      <c r="E110">
        <v>1</v>
      </c>
      <c r="F110" s="1">
        <v>0</v>
      </c>
      <c r="G110" t="s">
        <v>226</v>
      </c>
      <c r="H110" s="1">
        <v>0.996</v>
      </c>
      <c r="I110" t="s">
        <v>227</v>
      </c>
      <c r="K110" t="s">
        <v>1696</v>
      </c>
      <c r="L110" t="s">
        <v>2163</v>
      </c>
      <c r="M110" t="s">
        <v>2166</v>
      </c>
      <c r="N110" t="s">
        <v>229</v>
      </c>
    </row>
    <row r="111" spans="1:14" x14ac:dyDescent="0.25">
      <c r="A111" s="41" t="str">
        <f>Table1[[#This Row],[Route]]&amp;TEXT(Table1[[#This Row],[SegmentID]],"00")</f>
        <v>016A85</v>
      </c>
      <c r="B111" t="s">
        <v>225</v>
      </c>
      <c r="D111">
        <f>IFERROR(ROUND(VLOOKUP(Table1[[#This Row],[Route]],SegmentsPerRoute!$C$3:$L$297,8,FALSE)+(Table1[[#This Row],[Sequence]]-1)*VLOOKUP(Table1[[#This Row],[Route]],SegmentsPerRoute!$C$3:$L$297,10,FALSE),0), 0)</f>
        <v>85</v>
      </c>
      <c r="E111">
        <v>2</v>
      </c>
      <c r="F111" s="1">
        <v>0.996</v>
      </c>
      <c r="G111" t="s">
        <v>227</v>
      </c>
      <c r="H111" s="1">
        <v>3.1179999999999999</v>
      </c>
      <c r="I111" t="s">
        <v>228</v>
      </c>
      <c r="K111" t="s">
        <v>1696</v>
      </c>
      <c r="L111" t="s">
        <v>2164</v>
      </c>
      <c r="M111" t="s">
        <v>2165</v>
      </c>
    </row>
    <row r="112" spans="1:14" x14ac:dyDescent="0.25">
      <c r="A112" s="41" t="str">
        <f>Table1[[#This Row],[Route]]&amp;TEXT(Table1[[#This Row],[SegmentID]],"00")</f>
        <v>017A01</v>
      </c>
      <c r="B112" t="s">
        <v>230</v>
      </c>
      <c r="D112">
        <f>IFERROR(ROUND(VLOOKUP(Table1[[#This Row],[Route]],SegmentsPerRoute!$C$3:$L$297,8,FALSE)+(Table1[[#This Row],[Sequence]]-1)*VLOOKUP(Table1[[#This Row],[Route]],SegmentsPerRoute!$C$3:$L$297,10,FALSE),0), 0)</f>
        <v>1</v>
      </c>
      <c r="E112">
        <v>1</v>
      </c>
      <c r="F112" s="1">
        <v>0</v>
      </c>
      <c r="G112" t="s">
        <v>231</v>
      </c>
      <c r="H112" s="1">
        <v>39.052</v>
      </c>
      <c r="I112" t="s">
        <v>232</v>
      </c>
      <c r="K112" t="s">
        <v>1695</v>
      </c>
      <c r="L112" t="s">
        <v>2167</v>
      </c>
      <c r="M112" t="s">
        <v>2168</v>
      </c>
      <c r="N112" t="s">
        <v>233</v>
      </c>
    </row>
    <row r="113" spans="1:14" x14ac:dyDescent="0.25">
      <c r="A113" s="41" t="str">
        <f>Table1[[#This Row],[Route]]&amp;TEXT(Table1[[#This Row],[SegmentID]],"00")</f>
        <v>017B15</v>
      </c>
      <c r="B113" t="s">
        <v>234</v>
      </c>
      <c r="D113">
        <f>IFERROR(ROUND(VLOOKUP(Table1[[#This Row],[Route]],SegmentsPerRoute!$C$3:$L$297,8,FALSE)+(Table1[[#This Row],[Sequence]]-1)*VLOOKUP(Table1[[#This Row],[Route]],SegmentsPerRoute!$C$3:$L$297,10,FALSE),0), 0)</f>
        <v>15</v>
      </c>
      <c r="E113">
        <v>1</v>
      </c>
      <c r="F113" s="1">
        <v>69.024000000000001</v>
      </c>
      <c r="G113" t="s">
        <v>235</v>
      </c>
      <c r="H113" s="1">
        <v>88.194999999999993</v>
      </c>
      <c r="I113" t="s">
        <v>236</v>
      </c>
      <c r="K113" t="s">
        <v>1690</v>
      </c>
      <c r="L113" t="s">
        <v>2169</v>
      </c>
      <c r="M113" t="s">
        <v>2170</v>
      </c>
    </row>
    <row r="114" spans="1:14" x14ac:dyDescent="0.25">
      <c r="A114" s="41" t="str">
        <f>Table1[[#This Row],[Route]]&amp;TEXT(Table1[[#This Row],[SegmentID]],"00")</f>
        <v>017B85</v>
      </c>
      <c r="B114" t="s">
        <v>234</v>
      </c>
      <c r="D114">
        <f>IFERROR(ROUND(VLOOKUP(Table1[[#This Row],[Route]],SegmentsPerRoute!$C$3:$L$297,8,FALSE)+(Table1[[#This Row],[Sequence]]-1)*VLOOKUP(Table1[[#This Row],[Route]],SegmentsPerRoute!$C$3:$L$297,10,FALSE),0), 0)</f>
        <v>85</v>
      </c>
      <c r="E114">
        <v>2</v>
      </c>
      <c r="F114" s="1">
        <v>88.194999999999993</v>
      </c>
      <c r="G114" t="s">
        <v>236</v>
      </c>
      <c r="H114" s="1">
        <v>118.864</v>
      </c>
      <c r="I114" t="s">
        <v>237</v>
      </c>
      <c r="K114" t="s">
        <v>1690</v>
      </c>
      <c r="L114" t="s">
        <v>2169</v>
      </c>
      <c r="M114" t="s">
        <v>2170</v>
      </c>
    </row>
    <row r="115" spans="1:14" x14ac:dyDescent="0.25">
      <c r="A115" s="41" t="str">
        <f>Table1[[#This Row],[Route]]&amp;TEXT(Table1[[#This Row],[SegmentID]],"00")</f>
        <v>021A15</v>
      </c>
      <c r="B115" t="s">
        <v>238</v>
      </c>
      <c r="D115">
        <f>IFERROR(ROUND(VLOOKUP(Table1[[#This Row],[Route]],SegmentsPerRoute!$C$3:$L$297,8,FALSE)+(Table1[[#This Row],[Sequence]]-1)*VLOOKUP(Table1[[#This Row],[Route]],SegmentsPerRoute!$C$3:$L$297,10,FALSE),0), 0)</f>
        <v>15</v>
      </c>
      <c r="E115">
        <v>1</v>
      </c>
      <c r="F115" s="1">
        <v>131.81299999999999</v>
      </c>
      <c r="G115" t="s">
        <v>239</v>
      </c>
      <c r="H115" s="1">
        <v>139.58199999999999</v>
      </c>
      <c r="I115" t="s">
        <v>241</v>
      </c>
      <c r="K115" t="s">
        <v>1690</v>
      </c>
      <c r="L115" t="s">
        <v>2171</v>
      </c>
      <c r="M115" t="s">
        <v>2172</v>
      </c>
    </row>
    <row r="116" spans="1:14" x14ac:dyDescent="0.25">
      <c r="A116" s="41" t="str">
        <f>Table1[[#This Row],[Route]]&amp;TEXT(Table1[[#This Row],[SegmentID]],"00")</f>
        <v>021B10</v>
      </c>
      <c r="B116" t="s">
        <v>240</v>
      </c>
      <c r="D116">
        <f>IFERROR(ROUND(VLOOKUP(Table1[[#This Row],[Route]],SegmentsPerRoute!$C$3:$L$297,8,FALSE)+(Table1[[#This Row],[Sequence]]-1)*VLOOKUP(Table1[[#This Row],[Route]],SegmentsPerRoute!$C$3:$L$297,10,FALSE),0), 0)</f>
        <v>10</v>
      </c>
      <c r="E116">
        <v>1</v>
      </c>
      <c r="F116" s="1">
        <v>141.738</v>
      </c>
      <c r="G116" t="s">
        <v>242</v>
      </c>
      <c r="H116" s="1">
        <v>154.11199999999999</v>
      </c>
      <c r="I116" t="s">
        <v>243</v>
      </c>
      <c r="K116" t="s">
        <v>1690</v>
      </c>
      <c r="L116" t="s">
        <v>2173</v>
      </c>
      <c r="M116" t="s">
        <v>2174</v>
      </c>
    </row>
    <row r="117" spans="1:14" x14ac:dyDescent="0.25">
      <c r="A117" s="41" t="str">
        <f>Table1[[#This Row],[Route]]&amp;TEXT(Table1[[#This Row],[SegmentID]],"00")</f>
        <v>022A15</v>
      </c>
      <c r="B117" t="s">
        <v>244</v>
      </c>
      <c r="D117">
        <f>IFERROR(ROUND(VLOOKUP(Table1[[#This Row],[Route]],SegmentsPerRoute!$C$3:$L$297,8,FALSE)+(Table1[[#This Row],[Sequence]]-1)*VLOOKUP(Table1[[#This Row],[Route]],SegmentsPerRoute!$C$3:$L$297,10,FALSE),0), 0)</f>
        <v>15</v>
      </c>
      <c r="E117">
        <v>1</v>
      </c>
      <c r="F117" s="1">
        <v>0</v>
      </c>
      <c r="G117" t="s">
        <v>245</v>
      </c>
      <c r="H117" s="1">
        <v>1.835</v>
      </c>
      <c r="I117" t="s">
        <v>246</v>
      </c>
      <c r="J117" t="s">
        <v>21</v>
      </c>
      <c r="K117" t="s">
        <v>1709</v>
      </c>
    </row>
    <row r="118" spans="1:14" x14ac:dyDescent="0.25">
      <c r="A118" s="41" t="str">
        <f>Table1[[#This Row],[Route]]&amp;TEXT(Table1[[#This Row],[SegmentID]],"00")</f>
        <v>022A85</v>
      </c>
      <c r="B118" t="s">
        <v>244</v>
      </c>
      <c r="D118">
        <f>IFERROR(ROUND(VLOOKUP(Table1[[#This Row],[Route]],SegmentsPerRoute!$C$3:$L$297,8,FALSE)+(Table1[[#This Row],[Sequence]]-1)*VLOOKUP(Table1[[#This Row],[Route]],SegmentsPerRoute!$C$3:$L$297,10,FALSE),0), 0)</f>
        <v>85</v>
      </c>
      <c r="E118">
        <v>2</v>
      </c>
      <c r="F118" s="1">
        <v>1.835</v>
      </c>
      <c r="G118" t="s">
        <v>246</v>
      </c>
      <c r="H118" s="1">
        <v>2.476</v>
      </c>
      <c r="I118" t="s">
        <v>247</v>
      </c>
      <c r="J118" t="s">
        <v>21</v>
      </c>
      <c r="K118" t="s">
        <v>1709</v>
      </c>
      <c r="N118" t="s">
        <v>77</v>
      </c>
    </row>
    <row r="119" spans="1:14" x14ac:dyDescent="0.25">
      <c r="A119" s="41" t="str">
        <f>Table1[[#This Row],[Route]]&amp;TEXT(Table1[[#This Row],[SegmentID]],"00")</f>
        <v>023A15</v>
      </c>
      <c r="B119" t="s">
        <v>248</v>
      </c>
      <c r="D119">
        <f>IFERROR(ROUND(VLOOKUP(Table1[[#This Row],[Route]],SegmentsPerRoute!$C$3:$L$297,8,FALSE)+(Table1[[#This Row],[Sequence]]-1)*VLOOKUP(Table1[[#This Row],[Route]],SegmentsPerRoute!$C$3:$L$297,10,FALSE),0), 0)</f>
        <v>15</v>
      </c>
      <c r="E119">
        <v>1</v>
      </c>
      <c r="F119" s="1">
        <v>0</v>
      </c>
      <c r="G119" t="s">
        <v>101</v>
      </c>
      <c r="H119" s="1">
        <v>17.507000000000001</v>
      </c>
      <c r="I119" t="s">
        <v>249</v>
      </c>
      <c r="K119" t="s">
        <v>1695</v>
      </c>
      <c r="L119" t="s">
        <v>2175</v>
      </c>
      <c r="M119" t="s">
        <v>2176</v>
      </c>
    </row>
    <row r="120" spans="1:14" x14ac:dyDescent="0.25">
      <c r="A120" s="41" t="str">
        <f>Table1[[#This Row],[Route]]&amp;TEXT(Table1[[#This Row],[SegmentID]],"00")</f>
        <v>024A15</v>
      </c>
      <c r="B120" t="s">
        <v>252</v>
      </c>
      <c r="C120" s="3" t="s">
        <v>267</v>
      </c>
      <c r="D120">
        <f>IFERROR(ROUND(VLOOKUP(Table1[[#This Row],[Route]],SegmentsPerRoute!$C$3:$L$297,8,FALSE)+(Table1[[#This Row],[Sequence]]-1)*VLOOKUP(Table1[[#This Row],[Route]],SegmentsPerRoute!$C$3:$L$297,10,FALSE),0), 0)</f>
        <v>15</v>
      </c>
      <c r="E120">
        <v>1</v>
      </c>
      <c r="F120" s="1">
        <v>143.4</v>
      </c>
      <c r="G120" t="s">
        <v>253</v>
      </c>
      <c r="H120" s="1">
        <v>174.649</v>
      </c>
      <c r="I120" t="s">
        <v>254</v>
      </c>
      <c r="K120" t="s">
        <v>1702</v>
      </c>
      <c r="L120" t="s">
        <v>2177</v>
      </c>
      <c r="M120" t="s">
        <v>2188</v>
      </c>
      <c r="N120" t="s">
        <v>266</v>
      </c>
    </row>
    <row r="121" spans="1:14" x14ac:dyDescent="0.25">
      <c r="A121" s="41" t="str">
        <f>Table1[[#This Row],[Route]]&amp;TEXT(Table1[[#This Row],[SegmentID]],"00")</f>
        <v>024A21</v>
      </c>
      <c r="B121" t="s">
        <v>252</v>
      </c>
      <c r="C121" s="3" t="s">
        <v>267</v>
      </c>
      <c r="D121">
        <f>IFERROR(ROUND(VLOOKUP(Table1[[#This Row],[Route]],SegmentsPerRoute!$C$3:$L$297,8,FALSE)+(Table1[[#This Row],[Sequence]]-1)*VLOOKUP(Table1[[#This Row],[Route]],SegmentsPerRoute!$C$3:$L$297,10,FALSE),0), 0)</f>
        <v>21</v>
      </c>
      <c r="E121">
        <v>2</v>
      </c>
      <c r="F121" s="1">
        <v>174.649</v>
      </c>
      <c r="G121" t="s">
        <v>254</v>
      </c>
      <c r="H121" s="1">
        <v>180.09700000000001</v>
      </c>
      <c r="I121" t="s">
        <v>255</v>
      </c>
      <c r="K121" t="s">
        <v>1702</v>
      </c>
      <c r="L121" t="s">
        <v>2178</v>
      </c>
      <c r="M121" t="s">
        <v>2187</v>
      </c>
    </row>
    <row r="122" spans="1:14" x14ac:dyDescent="0.25">
      <c r="A122" s="41" t="str">
        <f>Table1[[#This Row],[Route]]&amp;TEXT(Table1[[#This Row],[SegmentID]],"00")</f>
        <v>024A27</v>
      </c>
      <c r="B122" t="s">
        <v>252</v>
      </c>
      <c r="C122" s="3" t="s">
        <v>267</v>
      </c>
      <c r="D122">
        <f>IFERROR(ROUND(VLOOKUP(Table1[[#This Row],[Route]],SegmentsPerRoute!$C$3:$L$297,8,FALSE)+(Table1[[#This Row],[Sequence]]-1)*VLOOKUP(Table1[[#This Row],[Route]],SegmentsPerRoute!$C$3:$L$297,10,FALSE),0), 0)</f>
        <v>27</v>
      </c>
      <c r="E122">
        <v>3</v>
      </c>
      <c r="F122" s="1">
        <v>180.09700000000001</v>
      </c>
      <c r="G122" t="s">
        <v>255</v>
      </c>
      <c r="H122" s="1">
        <v>191.18600000000001</v>
      </c>
      <c r="I122" t="s">
        <v>256</v>
      </c>
      <c r="K122" t="s">
        <v>1702</v>
      </c>
      <c r="L122" t="s">
        <v>2178</v>
      </c>
      <c r="M122" t="s">
        <v>2187</v>
      </c>
      <c r="N122" t="s">
        <v>269</v>
      </c>
    </row>
    <row r="123" spans="1:14" x14ac:dyDescent="0.25">
      <c r="A123" s="41" t="str">
        <f>Table1[[#This Row],[Route]]&amp;TEXT(Table1[[#This Row],[SegmentID]],"00")</f>
        <v>024A32</v>
      </c>
      <c r="B123" t="s">
        <v>252</v>
      </c>
      <c r="C123" s="3" t="s">
        <v>267</v>
      </c>
      <c r="D123">
        <f>IFERROR(ROUND(VLOOKUP(Table1[[#This Row],[Route]],SegmentsPerRoute!$C$3:$L$297,8,FALSE)+(Table1[[#This Row],[Sequence]]-1)*VLOOKUP(Table1[[#This Row],[Route]],SegmentsPerRoute!$C$3:$L$297,10,FALSE),0), 0)</f>
        <v>32</v>
      </c>
      <c r="E123">
        <v>4</v>
      </c>
      <c r="F123" s="1">
        <v>191.18600000000001</v>
      </c>
      <c r="G123" t="s">
        <v>256</v>
      </c>
      <c r="H123" s="1">
        <v>212.9</v>
      </c>
      <c r="I123" t="s">
        <v>257</v>
      </c>
      <c r="K123" t="s">
        <v>1702</v>
      </c>
      <c r="L123" t="s">
        <v>2178</v>
      </c>
      <c r="M123" t="s">
        <v>2187</v>
      </c>
      <c r="N123" t="s">
        <v>269</v>
      </c>
    </row>
    <row r="124" spans="1:14" x14ac:dyDescent="0.25">
      <c r="A124" s="41" t="str">
        <f>Table1[[#This Row],[Route]]&amp;TEXT(Table1[[#This Row],[SegmentID]],"00")</f>
        <v>024A38</v>
      </c>
      <c r="B124" t="s">
        <v>252</v>
      </c>
      <c r="C124" s="3" t="s">
        <v>268</v>
      </c>
      <c r="D124">
        <f>IFERROR(ROUND(VLOOKUP(Table1[[#This Row],[Route]],SegmentsPerRoute!$C$3:$L$297,8,FALSE)+(Table1[[#This Row],[Sequence]]-1)*VLOOKUP(Table1[[#This Row],[Route]],SegmentsPerRoute!$C$3:$L$297,10,FALSE),0), 0)</f>
        <v>38</v>
      </c>
      <c r="E124">
        <v>5</v>
      </c>
      <c r="F124" s="1">
        <v>212.9</v>
      </c>
      <c r="G124" t="s">
        <v>257</v>
      </c>
      <c r="H124" s="1">
        <v>226.55</v>
      </c>
      <c r="I124" t="s">
        <v>258</v>
      </c>
      <c r="K124" t="s">
        <v>1702</v>
      </c>
      <c r="L124" t="s">
        <v>2179</v>
      </c>
      <c r="M124" t="s">
        <v>2183</v>
      </c>
      <c r="N124" t="s">
        <v>270</v>
      </c>
    </row>
    <row r="125" spans="1:14" x14ac:dyDescent="0.25">
      <c r="A125" s="41" t="str">
        <f>Table1[[#This Row],[Route]]&amp;TEXT(Table1[[#This Row],[SegmentID]],"00")</f>
        <v>024A44</v>
      </c>
      <c r="B125" t="s">
        <v>252</v>
      </c>
      <c r="C125" s="3" t="s">
        <v>268</v>
      </c>
      <c r="D125">
        <f>IFERROR(ROUND(VLOOKUP(Table1[[#This Row],[Route]],SegmentsPerRoute!$C$3:$L$297,8,FALSE)+(Table1[[#This Row],[Sequence]]-1)*VLOOKUP(Table1[[#This Row],[Route]],SegmentsPerRoute!$C$3:$L$297,10,FALSE),0), 0)</f>
        <v>44</v>
      </c>
      <c r="E125">
        <v>6</v>
      </c>
      <c r="F125" s="1">
        <v>226.55</v>
      </c>
      <c r="G125" t="s">
        <v>258</v>
      </c>
      <c r="H125" s="1">
        <v>238.23599999999999</v>
      </c>
      <c r="I125" t="s">
        <v>259</v>
      </c>
      <c r="K125" t="s">
        <v>1702</v>
      </c>
      <c r="L125" t="s">
        <v>2180</v>
      </c>
      <c r="M125" t="s">
        <v>2186</v>
      </c>
      <c r="N125" t="s">
        <v>159</v>
      </c>
    </row>
    <row r="126" spans="1:14" x14ac:dyDescent="0.25">
      <c r="A126" s="41" t="str">
        <f>Table1[[#This Row],[Route]]&amp;TEXT(Table1[[#This Row],[SegmentID]],"00")</f>
        <v>024A50</v>
      </c>
      <c r="B126" t="s">
        <v>252</v>
      </c>
      <c r="C126" s="3" t="s">
        <v>268</v>
      </c>
      <c r="D126">
        <f>IFERROR(ROUND(VLOOKUP(Table1[[#This Row],[Route]],SegmentsPerRoute!$C$3:$L$297,8,FALSE)+(Table1[[#This Row],[Sequence]]-1)*VLOOKUP(Table1[[#This Row],[Route]],SegmentsPerRoute!$C$3:$L$297,10,FALSE),0), 0)</f>
        <v>50</v>
      </c>
      <c r="E126">
        <v>7</v>
      </c>
      <c r="F126" s="1">
        <v>238.23599999999999</v>
      </c>
      <c r="G126" t="s">
        <v>259</v>
      </c>
      <c r="H126" s="1">
        <v>238.32</v>
      </c>
      <c r="I126" t="s">
        <v>260</v>
      </c>
      <c r="K126" t="s">
        <v>1702</v>
      </c>
      <c r="L126" t="s">
        <v>2179</v>
      </c>
      <c r="M126" t="s">
        <v>2183</v>
      </c>
      <c r="N126" t="s">
        <v>159</v>
      </c>
    </row>
    <row r="127" spans="1:14" x14ac:dyDescent="0.25">
      <c r="A127" s="41" t="str">
        <f>Table1[[#This Row],[Route]]&amp;TEXT(Table1[[#This Row],[SegmentID]],"00")</f>
        <v>024A56</v>
      </c>
      <c r="B127" t="s">
        <v>252</v>
      </c>
      <c r="C127" s="3" t="s">
        <v>268</v>
      </c>
      <c r="D127">
        <f>IFERROR(ROUND(VLOOKUP(Table1[[#This Row],[Route]],SegmentsPerRoute!$C$3:$L$297,8,FALSE)+(Table1[[#This Row],[Sequence]]-1)*VLOOKUP(Table1[[#This Row],[Route]],SegmentsPerRoute!$C$3:$L$297,10,FALSE),0), 0)</f>
        <v>56</v>
      </c>
      <c r="E127">
        <v>8</v>
      </c>
      <c r="F127" s="1">
        <v>238.32</v>
      </c>
      <c r="G127" t="s">
        <v>260</v>
      </c>
      <c r="H127" s="1">
        <v>278.11</v>
      </c>
      <c r="I127" t="s">
        <v>265</v>
      </c>
      <c r="K127" t="s">
        <v>1702</v>
      </c>
      <c r="L127" t="s">
        <v>2179</v>
      </c>
      <c r="M127" t="s">
        <v>2183</v>
      </c>
      <c r="N127" t="s">
        <v>271</v>
      </c>
    </row>
    <row r="128" spans="1:14" x14ac:dyDescent="0.25">
      <c r="A128" s="41" t="str">
        <f>Table1[[#This Row],[Route]]&amp;TEXT(Table1[[#This Row],[SegmentID]],"00")</f>
        <v>024A61</v>
      </c>
      <c r="B128" t="s">
        <v>252</v>
      </c>
      <c r="C128" s="3" t="s">
        <v>268</v>
      </c>
      <c r="D128">
        <f>IFERROR(ROUND(VLOOKUP(Table1[[#This Row],[Route]],SegmentsPerRoute!$C$3:$L$297,8,FALSE)+(Table1[[#This Row],[Sequence]]-1)*VLOOKUP(Table1[[#This Row],[Route]],SegmentsPerRoute!$C$3:$L$297,10,FALSE),0), 0)</f>
        <v>61</v>
      </c>
      <c r="E128">
        <v>9</v>
      </c>
      <c r="F128" s="1">
        <v>278.11</v>
      </c>
      <c r="G128" t="s">
        <v>265</v>
      </c>
      <c r="H128" s="1">
        <v>284.822</v>
      </c>
      <c r="I128" t="s">
        <v>261</v>
      </c>
      <c r="K128" t="s">
        <v>1702</v>
      </c>
      <c r="L128" t="s">
        <v>2179</v>
      </c>
      <c r="M128" t="s">
        <v>2183</v>
      </c>
    </row>
    <row r="129" spans="1:14" x14ac:dyDescent="0.25">
      <c r="A129" s="41" t="str">
        <f>Table1[[#This Row],[Route]]&amp;TEXT(Table1[[#This Row],[SegmentID]],"00")</f>
        <v>024A67</v>
      </c>
      <c r="B129" t="s">
        <v>252</v>
      </c>
      <c r="C129" s="3" t="s">
        <v>268</v>
      </c>
      <c r="D129">
        <f>IFERROR(ROUND(VLOOKUP(Table1[[#This Row],[Route]],SegmentsPerRoute!$C$3:$L$297,8,FALSE)+(Table1[[#This Row],[Sequence]]-1)*VLOOKUP(Table1[[#This Row],[Route]],SegmentsPerRoute!$C$3:$L$297,10,FALSE),0), 0)</f>
        <v>67</v>
      </c>
      <c r="E129">
        <v>10</v>
      </c>
      <c r="F129" s="1">
        <v>284.822</v>
      </c>
      <c r="G129" t="s">
        <v>261</v>
      </c>
      <c r="H129" s="1">
        <v>296.97000000000003</v>
      </c>
      <c r="I129" t="s">
        <v>262</v>
      </c>
      <c r="K129" t="s">
        <v>1702</v>
      </c>
      <c r="L129" t="s">
        <v>2179</v>
      </c>
      <c r="M129" t="s">
        <v>2183</v>
      </c>
      <c r="N129" t="s">
        <v>272</v>
      </c>
    </row>
    <row r="130" spans="1:14" x14ac:dyDescent="0.25">
      <c r="A130" s="41" t="str">
        <f>Table1[[#This Row],[Route]]&amp;TEXT(Table1[[#This Row],[SegmentID]],"00")</f>
        <v>024A73</v>
      </c>
      <c r="B130" t="s">
        <v>252</v>
      </c>
      <c r="C130" s="3" t="s">
        <v>268</v>
      </c>
      <c r="D130">
        <f>IFERROR(ROUND(VLOOKUP(Table1[[#This Row],[Route]],SegmentsPerRoute!$C$3:$L$297,8,FALSE)+(Table1[[#This Row],[Sequence]]-1)*VLOOKUP(Table1[[#This Row],[Route]],SegmentsPerRoute!$C$3:$L$297,10,FALSE),0), 0)</f>
        <v>73</v>
      </c>
      <c r="E130">
        <v>11</v>
      </c>
      <c r="F130" s="1">
        <v>296.97000000000003</v>
      </c>
      <c r="G130" t="s">
        <v>262</v>
      </c>
      <c r="H130" s="1">
        <v>299.06299999999999</v>
      </c>
      <c r="I130" t="s">
        <v>263</v>
      </c>
      <c r="K130" t="s">
        <v>1702</v>
      </c>
      <c r="L130" t="s">
        <v>2181</v>
      </c>
      <c r="M130" t="s">
        <v>2185</v>
      </c>
      <c r="N130" t="s">
        <v>229</v>
      </c>
    </row>
    <row r="131" spans="1:14" x14ac:dyDescent="0.25">
      <c r="A131" s="41" t="str">
        <f>Table1[[#This Row],[Route]]&amp;TEXT(Table1[[#This Row],[SegmentID]],"00")</f>
        <v>024A79</v>
      </c>
      <c r="B131" t="s">
        <v>252</v>
      </c>
      <c r="C131" s="3" t="s">
        <v>268</v>
      </c>
      <c r="D131">
        <f>IFERROR(ROUND(VLOOKUP(Table1[[#This Row],[Route]],SegmentsPerRoute!$C$3:$L$297,8,FALSE)+(Table1[[#This Row],[Sequence]]-1)*VLOOKUP(Table1[[#This Row],[Route]],SegmentsPerRoute!$C$3:$L$297,10,FALSE),0), 0)</f>
        <v>79</v>
      </c>
      <c r="E131">
        <v>12</v>
      </c>
      <c r="F131" s="1">
        <v>299.06299999999999</v>
      </c>
      <c r="G131" t="s">
        <v>263</v>
      </c>
      <c r="H131" s="1">
        <v>300.43700000000001</v>
      </c>
      <c r="I131" t="s">
        <v>264</v>
      </c>
      <c r="K131" t="s">
        <v>1702</v>
      </c>
      <c r="L131" s="15" t="s">
        <v>2182</v>
      </c>
      <c r="M131" s="15" t="s">
        <v>2184</v>
      </c>
      <c r="N131" t="s">
        <v>229</v>
      </c>
    </row>
    <row r="132" spans="1:14" x14ac:dyDescent="0.25">
      <c r="A132" s="41" t="str">
        <f>Table1[[#This Row],[Route]]&amp;TEXT(Table1[[#This Row],[SegmentID]],"00")</f>
        <v>024A85</v>
      </c>
      <c r="B132" t="s">
        <v>252</v>
      </c>
      <c r="C132" s="3" t="s">
        <v>268</v>
      </c>
      <c r="D132">
        <f>IFERROR(ROUND(VLOOKUP(Table1[[#This Row],[Route]],SegmentsPerRoute!$C$3:$L$297,8,FALSE)+(Table1[[#This Row],[Sequence]]-1)*VLOOKUP(Table1[[#This Row],[Route]],SegmentsPerRoute!$C$3:$L$297,10,FALSE),0), 0)</f>
        <v>85</v>
      </c>
      <c r="E132">
        <v>13</v>
      </c>
      <c r="F132" s="1">
        <v>300.43700000000001</v>
      </c>
      <c r="G132" t="s">
        <v>264</v>
      </c>
      <c r="H132" s="1">
        <v>303.83999999999997</v>
      </c>
      <c r="I132" t="s">
        <v>11</v>
      </c>
      <c r="K132" t="s">
        <v>1702</v>
      </c>
      <c r="L132" t="s">
        <v>2179</v>
      </c>
      <c r="M132" t="s">
        <v>2183</v>
      </c>
      <c r="N132" t="s">
        <v>229</v>
      </c>
    </row>
    <row r="133" spans="1:14" x14ac:dyDescent="0.25">
      <c r="A133" s="43" t="str">
        <f>Table1[[#This Row],[Route]]&amp;TEXT(Table1[[#This Row],[SegmentID]],"00")</f>
        <v>024B15</v>
      </c>
      <c r="B133" t="s">
        <v>273</v>
      </c>
      <c r="D133">
        <f>IFERROR(ROUND(VLOOKUP(Table1[[#This Row],[Route]],SegmentsPerRoute!$C$3:$L$297,8,FALSE)+(Table1[[#This Row],[Sequence]]-1)*VLOOKUP(Table1[[#This Row],[Route]],SegmentsPerRoute!$C$3:$L$297,10,FALSE),0), 0)</f>
        <v>15</v>
      </c>
      <c r="E133">
        <v>1</v>
      </c>
      <c r="F133" s="1">
        <v>419.95</v>
      </c>
      <c r="G133" t="s">
        <v>274</v>
      </c>
      <c r="H133" s="1">
        <v>422.70699999999999</v>
      </c>
      <c r="I133" t="s">
        <v>275</v>
      </c>
      <c r="J133" t="s">
        <v>21</v>
      </c>
      <c r="K133" t="s">
        <v>1710</v>
      </c>
    </row>
    <row r="134" spans="1:14" x14ac:dyDescent="0.25">
      <c r="A134" s="41" t="str">
        <f>Table1[[#This Row],[Route]]&amp;TEXT(Table1[[#This Row],[SegmentID]],"00")</f>
        <v>024B55</v>
      </c>
      <c r="B134" t="s">
        <v>273</v>
      </c>
      <c r="C134" s="3" t="s">
        <v>278</v>
      </c>
      <c r="D134">
        <f>IFERROR(ROUND(VLOOKUP(Table1[[#This Row],[Route]],SegmentsPerRoute!$C$3:$L$297,8,FALSE)+(Table1[[#This Row],[Sequence]]-1)*VLOOKUP(Table1[[#This Row],[Route]],SegmentsPerRoute!$C$3:$L$297,10,FALSE),0), 0)</f>
        <v>55</v>
      </c>
      <c r="E134">
        <v>2</v>
      </c>
      <c r="F134" s="1">
        <v>422.70699999999999</v>
      </c>
      <c r="G134" t="s">
        <v>275</v>
      </c>
      <c r="H134" s="1">
        <v>429.60399999999998</v>
      </c>
      <c r="I134" t="s">
        <v>276</v>
      </c>
      <c r="J134" t="s">
        <v>4595</v>
      </c>
      <c r="K134" t="s">
        <v>1705</v>
      </c>
    </row>
    <row r="135" spans="1:14" x14ac:dyDescent="0.25">
      <c r="A135" s="41" t="str">
        <f>Table1[[#This Row],[Route]]&amp;TEXT(Table1[[#This Row],[SegmentID]],"00")</f>
        <v>024B95</v>
      </c>
      <c r="B135" t="s">
        <v>273</v>
      </c>
      <c r="C135" s="3" t="s">
        <v>279</v>
      </c>
      <c r="D135">
        <f>IFERROR(ROUND(VLOOKUP(Table1[[#This Row],[Route]],SegmentsPerRoute!$C$3:$L$297,8,FALSE)+(Table1[[#This Row],[Sequence]]-1)*VLOOKUP(Table1[[#This Row],[Route]],SegmentsPerRoute!$C$3:$L$297,10,FALSE),0), 0)</f>
        <v>95</v>
      </c>
      <c r="E135">
        <v>3</v>
      </c>
      <c r="F135" s="1">
        <v>429.60399999999998</v>
      </c>
      <c r="G135" t="s">
        <v>276</v>
      </c>
      <c r="H135" s="1">
        <v>437.2</v>
      </c>
      <c r="I135" t="s">
        <v>277</v>
      </c>
      <c r="J135" t="s">
        <v>4595</v>
      </c>
      <c r="K135" t="s">
        <v>1705</v>
      </c>
    </row>
    <row r="136" spans="1:14" x14ac:dyDescent="0.25">
      <c r="A136" s="41" t="str">
        <f>Table1[[#This Row],[Route]]&amp;TEXT(Table1[[#This Row],[SegmentID]],"00")</f>
        <v>024C05</v>
      </c>
      <c r="B136" t="s">
        <v>280</v>
      </c>
      <c r="D136">
        <f>IFERROR(ROUND(VLOOKUP(Table1[[#This Row],[Route]],SegmentsPerRoute!$C$3:$L$297,8,FALSE)+(Table1[[#This Row],[Sequence]]-1)*VLOOKUP(Table1[[#This Row],[Route]],SegmentsPerRoute!$C$3:$L$297,10,FALSE),0), 0)</f>
        <v>5</v>
      </c>
      <c r="E136">
        <v>1</v>
      </c>
      <c r="F136" s="1">
        <v>437.2</v>
      </c>
      <c r="G136" t="s">
        <v>277</v>
      </c>
      <c r="H136" s="1">
        <v>454.82799999999997</v>
      </c>
      <c r="I136" t="s">
        <v>281</v>
      </c>
      <c r="J136" t="s">
        <v>4595</v>
      </c>
      <c r="K136" t="s">
        <v>1690</v>
      </c>
    </row>
    <row r="137" spans="1:14" x14ac:dyDescent="0.25">
      <c r="A137" s="41" t="str">
        <f>Table1[[#This Row],[Route]]&amp;TEXT(Table1[[#This Row],[SegmentID]],"00")</f>
        <v>024D15</v>
      </c>
      <c r="B137" t="s">
        <v>282</v>
      </c>
      <c r="D137">
        <f>IFERROR(ROUND(VLOOKUP(Table1[[#This Row],[Route]],SegmentsPerRoute!$C$3:$L$297,8,FALSE)+(Table1[[#This Row],[Sequence]]-1)*VLOOKUP(Table1[[#This Row],[Route]],SegmentsPerRoute!$C$3:$L$297,10,FALSE),0), 0)</f>
        <v>15</v>
      </c>
      <c r="E137">
        <v>1</v>
      </c>
      <c r="F137" s="1">
        <v>455.88200000000001</v>
      </c>
      <c r="G137" t="s">
        <v>283</v>
      </c>
      <c r="H137" s="1">
        <v>456.02</v>
      </c>
      <c r="I137" t="s">
        <v>285</v>
      </c>
      <c r="K137" t="s">
        <v>1690</v>
      </c>
      <c r="L137" t="s">
        <v>2189</v>
      </c>
      <c r="M137" t="s">
        <v>2190</v>
      </c>
    </row>
    <row r="138" spans="1:14" x14ac:dyDescent="0.25">
      <c r="A138" s="41" t="str">
        <f>Table1[[#This Row],[Route]]&amp;TEXT(Table1[[#This Row],[SegmentID]],"00")</f>
        <v>024D85</v>
      </c>
      <c r="B138" t="s">
        <v>282</v>
      </c>
      <c r="D138">
        <f>IFERROR(ROUND(VLOOKUP(Table1[[#This Row],[Route]],SegmentsPerRoute!$C$3:$L$297,8,FALSE)+(Table1[[#This Row],[Sequence]]-1)*VLOOKUP(Table1[[#This Row],[Route]],SegmentsPerRoute!$C$3:$L$297,10,FALSE),0), 0)</f>
        <v>85</v>
      </c>
      <c r="E138">
        <v>2</v>
      </c>
      <c r="F138" s="1">
        <v>456.02</v>
      </c>
      <c r="G138" t="s">
        <v>285</v>
      </c>
      <c r="H138" s="1">
        <v>457.29</v>
      </c>
      <c r="I138" t="s">
        <v>284</v>
      </c>
      <c r="J138" t="s">
        <v>21</v>
      </c>
      <c r="K138" t="s">
        <v>1690</v>
      </c>
    </row>
    <row r="139" spans="1:14" x14ac:dyDescent="0.25">
      <c r="A139" s="41" t="str">
        <f>Table1[[#This Row],[Route]]&amp;TEXT(Table1[[#This Row],[SegmentID]],"00")</f>
        <v>024E15</v>
      </c>
      <c r="B139" t="s">
        <v>286</v>
      </c>
      <c r="D139">
        <f>IFERROR(ROUND(VLOOKUP(Table1[[#This Row],[Route]],SegmentsPerRoute!$C$3:$L$297,8,FALSE)+(Table1[[#This Row],[Sequence]]-1)*VLOOKUP(Table1[[#This Row],[Route]],SegmentsPerRoute!$C$3:$L$297,10,FALSE),0), 0)</f>
        <v>15</v>
      </c>
      <c r="E139">
        <v>1</v>
      </c>
      <c r="F139" s="1">
        <v>0</v>
      </c>
      <c r="G139" t="s">
        <v>287</v>
      </c>
      <c r="H139" s="1">
        <v>2.8260000000000001</v>
      </c>
      <c r="I139" t="s">
        <v>288</v>
      </c>
      <c r="J139" t="s">
        <v>4600</v>
      </c>
      <c r="K139" t="s">
        <v>1690</v>
      </c>
      <c r="N139" t="s">
        <v>229</v>
      </c>
    </row>
    <row r="140" spans="1:14" x14ac:dyDescent="0.25">
      <c r="A140" s="41" t="str">
        <f>Table1[[#This Row],[Route]]&amp;TEXT(Table1[[#This Row],[SegmentID]],"00")</f>
        <v>024F15</v>
      </c>
      <c r="B140" t="s">
        <v>289</v>
      </c>
      <c r="D140">
        <f>IFERROR(ROUND(VLOOKUP(Table1[[#This Row],[Route]],SegmentsPerRoute!$C$3:$L$297,8,FALSE)+(Table1[[#This Row],[Sequence]]-1)*VLOOKUP(Table1[[#This Row],[Route]],SegmentsPerRoute!$C$3:$L$297,10,FALSE),0), 0)</f>
        <v>15</v>
      </c>
      <c r="E140">
        <v>1</v>
      </c>
      <c r="F140" s="1">
        <v>0</v>
      </c>
      <c r="G140" t="s">
        <v>290</v>
      </c>
      <c r="H140" s="1">
        <v>0.54800000000000004</v>
      </c>
      <c r="I140" t="s">
        <v>291</v>
      </c>
      <c r="K140" t="s">
        <v>1690</v>
      </c>
      <c r="L140" t="s">
        <v>2191</v>
      </c>
      <c r="M140" t="s">
        <v>2192</v>
      </c>
    </row>
    <row r="141" spans="1:14" x14ac:dyDescent="0.25">
      <c r="A141" s="41" t="str">
        <f>Table1[[#This Row],[Route]]&amp;TEXT(Table1[[#This Row],[SegmentID]],"00")</f>
        <v>024G15</v>
      </c>
      <c r="B141" t="s">
        <v>292</v>
      </c>
      <c r="C141" s="3" t="s">
        <v>300</v>
      </c>
      <c r="D141">
        <f>IFERROR(ROUND(VLOOKUP(Table1[[#This Row],[Route]],SegmentsPerRoute!$C$3:$L$297,8,FALSE)+(Table1[[#This Row],[Sequence]]-1)*VLOOKUP(Table1[[#This Row],[Route]],SegmentsPerRoute!$C$3:$L$297,10,FALSE),0), 0)</f>
        <v>15</v>
      </c>
      <c r="E141">
        <v>1</v>
      </c>
      <c r="F141" s="1">
        <v>310.87799999999999</v>
      </c>
      <c r="G141" t="s">
        <v>293</v>
      </c>
      <c r="H141" s="1">
        <v>312.43</v>
      </c>
      <c r="I141" t="s">
        <v>294</v>
      </c>
      <c r="K141" t="s">
        <v>1702</v>
      </c>
      <c r="L141" t="s">
        <v>2193</v>
      </c>
      <c r="M141" t="s">
        <v>2202</v>
      </c>
    </row>
    <row r="142" spans="1:14" x14ac:dyDescent="0.25">
      <c r="A142" s="41" t="str">
        <f>Table1[[#This Row],[Route]]&amp;TEXT(Table1[[#This Row],[SegmentID]],"00")</f>
        <v>024G29</v>
      </c>
      <c r="B142" t="s">
        <v>292</v>
      </c>
      <c r="C142" s="3" t="s">
        <v>300</v>
      </c>
      <c r="D142">
        <f>IFERROR(ROUND(VLOOKUP(Table1[[#This Row],[Route]],SegmentsPerRoute!$C$3:$L$297,8,FALSE)+(Table1[[#This Row],[Sequence]]-1)*VLOOKUP(Table1[[#This Row],[Route]],SegmentsPerRoute!$C$3:$L$297,10,FALSE),0), 0)</f>
        <v>29</v>
      </c>
      <c r="E142">
        <v>2</v>
      </c>
      <c r="F142" s="1">
        <v>312.43</v>
      </c>
      <c r="G142" t="s">
        <v>294</v>
      </c>
      <c r="H142" s="1">
        <v>376.714</v>
      </c>
      <c r="I142" t="s">
        <v>295</v>
      </c>
      <c r="K142" t="s">
        <v>1702</v>
      </c>
      <c r="L142" t="s">
        <v>2194</v>
      </c>
      <c r="M142" t="s">
        <v>2201</v>
      </c>
    </row>
    <row r="143" spans="1:14" x14ac:dyDescent="0.25">
      <c r="A143" s="41" t="str">
        <f>Table1[[#This Row],[Route]]&amp;TEXT(Table1[[#This Row],[SegmentID]],"00")</f>
        <v>024G43</v>
      </c>
      <c r="B143" t="s">
        <v>292</v>
      </c>
      <c r="C143" s="3" t="s">
        <v>300</v>
      </c>
      <c r="D143">
        <f>IFERROR(ROUND(VLOOKUP(Table1[[#This Row],[Route]],SegmentsPerRoute!$C$3:$L$297,8,FALSE)+(Table1[[#This Row],[Sequence]]-1)*VLOOKUP(Table1[[#This Row],[Route]],SegmentsPerRoute!$C$3:$L$297,10,FALSE),0), 0)</f>
        <v>43</v>
      </c>
      <c r="E143">
        <v>3</v>
      </c>
      <c r="F143" s="1">
        <v>376.714</v>
      </c>
      <c r="G143" t="s">
        <v>295</v>
      </c>
      <c r="H143" s="1">
        <v>377.66800000000001</v>
      </c>
      <c r="I143" t="s">
        <v>296</v>
      </c>
      <c r="K143" t="s">
        <v>1702</v>
      </c>
      <c r="L143" t="s">
        <v>2195</v>
      </c>
      <c r="M143" t="s">
        <v>2199</v>
      </c>
    </row>
    <row r="144" spans="1:14" ht="30" x14ac:dyDescent="0.25">
      <c r="A144" s="41" t="str">
        <f>Table1[[#This Row],[Route]]&amp;TEXT(Table1[[#This Row],[SegmentID]],"00")</f>
        <v>024G57</v>
      </c>
      <c r="B144" t="s">
        <v>292</v>
      </c>
      <c r="C144" s="3" t="s">
        <v>303</v>
      </c>
      <c r="D144">
        <f>IFERROR(ROUND(VLOOKUP(Table1[[#This Row],[Route]],SegmentsPerRoute!$C$3:$L$297,8,FALSE)+(Table1[[#This Row],[Sequence]]-1)*VLOOKUP(Table1[[#This Row],[Route]],SegmentsPerRoute!$C$3:$L$297,10,FALSE),0), 0)</f>
        <v>57</v>
      </c>
      <c r="E144">
        <v>4</v>
      </c>
      <c r="F144" s="1">
        <v>377.66800000000001</v>
      </c>
      <c r="G144" t="s">
        <v>296</v>
      </c>
      <c r="H144" s="1">
        <v>378.79500000000002</v>
      </c>
      <c r="I144" t="s">
        <v>297</v>
      </c>
      <c r="K144" t="s">
        <v>1703</v>
      </c>
      <c r="L144" s="4" t="s">
        <v>2197</v>
      </c>
      <c r="M144" s="4" t="s">
        <v>2200</v>
      </c>
    </row>
    <row r="145" spans="1:14" x14ac:dyDescent="0.25">
      <c r="A145" s="41" t="str">
        <f>Table1[[#This Row],[Route]]&amp;TEXT(Table1[[#This Row],[SegmentID]],"00")</f>
        <v>024G71</v>
      </c>
      <c r="B145" t="s">
        <v>292</v>
      </c>
      <c r="C145" s="3" t="s">
        <v>301</v>
      </c>
      <c r="D145">
        <f>IFERROR(ROUND(VLOOKUP(Table1[[#This Row],[Route]],SegmentsPerRoute!$C$3:$L$297,8,FALSE)+(Table1[[#This Row],[Sequence]]-1)*VLOOKUP(Table1[[#This Row],[Route]],SegmentsPerRoute!$C$3:$L$297,10,FALSE),0), 0)</f>
        <v>71</v>
      </c>
      <c r="E145">
        <v>5</v>
      </c>
      <c r="F145" s="1">
        <v>378.79500000000002</v>
      </c>
      <c r="G145" t="s">
        <v>297</v>
      </c>
      <c r="H145" s="1">
        <v>379.19299999999998</v>
      </c>
      <c r="I145" t="s">
        <v>298</v>
      </c>
      <c r="K145" t="s">
        <v>1704</v>
      </c>
      <c r="L145" t="s">
        <v>2196</v>
      </c>
      <c r="M145" t="s">
        <v>2198</v>
      </c>
    </row>
    <row r="146" spans="1:14" x14ac:dyDescent="0.25">
      <c r="A146" s="41" t="str">
        <f>Table1[[#This Row],[Route]]&amp;TEXT(Table1[[#This Row],[SegmentID]],"00")</f>
        <v>024G85</v>
      </c>
      <c r="B146" t="s">
        <v>292</v>
      </c>
      <c r="C146" s="3" t="s">
        <v>302</v>
      </c>
      <c r="D146">
        <f>IFERROR(ROUND(VLOOKUP(Table1[[#This Row],[Route]],SegmentsPerRoute!$C$3:$L$297,8,FALSE)+(Table1[[#This Row],[Sequence]]-1)*VLOOKUP(Table1[[#This Row],[Route]],SegmentsPerRoute!$C$3:$L$297,10,FALSE),0), 0)</f>
        <v>85</v>
      </c>
      <c r="E146">
        <v>6</v>
      </c>
      <c r="F146" s="1">
        <v>379.19299999999998</v>
      </c>
      <c r="G146" t="s">
        <v>298</v>
      </c>
      <c r="H146" s="1">
        <v>380.464</v>
      </c>
      <c r="I146" t="s">
        <v>299</v>
      </c>
      <c r="J146" t="s">
        <v>4595</v>
      </c>
      <c r="K146" t="s">
        <v>1702</v>
      </c>
    </row>
    <row r="147" spans="1:14" x14ac:dyDescent="0.25">
      <c r="A147" s="41" t="str">
        <f>Table1[[#This Row],[Route]]&amp;TEXT(Table1[[#This Row],[SegmentID]],"00")</f>
        <v>024H15</v>
      </c>
      <c r="B147" t="s">
        <v>304</v>
      </c>
      <c r="D147">
        <f>IFERROR(ROUND(VLOOKUP(Table1[[#This Row],[Route]],SegmentsPerRoute!$C$3:$L$297,8,FALSE)+(Table1[[#This Row],[Sequence]]-1)*VLOOKUP(Table1[[#This Row],[Route]],SegmentsPerRoute!$C$3:$L$297,10,FALSE),0), 0)</f>
        <v>15</v>
      </c>
      <c r="E147">
        <v>1</v>
      </c>
      <c r="F147" s="1">
        <v>303.41199999999998</v>
      </c>
      <c r="G147" t="s">
        <v>11</v>
      </c>
      <c r="H147" s="1">
        <v>308.23</v>
      </c>
      <c r="I147" t="s">
        <v>228</v>
      </c>
      <c r="K147" t="s">
        <v>1690</v>
      </c>
      <c r="L147" t="s">
        <v>2203</v>
      </c>
      <c r="M147" t="s">
        <v>2206</v>
      </c>
      <c r="N147" t="s">
        <v>306</v>
      </c>
    </row>
    <row r="148" spans="1:14" x14ac:dyDescent="0.25">
      <c r="A148" s="41" t="str">
        <f>Table1[[#This Row],[Route]]&amp;TEXT(Table1[[#This Row],[SegmentID]],"00")</f>
        <v>024H85</v>
      </c>
      <c r="B148" t="s">
        <v>304</v>
      </c>
      <c r="D148">
        <f>IFERROR(ROUND(VLOOKUP(Table1[[#This Row],[Route]],SegmentsPerRoute!$C$3:$L$297,8,FALSE)+(Table1[[#This Row],[Sequence]]-1)*VLOOKUP(Table1[[#This Row],[Route]],SegmentsPerRoute!$C$3:$L$297,10,FALSE),0), 0)</f>
        <v>85</v>
      </c>
      <c r="E148">
        <v>2</v>
      </c>
      <c r="F148" s="1">
        <v>308.23</v>
      </c>
      <c r="G148" t="s">
        <v>228</v>
      </c>
      <c r="H148" s="1">
        <v>310.87799999999999</v>
      </c>
      <c r="I148" t="s">
        <v>305</v>
      </c>
      <c r="K148" t="s">
        <v>1690</v>
      </c>
      <c r="L148" t="s">
        <v>2204</v>
      </c>
      <c r="M148" t="s">
        <v>2205</v>
      </c>
    </row>
    <row r="149" spans="1:14" x14ac:dyDescent="0.25">
      <c r="A149" s="41" t="str">
        <f>Table1[[#This Row],[Route]]&amp;TEXT(Table1[[#This Row],[SegmentID]],"00")</f>
        <v>024I15</v>
      </c>
      <c r="B149" t="s">
        <v>307</v>
      </c>
      <c r="D149">
        <f>IFERROR(ROUND(VLOOKUP(Table1[[#This Row],[Route]],SegmentsPerRoute!$C$3:$L$297,8,FALSE)+(Table1[[#This Row],[Sequence]]-1)*VLOOKUP(Table1[[#This Row],[Route]],SegmentsPerRoute!$C$3:$L$297,10,FALSE),0), 0)</f>
        <v>15</v>
      </c>
      <c r="E149">
        <v>1</v>
      </c>
      <c r="F149" s="1">
        <v>4.1959999999999997</v>
      </c>
      <c r="G149" t="s">
        <v>308</v>
      </c>
      <c r="H149" s="1">
        <v>4.3230000000000004</v>
      </c>
      <c r="I149" t="s">
        <v>309</v>
      </c>
      <c r="J149" t="s">
        <v>21</v>
      </c>
      <c r="K149" t="s">
        <v>1709</v>
      </c>
      <c r="N149" t="s">
        <v>229</v>
      </c>
    </row>
    <row r="150" spans="1:14" x14ac:dyDescent="0.25">
      <c r="A150" s="41" t="str">
        <f>Table1[[#This Row],[Route]]&amp;TEXT(Table1[[#This Row],[SegmentID]],"00")</f>
        <v>025A01</v>
      </c>
      <c r="B150" t="s">
        <v>310</v>
      </c>
      <c r="C150" s="3" t="s">
        <v>357</v>
      </c>
      <c r="D150">
        <f>IFERROR(ROUND(VLOOKUP(Table1[[#This Row],[Route]],SegmentsPerRoute!$C$3:$L$297,8,FALSE)+(Table1[[#This Row],[Sequence]]-1)*VLOOKUP(Table1[[#This Row],[Route]],SegmentsPerRoute!$C$3:$L$297,10,FALSE),0), 0)</f>
        <v>1</v>
      </c>
      <c r="E150">
        <v>1</v>
      </c>
      <c r="F150" s="1">
        <v>0</v>
      </c>
      <c r="G150" t="s">
        <v>231</v>
      </c>
      <c r="H150" s="1">
        <v>13.311</v>
      </c>
      <c r="I150" t="s">
        <v>311</v>
      </c>
      <c r="K150" t="s">
        <v>1700</v>
      </c>
      <c r="L150" t="s">
        <v>2207</v>
      </c>
      <c r="M150" t="s">
        <v>2274</v>
      </c>
      <c r="N150" t="s">
        <v>361</v>
      </c>
    </row>
    <row r="151" spans="1:14" x14ac:dyDescent="0.25">
      <c r="A151" s="41" t="str">
        <f>Table1[[#This Row],[Route]]&amp;TEXT(Table1[[#This Row],[SegmentID]],"00")</f>
        <v>025A03</v>
      </c>
      <c r="B151" t="s">
        <v>310</v>
      </c>
      <c r="C151" s="3" t="s">
        <v>357</v>
      </c>
      <c r="D151">
        <f>IFERROR(ROUND(VLOOKUP(Table1[[#This Row],[Route]],SegmentsPerRoute!$C$3:$L$297,8,FALSE)+(Table1[[#This Row],[Sequence]]-1)*VLOOKUP(Table1[[#This Row],[Route]],SegmentsPerRoute!$C$3:$L$297,10,FALSE),0), 0)</f>
        <v>3</v>
      </c>
      <c r="E151">
        <v>2</v>
      </c>
      <c r="F151" s="1">
        <v>13.311</v>
      </c>
      <c r="G151" t="s">
        <v>311</v>
      </c>
      <c r="H151" s="1">
        <v>14.88</v>
      </c>
      <c r="I151" t="s">
        <v>312</v>
      </c>
      <c r="K151" t="s">
        <v>1700</v>
      </c>
      <c r="L151" t="s">
        <v>2207</v>
      </c>
      <c r="M151" t="s">
        <v>2274</v>
      </c>
      <c r="N151" t="s">
        <v>363</v>
      </c>
    </row>
    <row r="152" spans="1:14" x14ac:dyDescent="0.25">
      <c r="A152" s="41" t="str">
        <f>Table1[[#This Row],[Route]]&amp;TEXT(Table1[[#This Row],[SegmentID]],"00")</f>
        <v>025A05</v>
      </c>
      <c r="B152" t="s">
        <v>310</v>
      </c>
      <c r="C152" s="3" t="s">
        <v>357</v>
      </c>
      <c r="D152">
        <f>IFERROR(ROUND(VLOOKUP(Table1[[#This Row],[Route]],SegmentsPerRoute!$C$3:$L$297,8,FALSE)+(Table1[[#This Row],[Sequence]]-1)*VLOOKUP(Table1[[#This Row],[Route]],SegmentsPerRoute!$C$3:$L$297,10,FALSE),0), 0)</f>
        <v>5</v>
      </c>
      <c r="E152">
        <v>3</v>
      </c>
      <c r="F152" s="1">
        <v>14.88</v>
      </c>
      <c r="G152" t="s">
        <v>312</v>
      </c>
      <c r="H152" s="1">
        <v>34.149000000000001</v>
      </c>
      <c r="I152" t="s">
        <v>313</v>
      </c>
      <c r="K152" t="s">
        <v>1700</v>
      </c>
      <c r="L152" t="s">
        <v>2208</v>
      </c>
      <c r="M152" t="s">
        <v>2273</v>
      </c>
      <c r="N152" t="s">
        <v>173</v>
      </c>
    </row>
    <row r="153" spans="1:14" x14ac:dyDescent="0.25">
      <c r="A153" s="41" t="str">
        <f>Table1[[#This Row],[Route]]&amp;TEXT(Table1[[#This Row],[SegmentID]],"00")</f>
        <v>025A06</v>
      </c>
      <c r="B153" t="s">
        <v>310</v>
      </c>
      <c r="C153" s="3" t="s">
        <v>357</v>
      </c>
      <c r="D153">
        <f>IFERROR(ROUND(VLOOKUP(Table1[[#This Row],[Route]],SegmentsPerRoute!$C$3:$L$297,8,FALSE)+(Table1[[#This Row],[Sequence]]-1)*VLOOKUP(Table1[[#This Row],[Route]],SegmentsPerRoute!$C$3:$L$297,10,FALSE),0), 0)</f>
        <v>6</v>
      </c>
      <c r="E153">
        <v>4</v>
      </c>
      <c r="F153" s="1">
        <v>34.149000000000001</v>
      </c>
      <c r="G153" t="s">
        <v>313</v>
      </c>
      <c r="H153" s="1">
        <v>49</v>
      </c>
      <c r="I153" t="s">
        <v>314</v>
      </c>
      <c r="K153" t="s">
        <v>1700</v>
      </c>
      <c r="L153" t="s">
        <v>2208</v>
      </c>
      <c r="M153" t="s">
        <v>2273</v>
      </c>
    </row>
    <row r="154" spans="1:14" x14ac:dyDescent="0.25">
      <c r="A154" s="41" t="str">
        <f>Table1[[#This Row],[Route]]&amp;TEXT(Table1[[#This Row],[SegmentID]],"00")</f>
        <v>025A08</v>
      </c>
      <c r="B154" t="s">
        <v>310</v>
      </c>
      <c r="C154" s="3" t="s">
        <v>357</v>
      </c>
      <c r="D154">
        <f>IFERROR(ROUND(VLOOKUP(Table1[[#This Row],[Route]],SegmentsPerRoute!$C$3:$L$297,8,FALSE)+(Table1[[#This Row],[Sequence]]-1)*VLOOKUP(Table1[[#This Row],[Route]],SegmentsPerRoute!$C$3:$L$297,10,FALSE),0), 0)</f>
        <v>8</v>
      </c>
      <c r="E154">
        <v>5</v>
      </c>
      <c r="F154" s="1">
        <v>49</v>
      </c>
      <c r="G154" t="s">
        <v>314</v>
      </c>
      <c r="H154" s="1">
        <v>50.054000000000002</v>
      </c>
      <c r="I154" t="s">
        <v>315</v>
      </c>
      <c r="K154" t="s">
        <v>1700</v>
      </c>
      <c r="L154" t="s">
        <v>2209</v>
      </c>
      <c r="M154" t="s">
        <v>2272</v>
      </c>
      <c r="N154" t="s">
        <v>364</v>
      </c>
    </row>
    <row r="155" spans="1:14" x14ac:dyDescent="0.25">
      <c r="A155" s="41" t="str">
        <f>Table1[[#This Row],[Route]]&amp;TEXT(Table1[[#This Row],[SegmentID]],"00")</f>
        <v>025A10</v>
      </c>
      <c r="B155" t="s">
        <v>310</v>
      </c>
      <c r="C155" s="3" t="s">
        <v>357</v>
      </c>
      <c r="D155">
        <f>IFERROR(ROUND(VLOOKUP(Table1[[#This Row],[Route]],SegmentsPerRoute!$C$3:$L$297,8,FALSE)+(Table1[[#This Row],[Sequence]]-1)*VLOOKUP(Table1[[#This Row],[Route]],SegmentsPerRoute!$C$3:$L$297,10,FALSE),0), 0)</f>
        <v>10</v>
      </c>
      <c r="E155">
        <v>6</v>
      </c>
      <c r="F155" s="1">
        <v>50.054000000000002</v>
      </c>
      <c r="G155" t="s">
        <v>315</v>
      </c>
      <c r="H155" s="1">
        <v>52.320999999999998</v>
      </c>
      <c r="I155" t="s">
        <v>316</v>
      </c>
      <c r="K155" t="s">
        <v>1700</v>
      </c>
      <c r="L155" t="s">
        <v>2210</v>
      </c>
      <c r="M155" t="s">
        <v>2271</v>
      </c>
    </row>
    <row r="156" spans="1:14" x14ac:dyDescent="0.25">
      <c r="A156" s="41" t="str">
        <f>Table1[[#This Row],[Route]]&amp;TEXT(Table1[[#This Row],[SegmentID]],"00")</f>
        <v>025A12</v>
      </c>
      <c r="B156" t="s">
        <v>310</v>
      </c>
      <c r="D156">
        <f>IFERROR(ROUND(VLOOKUP(Table1[[#This Row],[Route]],SegmentsPerRoute!$C$3:$L$297,8,FALSE)+(Table1[[#This Row],[Sequence]]-1)*VLOOKUP(Table1[[#This Row],[Route]],SegmentsPerRoute!$C$3:$L$297,10,FALSE),0), 0)</f>
        <v>12</v>
      </c>
      <c r="E156">
        <v>7</v>
      </c>
      <c r="F156" s="1">
        <v>52.320999999999998</v>
      </c>
      <c r="G156" t="s">
        <v>316</v>
      </c>
      <c r="H156" s="1">
        <v>74.367000000000004</v>
      </c>
      <c r="I156" t="s">
        <v>362</v>
      </c>
      <c r="K156" t="s">
        <v>1694</v>
      </c>
      <c r="L156" t="s">
        <v>2211</v>
      </c>
      <c r="M156" t="s">
        <v>2270</v>
      </c>
      <c r="N156" t="s">
        <v>365</v>
      </c>
    </row>
    <row r="157" spans="1:14" x14ac:dyDescent="0.25">
      <c r="A157" s="41" t="str">
        <f>Table1[[#This Row],[Route]]&amp;TEXT(Table1[[#This Row],[SegmentID]],"00")</f>
        <v>025A13</v>
      </c>
      <c r="B157" t="s">
        <v>310</v>
      </c>
      <c r="D157">
        <f>IFERROR(ROUND(VLOOKUP(Table1[[#This Row],[Route]],SegmentsPerRoute!$C$3:$L$297,8,FALSE)+(Table1[[#This Row],[Sequence]]-1)*VLOOKUP(Table1[[#This Row],[Route]],SegmentsPerRoute!$C$3:$L$297,10,FALSE),0), 0)</f>
        <v>13</v>
      </c>
      <c r="E157">
        <v>8</v>
      </c>
      <c r="F157" s="1">
        <v>74.367000000000004</v>
      </c>
      <c r="G157" t="s">
        <v>362</v>
      </c>
      <c r="H157" s="1">
        <v>94.769000000000005</v>
      </c>
      <c r="I157" t="s">
        <v>317</v>
      </c>
      <c r="K157" t="s">
        <v>1694</v>
      </c>
      <c r="L157" t="s">
        <v>2211</v>
      </c>
      <c r="M157" t="s">
        <v>2270</v>
      </c>
      <c r="N157" t="s">
        <v>366</v>
      </c>
    </row>
    <row r="158" spans="1:14" x14ac:dyDescent="0.25">
      <c r="A158" s="41" t="str">
        <f>Table1[[#This Row],[Route]]&amp;TEXT(Table1[[#This Row],[SegmentID]],"00")</f>
        <v>025A17</v>
      </c>
      <c r="B158" t="s">
        <v>310</v>
      </c>
      <c r="D158">
        <f>IFERROR(ROUND(VLOOKUP(Table1[[#This Row],[Route]],SegmentsPerRoute!$C$3:$L$297,8,FALSE)+(Table1[[#This Row],[Sequence]]-1)*VLOOKUP(Table1[[#This Row],[Route]],SegmentsPerRoute!$C$3:$L$297,10,FALSE),0), 0)</f>
        <v>17</v>
      </c>
      <c r="E158">
        <v>10</v>
      </c>
      <c r="F158" s="1">
        <v>94.769000000000005</v>
      </c>
      <c r="G158" t="s">
        <v>317</v>
      </c>
      <c r="H158" s="1">
        <v>97.691000000000003</v>
      </c>
      <c r="I158" t="s">
        <v>318</v>
      </c>
      <c r="K158" t="s">
        <v>1694</v>
      </c>
      <c r="L158" t="s">
        <v>2212</v>
      </c>
      <c r="M158" t="s">
        <v>2269</v>
      </c>
      <c r="N158" t="s">
        <v>269</v>
      </c>
    </row>
    <row r="159" spans="1:14" x14ac:dyDescent="0.25">
      <c r="A159" s="41" t="str">
        <f>Table1[[#This Row],[Route]]&amp;TEXT(Table1[[#This Row],[SegmentID]],"00")</f>
        <v>025A19</v>
      </c>
      <c r="B159" t="s">
        <v>310</v>
      </c>
      <c r="D159">
        <f>IFERROR(ROUND(VLOOKUP(Table1[[#This Row],[Route]],SegmentsPerRoute!$C$3:$L$297,8,FALSE)+(Table1[[#This Row],[Sequence]]-1)*VLOOKUP(Table1[[#This Row],[Route]],SegmentsPerRoute!$C$3:$L$297,10,FALSE),0), 0)</f>
        <v>19</v>
      </c>
      <c r="E159">
        <f>E158+1</f>
        <v>11</v>
      </c>
      <c r="F159" s="1">
        <v>97.691000000000003</v>
      </c>
      <c r="G159" t="s">
        <v>318</v>
      </c>
      <c r="H159" s="1">
        <v>98.742000000000004</v>
      </c>
      <c r="I159" t="s">
        <v>319</v>
      </c>
      <c r="K159" t="s">
        <v>1694</v>
      </c>
      <c r="L159" t="s">
        <v>2213</v>
      </c>
      <c r="M159" t="s">
        <v>2268</v>
      </c>
    </row>
    <row r="160" spans="1:14" x14ac:dyDescent="0.25">
      <c r="A160" s="41" t="str">
        <f>Table1[[#This Row],[Route]]&amp;TEXT(Table1[[#This Row],[SegmentID]],"00")</f>
        <v>025A21</v>
      </c>
      <c r="B160" t="s">
        <v>310</v>
      </c>
      <c r="D160">
        <f>IFERROR(ROUND(VLOOKUP(Table1[[#This Row],[Route]],SegmentsPerRoute!$C$3:$L$297,8,FALSE)+(Table1[[#This Row],[Sequence]]-1)*VLOOKUP(Table1[[#This Row],[Route]],SegmentsPerRoute!$C$3:$L$297,10,FALSE),0), 0)</f>
        <v>21</v>
      </c>
      <c r="E160">
        <f t="shared" ref="E160:E197" si="1">E159+1</f>
        <v>12</v>
      </c>
      <c r="F160" s="1">
        <v>98.742000000000004</v>
      </c>
      <c r="G160" t="s">
        <v>319</v>
      </c>
      <c r="H160" s="1">
        <v>99.980999999999995</v>
      </c>
      <c r="I160" t="s">
        <v>320</v>
      </c>
      <c r="K160" t="s">
        <v>1694</v>
      </c>
      <c r="L160" t="s">
        <v>2213</v>
      </c>
      <c r="M160" t="s">
        <v>2268</v>
      </c>
      <c r="N160" t="s">
        <v>229</v>
      </c>
    </row>
    <row r="161" spans="1:14" x14ac:dyDescent="0.25">
      <c r="A161" s="41" t="str">
        <f>Table1[[#This Row],[Route]]&amp;TEXT(Table1[[#This Row],[SegmentID]],"00")</f>
        <v>025A22</v>
      </c>
      <c r="B161" t="s">
        <v>310</v>
      </c>
      <c r="D161">
        <f>IFERROR(ROUND(VLOOKUP(Table1[[#This Row],[Route]],SegmentsPerRoute!$C$3:$L$297,8,FALSE)+(Table1[[#This Row],[Sequence]]-1)*VLOOKUP(Table1[[#This Row],[Route]],SegmentsPerRoute!$C$3:$L$297,10,FALSE),0), 0)</f>
        <v>22</v>
      </c>
      <c r="E161">
        <f t="shared" si="1"/>
        <v>13</v>
      </c>
      <c r="F161" s="1">
        <v>99.980999999999995</v>
      </c>
      <c r="G161" t="s">
        <v>320</v>
      </c>
      <c r="H161" s="1">
        <v>101.389</v>
      </c>
      <c r="I161" t="s">
        <v>321</v>
      </c>
      <c r="K161" t="s">
        <v>1694</v>
      </c>
      <c r="L161" t="s">
        <v>2214</v>
      </c>
      <c r="M161" t="s">
        <v>2267</v>
      </c>
      <c r="N161" t="s">
        <v>229</v>
      </c>
    </row>
    <row r="162" spans="1:14" x14ac:dyDescent="0.25">
      <c r="A162" s="41" t="str">
        <f>Table1[[#This Row],[Route]]&amp;TEXT(Table1[[#This Row],[SegmentID]],"00")</f>
        <v>025A24</v>
      </c>
      <c r="B162" t="s">
        <v>310</v>
      </c>
      <c r="D162">
        <f>IFERROR(ROUND(VLOOKUP(Table1[[#This Row],[Route]],SegmentsPerRoute!$C$3:$L$297,8,FALSE)+(Table1[[#This Row],[Sequence]]-1)*VLOOKUP(Table1[[#This Row],[Route]],SegmentsPerRoute!$C$3:$L$297,10,FALSE),0), 0)</f>
        <v>24</v>
      </c>
      <c r="E162">
        <f t="shared" si="1"/>
        <v>14</v>
      </c>
      <c r="F162" s="1">
        <v>101.389</v>
      </c>
      <c r="G162" t="s">
        <v>321</v>
      </c>
      <c r="H162" s="1">
        <v>127.86</v>
      </c>
      <c r="I162" t="s">
        <v>322</v>
      </c>
      <c r="K162" t="s">
        <v>1694</v>
      </c>
      <c r="L162" t="s">
        <v>2215</v>
      </c>
      <c r="M162" t="s">
        <v>2266</v>
      </c>
      <c r="N162" t="s">
        <v>229</v>
      </c>
    </row>
    <row r="163" spans="1:14" x14ac:dyDescent="0.25">
      <c r="A163" s="41" t="str">
        <f>Table1[[#This Row],[Route]]&amp;TEXT(Table1[[#This Row],[SegmentID]],"00")</f>
        <v>025A29</v>
      </c>
      <c r="B163" t="s">
        <v>310</v>
      </c>
      <c r="D163">
        <f>IFERROR(ROUND(VLOOKUP(Table1[[#This Row],[Route]],SegmentsPerRoute!$C$3:$L$297,8,FALSE)+(Table1[[#This Row],[Sequence]]-1)*VLOOKUP(Table1[[#This Row],[Route]],SegmentsPerRoute!$C$3:$L$297,10,FALSE),0), 0)</f>
        <v>29</v>
      </c>
      <c r="E163">
        <v>17</v>
      </c>
      <c r="F163" s="1">
        <v>127.86</v>
      </c>
      <c r="G163" t="s">
        <v>322</v>
      </c>
      <c r="H163" s="1">
        <v>131.65299999999999</v>
      </c>
      <c r="I163" t="s">
        <v>323</v>
      </c>
      <c r="K163" t="s">
        <v>1694</v>
      </c>
      <c r="L163" t="s">
        <v>2216</v>
      </c>
      <c r="M163" t="s">
        <v>2265</v>
      </c>
      <c r="N163" t="s">
        <v>229</v>
      </c>
    </row>
    <row r="164" spans="1:14" x14ac:dyDescent="0.25">
      <c r="A164" s="41" t="str">
        <f>Table1[[#This Row],[Route]]&amp;TEXT(Table1[[#This Row],[SegmentID]],"00")</f>
        <v>025A31</v>
      </c>
      <c r="B164" t="s">
        <v>310</v>
      </c>
      <c r="D164">
        <f>IFERROR(ROUND(VLOOKUP(Table1[[#This Row],[Route]],SegmentsPerRoute!$C$3:$L$297,8,FALSE)+(Table1[[#This Row],[Sequence]]-1)*VLOOKUP(Table1[[#This Row],[Route]],SegmentsPerRoute!$C$3:$L$297,10,FALSE),0), 0)</f>
        <v>31</v>
      </c>
      <c r="E164">
        <f t="shared" si="1"/>
        <v>18</v>
      </c>
      <c r="F164" s="1">
        <v>131.65299999999999</v>
      </c>
      <c r="G164" t="s">
        <v>323</v>
      </c>
      <c r="H164" s="1">
        <v>138.74199999999999</v>
      </c>
      <c r="I164" t="s">
        <v>324</v>
      </c>
      <c r="K164" t="s">
        <v>1694</v>
      </c>
      <c r="L164" t="s">
        <v>2217</v>
      </c>
      <c r="M164" t="s">
        <v>2264</v>
      </c>
      <c r="N164" t="s">
        <v>229</v>
      </c>
    </row>
    <row r="165" spans="1:14" x14ac:dyDescent="0.25">
      <c r="A165" s="41" t="str">
        <f>Table1[[#This Row],[Route]]&amp;TEXT(Table1[[#This Row],[SegmentID]],"00")</f>
        <v>025A35</v>
      </c>
      <c r="B165" t="s">
        <v>310</v>
      </c>
      <c r="C165" s="3" t="s">
        <v>358</v>
      </c>
      <c r="D165">
        <f>IFERROR(ROUND(VLOOKUP(Table1[[#This Row],[Route]],SegmentsPerRoute!$C$3:$L$297,8,FALSE)+(Table1[[#This Row],[Sequence]]-1)*VLOOKUP(Table1[[#This Row],[Route]],SegmentsPerRoute!$C$3:$L$297,10,FALSE),0), 0)</f>
        <v>35</v>
      </c>
      <c r="E165">
        <v>20</v>
      </c>
      <c r="F165" s="1">
        <v>138.74199999999999</v>
      </c>
      <c r="G165" t="s">
        <v>324</v>
      </c>
      <c r="H165" s="1">
        <v>139.74700000000001</v>
      </c>
      <c r="I165" t="s">
        <v>325</v>
      </c>
      <c r="K165" t="s">
        <v>1700</v>
      </c>
      <c r="L165" t="s">
        <v>2218</v>
      </c>
      <c r="M165" t="s">
        <v>2263</v>
      </c>
      <c r="N165" t="s">
        <v>229</v>
      </c>
    </row>
    <row r="166" spans="1:14" x14ac:dyDescent="0.25">
      <c r="A166" s="41" t="str">
        <f>Table1[[#This Row],[Route]]&amp;TEXT(Table1[[#This Row],[SegmentID]],"00")</f>
        <v>025A37</v>
      </c>
      <c r="B166" t="s">
        <v>310</v>
      </c>
      <c r="C166" s="3" t="s">
        <v>358</v>
      </c>
      <c r="D166">
        <f>IFERROR(ROUND(VLOOKUP(Table1[[#This Row],[Route]],SegmentsPerRoute!$C$3:$L$297,8,FALSE)+(Table1[[#This Row],[Sequence]]-1)*VLOOKUP(Table1[[#This Row],[Route]],SegmentsPerRoute!$C$3:$L$297,10,FALSE),0), 0)</f>
        <v>37</v>
      </c>
      <c r="E166">
        <f t="shared" si="1"/>
        <v>21</v>
      </c>
      <c r="F166" s="1">
        <v>139.74700000000001</v>
      </c>
      <c r="G166" t="s">
        <v>325</v>
      </c>
      <c r="H166" s="1">
        <v>141.13900000000001</v>
      </c>
      <c r="I166" t="s">
        <v>326</v>
      </c>
      <c r="K166" t="s">
        <v>1700</v>
      </c>
      <c r="L166" t="s">
        <v>2218</v>
      </c>
      <c r="M166" t="s">
        <v>2263</v>
      </c>
      <c r="N166" t="s">
        <v>229</v>
      </c>
    </row>
    <row r="167" spans="1:14" x14ac:dyDescent="0.25">
      <c r="A167" s="41" t="str">
        <f>Table1[[#This Row],[Route]]&amp;TEXT(Table1[[#This Row],[SegmentID]],"00")</f>
        <v>025A38</v>
      </c>
      <c r="B167" t="s">
        <v>310</v>
      </c>
      <c r="C167" s="3" t="s">
        <v>358</v>
      </c>
      <c r="D167">
        <f>IFERROR(ROUND(VLOOKUP(Table1[[#This Row],[Route]],SegmentsPerRoute!$C$3:$L$297,8,FALSE)+(Table1[[#This Row],[Sequence]]-1)*VLOOKUP(Table1[[#This Row],[Route]],SegmentsPerRoute!$C$3:$L$297,10,FALSE),0), 0)</f>
        <v>38</v>
      </c>
      <c r="E167">
        <f t="shared" si="1"/>
        <v>22</v>
      </c>
      <c r="F167" s="1">
        <v>141.13900000000001</v>
      </c>
      <c r="G167" t="s">
        <v>326</v>
      </c>
      <c r="H167" s="1">
        <v>160.76300000000001</v>
      </c>
      <c r="I167" t="s">
        <v>327</v>
      </c>
      <c r="K167" t="s">
        <v>1700</v>
      </c>
      <c r="L167" t="s">
        <v>2218</v>
      </c>
      <c r="M167" t="s">
        <v>2263</v>
      </c>
      <c r="N167" t="s">
        <v>367</v>
      </c>
    </row>
    <row r="168" spans="1:14" x14ac:dyDescent="0.25">
      <c r="A168" s="41" t="str">
        <f>Table1[[#This Row],[Route]]&amp;TEXT(Table1[[#This Row],[SegmentID]],"00")</f>
        <v>025A42</v>
      </c>
      <c r="B168" t="s">
        <v>310</v>
      </c>
      <c r="C168" s="3" t="s">
        <v>358</v>
      </c>
      <c r="D168">
        <f>IFERROR(ROUND(VLOOKUP(Table1[[#This Row],[Route]],SegmentsPerRoute!$C$3:$L$297,8,FALSE)+(Table1[[#This Row],[Sequence]]-1)*VLOOKUP(Table1[[#This Row],[Route]],SegmentsPerRoute!$C$3:$L$297,10,FALSE),0), 0)</f>
        <v>42</v>
      </c>
      <c r="E168">
        <v>24</v>
      </c>
      <c r="F168" s="1">
        <v>160.76300000000001</v>
      </c>
      <c r="G168" t="s">
        <v>327</v>
      </c>
      <c r="H168" s="1">
        <v>184.21199999999999</v>
      </c>
      <c r="I168" t="s">
        <v>328</v>
      </c>
      <c r="K168" t="s">
        <v>1700</v>
      </c>
      <c r="L168" t="s">
        <v>2218</v>
      </c>
      <c r="M168" t="s">
        <v>2263</v>
      </c>
      <c r="N168" t="s">
        <v>368</v>
      </c>
    </row>
    <row r="169" spans="1:14" x14ac:dyDescent="0.25">
      <c r="A169" s="41" t="str">
        <f>Table1[[#This Row],[Route]]&amp;TEXT(Table1[[#This Row],[SegmentID]],"00")</f>
        <v>025A46</v>
      </c>
      <c r="B169" t="s">
        <v>310</v>
      </c>
      <c r="C169" s="3" t="s">
        <v>358</v>
      </c>
      <c r="D169">
        <f>IFERROR(ROUND(VLOOKUP(Table1[[#This Row],[Route]],SegmentsPerRoute!$C$3:$L$297,8,FALSE)+(Table1[[#This Row],[Sequence]]-1)*VLOOKUP(Table1[[#This Row],[Route]],SegmentsPerRoute!$C$3:$L$297,10,FALSE),0), 0)</f>
        <v>46</v>
      </c>
      <c r="E169">
        <v>26</v>
      </c>
      <c r="F169" s="1">
        <v>184.21199999999999</v>
      </c>
      <c r="G169" t="s">
        <v>328</v>
      </c>
      <c r="H169" s="1">
        <v>194.31399999999999</v>
      </c>
      <c r="I169" t="s">
        <v>329</v>
      </c>
      <c r="K169" t="s">
        <v>1700</v>
      </c>
      <c r="L169" t="s">
        <v>2219</v>
      </c>
      <c r="M169" t="s">
        <v>2262</v>
      </c>
    </row>
    <row r="170" spans="1:14" x14ac:dyDescent="0.25">
      <c r="A170" s="41" t="str">
        <f>Table1[[#This Row],[Route]]&amp;TEXT(Table1[[#This Row],[SegmentID]],"00")</f>
        <v>025A47</v>
      </c>
      <c r="B170" t="s">
        <v>310</v>
      </c>
      <c r="C170" s="3" t="s">
        <v>358</v>
      </c>
      <c r="D170">
        <f>IFERROR(ROUND(VLOOKUP(Table1[[#This Row],[Route]],SegmentsPerRoute!$C$3:$L$297,8,FALSE)+(Table1[[#This Row],[Sequence]]-1)*VLOOKUP(Table1[[#This Row],[Route]],SegmentsPerRoute!$C$3:$L$297,10,FALSE),0), 0)</f>
        <v>47</v>
      </c>
      <c r="E170">
        <f t="shared" si="1"/>
        <v>27</v>
      </c>
      <c r="F170" s="1">
        <v>194.31399999999999</v>
      </c>
      <c r="G170" t="s">
        <v>329</v>
      </c>
      <c r="H170" s="1">
        <v>197.11799999999999</v>
      </c>
      <c r="I170" t="s">
        <v>330</v>
      </c>
      <c r="K170" t="s">
        <v>1700</v>
      </c>
      <c r="L170" t="s">
        <v>2220</v>
      </c>
      <c r="M170" t="s">
        <v>2261</v>
      </c>
    </row>
    <row r="171" spans="1:14" x14ac:dyDescent="0.25">
      <c r="A171" s="41" t="str">
        <f>Table1[[#This Row],[Route]]&amp;TEXT(Table1[[#This Row],[SegmentID]],"00")</f>
        <v>025A49</v>
      </c>
      <c r="B171" t="s">
        <v>310</v>
      </c>
      <c r="C171" s="3" t="s">
        <v>358</v>
      </c>
      <c r="D171">
        <f>IFERROR(ROUND(VLOOKUP(Table1[[#This Row],[Route]],SegmentsPerRoute!$C$3:$L$297,8,FALSE)+(Table1[[#This Row],[Sequence]]-1)*VLOOKUP(Table1[[#This Row],[Route]],SegmentsPerRoute!$C$3:$L$297,10,FALSE),0), 0)</f>
        <v>49</v>
      </c>
      <c r="E171">
        <f t="shared" si="1"/>
        <v>28</v>
      </c>
      <c r="F171" s="1">
        <v>197.11799999999999</v>
      </c>
      <c r="G171" t="s">
        <v>330</v>
      </c>
      <c r="H171" s="1">
        <v>199.39699999999999</v>
      </c>
      <c r="I171" t="s">
        <v>331</v>
      </c>
      <c r="K171" t="s">
        <v>1700</v>
      </c>
      <c r="L171" t="s">
        <v>2220</v>
      </c>
      <c r="M171" t="s">
        <v>2261</v>
      </c>
    </row>
    <row r="172" spans="1:14" x14ac:dyDescent="0.25">
      <c r="A172" s="41" t="str">
        <f>Table1[[#This Row],[Route]]&amp;TEXT(Table1[[#This Row],[SegmentID]],"00")</f>
        <v>025A51</v>
      </c>
      <c r="B172" t="s">
        <v>310</v>
      </c>
      <c r="C172" s="3" t="s">
        <v>358</v>
      </c>
      <c r="D172">
        <f>IFERROR(ROUND(VLOOKUP(Table1[[#This Row],[Route]],SegmentsPerRoute!$C$3:$L$297,8,FALSE)+(Table1[[#This Row],[Sequence]]-1)*VLOOKUP(Table1[[#This Row],[Route]],SegmentsPerRoute!$C$3:$L$297,10,FALSE),0), 0)</f>
        <v>51</v>
      </c>
      <c r="E172">
        <f t="shared" si="1"/>
        <v>29</v>
      </c>
      <c r="F172" s="1">
        <v>199.39699999999999</v>
      </c>
      <c r="G172" t="s">
        <v>331</v>
      </c>
      <c r="H172" s="1">
        <v>200</v>
      </c>
      <c r="I172" t="s">
        <v>343</v>
      </c>
      <c r="K172" t="s">
        <v>1700</v>
      </c>
      <c r="L172" s="36"/>
      <c r="M172" s="36"/>
    </row>
    <row r="173" spans="1:14" x14ac:dyDescent="0.25">
      <c r="A173" s="41" t="str">
        <f>Table1[[#This Row],[Route]]&amp;TEXT(Table1[[#This Row],[SegmentID]],"00")</f>
        <v>025A53</v>
      </c>
      <c r="B173" t="s">
        <v>310</v>
      </c>
      <c r="C173" s="3" t="s">
        <v>358</v>
      </c>
      <c r="D173">
        <f>IFERROR(ROUND(VLOOKUP(Table1[[#This Row],[Route]],SegmentsPerRoute!$C$3:$L$297,8,FALSE)+(Table1[[#This Row],[Sequence]]-1)*VLOOKUP(Table1[[#This Row],[Route]],SegmentsPerRoute!$C$3:$L$297,10,FALSE),0), 0)</f>
        <v>53</v>
      </c>
      <c r="E173">
        <f t="shared" si="1"/>
        <v>30</v>
      </c>
      <c r="F173" s="1">
        <v>200</v>
      </c>
      <c r="G173" t="s">
        <v>343</v>
      </c>
      <c r="H173" s="1">
        <v>201.59200000000001</v>
      </c>
      <c r="I173" t="s">
        <v>333</v>
      </c>
      <c r="K173" t="s">
        <v>1700</v>
      </c>
      <c r="L173" t="s">
        <v>2221</v>
      </c>
      <c r="M173" t="s">
        <v>2260</v>
      </c>
    </row>
    <row r="174" spans="1:14" x14ac:dyDescent="0.25">
      <c r="A174" s="41" t="str">
        <f>Table1[[#This Row],[Route]]&amp;TEXT(Table1[[#This Row],[SegmentID]],"00")</f>
        <v>025A54</v>
      </c>
      <c r="B174" t="s">
        <v>310</v>
      </c>
      <c r="C174" s="3" t="s">
        <v>358</v>
      </c>
      <c r="D174">
        <f>IFERROR(ROUND(VLOOKUP(Table1[[#This Row],[Route]],SegmentsPerRoute!$C$3:$L$297,8,FALSE)+(Table1[[#This Row],[Sequence]]-1)*VLOOKUP(Table1[[#This Row],[Route]],SegmentsPerRoute!$C$3:$L$297,10,FALSE),0), 0)</f>
        <v>54</v>
      </c>
      <c r="E174">
        <f t="shared" si="1"/>
        <v>31</v>
      </c>
      <c r="F174" s="1">
        <v>201.59200000000001</v>
      </c>
      <c r="G174" t="s">
        <v>333</v>
      </c>
      <c r="H174" s="1">
        <v>204.03700000000001</v>
      </c>
      <c r="I174" t="s">
        <v>83</v>
      </c>
      <c r="K174" t="s">
        <v>1700</v>
      </c>
      <c r="L174" t="s">
        <v>2222</v>
      </c>
      <c r="M174" t="s">
        <v>2259</v>
      </c>
    </row>
    <row r="175" spans="1:14" x14ac:dyDescent="0.25">
      <c r="A175" s="41" t="str">
        <f>Table1[[#This Row],[Route]]&amp;TEXT(Table1[[#This Row],[SegmentID]],"00")</f>
        <v>025A56</v>
      </c>
      <c r="B175" t="s">
        <v>310</v>
      </c>
      <c r="C175" s="3" t="s">
        <v>358</v>
      </c>
      <c r="D175">
        <f>IFERROR(ROUND(VLOOKUP(Table1[[#This Row],[Route]],SegmentsPerRoute!$C$3:$L$297,8,FALSE)+(Table1[[#This Row],[Sequence]]-1)*VLOOKUP(Table1[[#This Row],[Route]],SegmentsPerRoute!$C$3:$L$297,10,FALSE),0), 0)</f>
        <v>56</v>
      </c>
      <c r="E175">
        <f t="shared" si="1"/>
        <v>32</v>
      </c>
      <c r="F175" s="1">
        <v>204.03700000000001</v>
      </c>
      <c r="G175" t="s">
        <v>83</v>
      </c>
      <c r="H175" s="1">
        <v>207.488</v>
      </c>
      <c r="I175" t="s">
        <v>334</v>
      </c>
      <c r="K175" t="s">
        <v>1700</v>
      </c>
      <c r="L175" t="s">
        <v>2223</v>
      </c>
      <c r="M175" t="s">
        <v>2258</v>
      </c>
    </row>
    <row r="176" spans="1:14" x14ac:dyDescent="0.25">
      <c r="A176" s="41" t="str">
        <f>Table1[[#This Row],[Route]]&amp;TEXT(Table1[[#This Row],[SegmentID]],"00")</f>
        <v>025A58</v>
      </c>
      <c r="B176" t="s">
        <v>310</v>
      </c>
      <c r="C176" s="3" t="s">
        <v>358</v>
      </c>
      <c r="D176">
        <f>IFERROR(ROUND(VLOOKUP(Table1[[#This Row],[Route]],SegmentsPerRoute!$C$3:$L$297,8,FALSE)+(Table1[[#This Row],[Sequence]]-1)*VLOOKUP(Table1[[#This Row],[Route]],SegmentsPerRoute!$C$3:$L$297,10,FALSE),0), 0)</f>
        <v>58</v>
      </c>
      <c r="E176">
        <f t="shared" si="1"/>
        <v>33</v>
      </c>
      <c r="F176" s="1">
        <v>207.488</v>
      </c>
      <c r="G176" t="s">
        <v>334</v>
      </c>
      <c r="H176" s="1">
        <v>207.99</v>
      </c>
      <c r="I176" t="s">
        <v>335</v>
      </c>
      <c r="K176" t="s">
        <v>1700</v>
      </c>
      <c r="L176" t="s">
        <v>2223</v>
      </c>
      <c r="M176" t="s">
        <v>2258</v>
      </c>
      <c r="N176" t="s">
        <v>77</v>
      </c>
    </row>
    <row r="177" spans="1:14" x14ac:dyDescent="0.25">
      <c r="A177" s="41" t="str">
        <f>Table1[[#This Row],[Route]]&amp;TEXT(Table1[[#This Row],[SegmentID]],"00")</f>
        <v>025A60</v>
      </c>
      <c r="B177" t="s">
        <v>310</v>
      </c>
      <c r="C177" s="3" t="s">
        <v>358</v>
      </c>
      <c r="D177">
        <f>IFERROR(ROUND(VLOOKUP(Table1[[#This Row],[Route]],SegmentsPerRoute!$C$3:$L$297,8,FALSE)+(Table1[[#This Row],[Sequence]]-1)*VLOOKUP(Table1[[#This Row],[Route]],SegmentsPerRoute!$C$3:$L$297,10,FALSE),0), 0)</f>
        <v>60</v>
      </c>
      <c r="E177">
        <f t="shared" si="1"/>
        <v>34</v>
      </c>
      <c r="F177" s="1">
        <v>207.99</v>
      </c>
      <c r="G177" t="s">
        <v>335</v>
      </c>
      <c r="H177" s="1">
        <v>209.28200000000001</v>
      </c>
      <c r="I177" t="s">
        <v>336</v>
      </c>
      <c r="K177" t="s">
        <v>1700</v>
      </c>
      <c r="L177" t="s">
        <v>2224</v>
      </c>
      <c r="M177" t="s">
        <v>2257</v>
      </c>
      <c r="N177" t="s">
        <v>77</v>
      </c>
    </row>
    <row r="178" spans="1:14" x14ac:dyDescent="0.25">
      <c r="A178" s="41" t="str">
        <f>Table1[[#This Row],[Route]]&amp;TEXT(Table1[[#This Row],[SegmentID]],"00")</f>
        <v>025A62</v>
      </c>
      <c r="B178" t="s">
        <v>310</v>
      </c>
      <c r="C178" s="3" t="s">
        <v>358</v>
      </c>
      <c r="D178">
        <f>IFERROR(ROUND(VLOOKUP(Table1[[#This Row],[Route]],SegmentsPerRoute!$C$3:$L$297,8,FALSE)+(Table1[[#This Row],[Sequence]]-1)*VLOOKUP(Table1[[#This Row],[Route]],SegmentsPerRoute!$C$3:$L$297,10,FALSE),0), 0)</f>
        <v>62</v>
      </c>
      <c r="E178">
        <f t="shared" si="1"/>
        <v>35</v>
      </c>
      <c r="F178" s="1">
        <v>209.28200000000001</v>
      </c>
      <c r="G178" t="s">
        <v>336</v>
      </c>
      <c r="H178" s="1">
        <v>210.31100000000001</v>
      </c>
      <c r="I178" t="s">
        <v>337</v>
      </c>
      <c r="K178" t="s">
        <v>1700</v>
      </c>
      <c r="L178" t="s">
        <v>2225</v>
      </c>
      <c r="M178" t="s">
        <v>2256</v>
      </c>
      <c r="N178" t="s">
        <v>77</v>
      </c>
    </row>
    <row r="179" spans="1:14" x14ac:dyDescent="0.25">
      <c r="A179" s="41" t="str">
        <f>Table1[[#This Row],[Route]]&amp;TEXT(Table1[[#This Row],[SegmentID]],"00")</f>
        <v>025A63</v>
      </c>
      <c r="B179" t="s">
        <v>310</v>
      </c>
      <c r="C179" s="3" t="s">
        <v>358</v>
      </c>
      <c r="D179">
        <f>IFERROR(ROUND(VLOOKUP(Table1[[#This Row],[Route]],SegmentsPerRoute!$C$3:$L$297,8,FALSE)+(Table1[[#This Row],[Sequence]]-1)*VLOOKUP(Table1[[#This Row],[Route]],SegmentsPerRoute!$C$3:$L$297,10,FALSE),0), 0)</f>
        <v>63</v>
      </c>
      <c r="E179">
        <f t="shared" si="1"/>
        <v>36</v>
      </c>
      <c r="F179" s="1">
        <v>210.31100000000001</v>
      </c>
      <c r="G179" t="s">
        <v>337</v>
      </c>
      <c r="H179" s="1">
        <v>213.64699999999999</v>
      </c>
      <c r="I179" t="s">
        <v>338</v>
      </c>
      <c r="K179" t="s">
        <v>1700</v>
      </c>
      <c r="L179" t="s">
        <v>2223</v>
      </c>
      <c r="M179" t="s">
        <v>2255</v>
      </c>
      <c r="N179" t="s">
        <v>77</v>
      </c>
    </row>
    <row r="180" spans="1:14" x14ac:dyDescent="0.25">
      <c r="A180" s="41" t="str">
        <f>Table1[[#This Row],[Route]]&amp;TEXT(Table1[[#This Row],[SegmentID]],"00")</f>
        <v>025A65</v>
      </c>
      <c r="B180" t="s">
        <v>310</v>
      </c>
      <c r="C180" s="3" t="s">
        <v>359</v>
      </c>
      <c r="D180">
        <f>IFERROR(ROUND(VLOOKUP(Table1[[#This Row],[Route]],SegmentsPerRoute!$C$3:$L$297,8,FALSE)+(Table1[[#This Row],[Sequence]]-1)*VLOOKUP(Table1[[#This Row],[Route]],SegmentsPerRoute!$C$3:$L$297,10,FALSE),0), 0)</f>
        <v>65</v>
      </c>
      <c r="E180">
        <f t="shared" si="1"/>
        <v>37</v>
      </c>
      <c r="F180" s="1">
        <v>213.64699999999999</v>
      </c>
      <c r="G180" t="s">
        <v>338</v>
      </c>
      <c r="H180" s="1">
        <v>215.244</v>
      </c>
      <c r="I180" t="s">
        <v>339</v>
      </c>
      <c r="K180" t="s">
        <v>1701</v>
      </c>
      <c r="L180" t="s">
        <v>2226</v>
      </c>
      <c r="M180" t="s">
        <v>2254</v>
      </c>
    </row>
    <row r="181" spans="1:14" x14ac:dyDescent="0.25">
      <c r="A181" s="41" t="str">
        <f>Table1[[#This Row],[Route]]&amp;TEXT(Table1[[#This Row],[SegmentID]],"00")</f>
        <v>025A67</v>
      </c>
      <c r="B181" t="s">
        <v>310</v>
      </c>
      <c r="C181" s="3" t="s">
        <v>359</v>
      </c>
      <c r="D181">
        <f>IFERROR(ROUND(VLOOKUP(Table1[[#This Row],[Route]],SegmentsPerRoute!$C$3:$L$297,8,FALSE)+(Table1[[#This Row],[Sequence]]-1)*VLOOKUP(Table1[[#This Row],[Route]],SegmentsPerRoute!$C$3:$L$297,10,FALSE),0), 0)</f>
        <v>67</v>
      </c>
      <c r="E181">
        <f t="shared" si="1"/>
        <v>38</v>
      </c>
      <c r="F181" s="1">
        <v>215.244</v>
      </c>
      <c r="G181" t="s">
        <v>339</v>
      </c>
      <c r="H181" s="1">
        <v>216.30099999999999</v>
      </c>
      <c r="I181" t="s">
        <v>340</v>
      </c>
      <c r="K181" t="s">
        <v>1701</v>
      </c>
      <c r="L181" t="s">
        <v>2226</v>
      </c>
      <c r="M181" t="s">
        <v>2253</v>
      </c>
    </row>
    <row r="182" spans="1:14" x14ac:dyDescent="0.25">
      <c r="A182" s="41" t="str">
        <f>Table1[[#This Row],[Route]]&amp;TEXT(Table1[[#This Row],[SegmentID]],"00")</f>
        <v>025A69</v>
      </c>
      <c r="B182" t="s">
        <v>310</v>
      </c>
      <c r="C182" s="3" t="s">
        <v>359</v>
      </c>
      <c r="D182">
        <f>IFERROR(ROUND(VLOOKUP(Table1[[#This Row],[Route]],SegmentsPerRoute!$C$3:$L$297,8,FALSE)+(Table1[[#This Row],[Sequence]]-1)*VLOOKUP(Table1[[#This Row],[Route]],SegmentsPerRoute!$C$3:$L$297,10,FALSE),0), 0)</f>
        <v>69</v>
      </c>
      <c r="E182">
        <f t="shared" si="1"/>
        <v>39</v>
      </c>
      <c r="F182" s="1">
        <v>216.30099999999999</v>
      </c>
      <c r="G182" t="s">
        <v>340</v>
      </c>
      <c r="H182" s="1">
        <v>216.779</v>
      </c>
      <c r="I182" t="s">
        <v>341</v>
      </c>
      <c r="K182" t="s">
        <v>1701</v>
      </c>
      <c r="L182" s="36"/>
      <c r="M182" s="36"/>
      <c r="N182" t="s">
        <v>76</v>
      </c>
    </row>
    <row r="183" spans="1:14" x14ac:dyDescent="0.25">
      <c r="A183" s="41" t="str">
        <f>Table1[[#This Row],[Route]]&amp;TEXT(Table1[[#This Row],[SegmentID]],"00")</f>
        <v>025A70</v>
      </c>
      <c r="B183" t="s">
        <v>310</v>
      </c>
      <c r="C183" s="3" t="s">
        <v>359</v>
      </c>
      <c r="D183">
        <f>IFERROR(ROUND(VLOOKUP(Table1[[#This Row],[Route]],SegmentsPerRoute!$C$3:$L$297,8,FALSE)+(Table1[[#This Row],[Sequence]]-1)*VLOOKUP(Table1[[#This Row],[Route]],SegmentsPerRoute!$C$3:$L$297,10,FALSE),0), 0)</f>
        <v>70</v>
      </c>
      <c r="E183">
        <f t="shared" si="1"/>
        <v>40</v>
      </c>
      <c r="F183" s="1">
        <v>216.779</v>
      </c>
      <c r="G183" t="s">
        <v>341</v>
      </c>
      <c r="H183" s="1">
        <v>217.036</v>
      </c>
      <c r="I183" t="s">
        <v>342</v>
      </c>
      <c r="K183" t="s">
        <v>1701</v>
      </c>
      <c r="L183" s="36"/>
      <c r="M183" s="36"/>
    </row>
    <row r="184" spans="1:14" x14ac:dyDescent="0.25">
      <c r="A184" s="41" t="str">
        <f>Table1[[#This Row],[Route]]&amp;TEXT(Table1[[#This Row],[SegmentID]],"00")</f>
        <v>025A72</v>
      </c>
      <c r="B184" t="s">
        <v>310</v>
      </c>
      <c r="C184" s="3" t="s">
        <v>359</v>
      </c>
      <c r="D184">
        <f>IFERROR(ROUND(VLOOKUP(Table1[[#This Row],[Route]],SegmentsPerRoute!$C$3:$L$297,8,FALSE)+(Table1[[#This Row],[Sequence]]-1)*VLOOKUP(Table1[[#This Row],[Route]],SegmentsPerRoute!$C$3:$L$297,10,FALSE),0), 0)</f>
        <v>72</v>
      </c>
      <c r="E184">
        <f t="shared" si="1"/>
        <v>41</v>
      </c>
      <c r="F184" s="1">
        <v>217.036</v>
      </c>
      <c r="G184" t="s">
        <v>342</v>
      </c>
      <c r="H184" s="1">
        <v>223.04900000000001</v>
      </c>
      <c r="I184" t="s">
        <v>344</v>
      </c>
      <c r="K184" t="s">
        <v>1701</v>
      </c>
      <c r="L184" t="s">
        <v>2227</v>
      </c>
      <c r="M184" t="s">
        <v>2252</v>
      </c>
    </row>
    <row r="185" spans="1:14" x14ac:dyDescent="0.25">
      <c r="A185" s="41" t="str">
        <f>Table1[[#This Row],[Route]]&amp;TEXT(Table1[[#This Row],[SegmentID]],"00")</f>
        <v>025A74</v>
      </c>
      <c r="B185" t="s">
        <v>310</v>
      </c>
      <c r="C185" s="3" t="s">
        <v>359</v>
      </c>
      <c r="D185">
        <f>IFERROR(ROUND(VLOOKUP(Table1[[#This Row],[Route]],SegmentsPerRoute!$C$3:$L$297,8,FALSE)+(Table1[[#This Row],[Sequence]]-1)*VLOOKUP(Table1[[#This Row],[Route]],SegmentsPerRoute!$C$3:$L$297,10,FALSE),0), 0)</f>
        <v>74</v>
      </c>
      <c r="E185">
        <f t="shared" si="1"/>
        <v>42</v>
      </c>
      <c r="F185" s="1">
        <v>223.04900000000001</v>
      </c>
      <c r="G185" t="s">
        <v>344</v>
      </c>
      <c r="H185" s="1">
        <v>227.745</v>
      </c>
      <c r="I185" t="s">
        <v>345</v>
      </c>
      <c r="K185" t="s">
        <v>1701</v>
      </c>
      <c r="L185" t="s">
        <v>2227</v>
      </c>
      <c r="M185" t="s">
        <v>2252</v>
      </c>
      <c r="N185" t="s">
        <v>369</v>
      </c>
    </row>
    <row r="186" spans="1:14" x14ac:dyDescent="0.25">
      <c r="A186" s="41" t="str">
        <f>Table1[[#This Row],[Route]]&amp;TEXT(Table1[[#This Row],[SegmentID]],"00")</f>
        <v>025A76</v>
      </c>
      <c r="B186" t="s">
        <v>310</v>
      </c>
      <c r="C186" s="3" t="s">
        <v>359</v>
      </c>
      <c r="D186">
        <f>IFERROR(ROUND(VLOOKUP(Table1[[#This Row],[Route]],SegmentsPerRoute!$C$3:$L$297,8,FALSE)+(Table1[[#This Row],[Sequence]]-1)*VLOOKUP(Table1[[#This Row],[Route]],SegmentsPerRoute!$C$3:$L$297,10,FALSE),0), 0)</f>
        <v>76</v>
      </c>
      <c r="E186">
        <f t="shared" si="1"/>
        <v>43</v>
      </c>
      <c r="F186" s="1">
        <v>227.745</v>
      </c>
      <c r="G186" t="s">
        <v>345</v>
      </c>
      <c r="H186" s="1">
        <v>229.107</v>
      </c>
      <c r="I186" t="s">
        <v>346</v>
      </c>
      <c r="K186" t="s">
        <v>1701</v>
      </c>
      <c r="L186" t="s">
        <v>2228</v>
      </c>
      <c r="M186" t="s">
        <v>2251</v>
      </c>
    </row>
    <row r="187" spans="1:14" x14ac:dyDescent="0.25">
      <c r="A187" s="41" t="str">
        <f>Table1[[#This Row],[Route]]&amp;TEXT(Table1[[#This Row],[SegmentID]],"00")</f>
        <v>025A78</v>
      </c>
      <c r="B187" t="s">
        <v>310</v>
      </c>
      <c r="C187" s="3" t="s">
        <v>359</v>
      </c>
      <c r="D187">
        <f>IFERROR(ROUND(VLOOKUP(Table1[[#This Row],[Route]],SegmentsPerRoute!$C$3:$L$297,8,FALSE)+(Table1[[#This Row],[Sequence]]-1)*VLOOKUP(Table1[[#This Row],[Route]],SegmentsPerRoute!$C$3:$L$297,10,FALSE),0), 0)</f>
        <v>78</v>
      </c>
      <c r="E187">
        <f t="shared" si="1"/>
        <v>44</v>
      </c>
      <c r="F187" s="1">
        <v>229.107</v>
      </c>
      <c r="G187" t="s">
        <v>346</v>
      </c>
      <c r="H187" s="1">
        <v>235.114</v>
      </c>
      <c r="I187" t="s">
        <v>347</v>
      </c>
      <c r="K187" t="s">
        <v>1701</v>
      </c>
      <c r="L187" t="s">
        <v>2229</v>
      </c>
      <c r="M187" t="s">
        <v>2250</v>
      </c>
      <c r="N187" t="s">
        <v>370</v>
      </c>
    </row>
    <row r="188" spans="1:14" x14ac:dyDescent="0.25">
      <c r="A188" s="41" t="str">
        <f>Table1[[#This Row],[Route]]&amp;TEXT(Table1[[#This Row],[SegmentID]],"00")</f>
        <v>025A79</v>
      </c>
      <c r="B188" t="s">
        <v>310</v>
      </c>
      <c r="C188" s="3" t="s">
        <v>359</v>
      </c>
      <c r="D188">
        <f>IFERROR(ROUND(VLOOKUP(Table1[[#This Row],[Route]],SegmentsPerRoute!$C$3:$L$297,8,FALSE)+(Table1[[#This Row],[Sequence]]-1)*VLOOKUP(Table1[[#This Row],[Route]],SegmentsPerRoute!$C$3:$L$297,10,FALSE),0), 0)</f>
        <v>79</v>
      </c>
      <c r="E188">
        <f t="shared" si="1"/>
        <v>45</v>
      </c>
      <c r="F188" s="1">
        <v>235.114</v>
      </c>
      <c r="G188" t="s">
        <v>347</v>
      </c>
      <c r="H188" s="1">
        <v>240.114</v>
      </c>
      <c r="I188" t="s">
        <v>348</v>
      </c>
      <c r="K188" t="s">
        <v>1701</v>
      </c>
      <c r="L188" t="s">
        <v>2230</v>
      </c>
      <c r="M188" t="s">
        <v>2249</v>
      </c>
    </row>
    <row r="189" spans="1:14" x14ac:dyDescent="0.25">
      <c r="A189" s="41" t="str">
        <f>Table1[[#This Row],[Route]]&amp;TEXT(Table1[[#This Row],[SegmentID]],"00")</f>
        <v>025A81</v>
      </c>
      <c r="B189" t="s">
        <v>310</v>
      </c>
      <c r="C189" s="3" t="s">
        <v>359</v>
      </c>
      <c r="D189">
        <f>IFERROR(ROUND(VLOOKUP(Table1[[#This Row],[Route]],SegmentsPerRoute!$C$3:$L$297,8,FALSE)+(Table1[[#This Row],[Sequence]]-1)*VLOOKUP(Table1[[#This Row],[Route]],SegmentsPerRoute!$C$3:$L$297,10,FALSE),0), 0)</f>
        <v>81</v>
      </c>
      <c r="E189">
        <f t="shared" si="1"/>
        <v>46</v>
      </c>
      <c r="F189" s="1">
        <v>240.114</v>
      </c>
      <c r="G189" t="s">
        <v>348</v>
      </c>
      <c r="H189" s="1">
        <v>243.148</v>
      </c>
      <c r="I189" t="s">
        <v>349</v>
      </c>
      <c r="K189" t="s">
        <v>1701</v>
      </c>
      <c r="L189" t="s">
        <v>2231</v>
      </c>
      <c r="M189" t="s">
        <v>2248</v>
      </c>
      <c r="N189" t="s">
        <v>371</v>
      </c>
    </row>
    <row r="190" spans="1:14" x14ac:dyDescent="0.25">
      <c r="A190" s="41" t="str">
        <f>Table1[[#This Row],[Route]]&amp;TEXT(Table1[[#This Row],[SegmentID]],"00")</f>
        <v>025A83</v>
      </c>
      <c r="B190" t="s">
        <v>310</v>
      </c>
      <c r="C190" s="3" t="s">
        <v>359</v>
      </c>
      <c r="D190">
        <f>IFERROR(ROUND(VLOOKUP(Table1[[#This Row],[Route]],SegmentsPerRoute!$C$3:$L$297,8,FALSE)+(Table1[[#This Row],[Sequence]]-1)*VLOOKUP(Table1[[#This Row],[Route]],SegmentsPerRoute!$C$3:$L$297,10,FALSE),0), 0)</f>
        <v>83</v>
      </c>
      <c r="E190">
        <f t="shared" si="1"/>
        <v>47</v>
      </c>
      <c r="F190" s="1">
        <v>243.148</v>
      </c>
      <c r="G190" t="s">
        <v>349</v>
      </c>
      <c r="H190" s="1">
        <v>250.24100000000001</v>
      </c>
      <c r="I190" t="s">
        <v>350</v>
      </c>
      <c r="K190" t="s">
        <v>1701</v>
      </c>
      <c r="L190" t="s">
        <v>2232</v>
      </c>
      <c r="M190" t="s">
        <v>2247</v>
      </c>
      <c r="N190" t="s">
        <v>372</v>
      </c>
    </row>
    <row r="191" spans="1:14" x14ac:dyDescent="0.25">
      <c r="A191" s="41" t="str">
        <f>Table1[[#This Row],[Route]]&amp;TEXT(Table1[[#This Row],[SegmentID]],"00")</f>
        <v>025A85</v>
      </c>
      <c r="B191" t="s">
        <v>310</v>
      </c>
      <c r="C191" s="3" t="s">
        <v>359</v>
      </c>
      <c r="D191">
        <f>IFERROR(ROUND(VLOOKUP(Table1[[#This Row],[Route]],SegmentsPerRoute!$C$3:$L$297,8,FALSE)+(Table1[[#This Row],[Sequence]]-1)*VLOOKUP(Table1[[#This Row],[Route]],SegmentsPerRoute!$C$3:$L$297,10,FALSE),0), 0)</f>
        <v>85</v>
      </c>
      <c r="E191">
        <f t="shared" si="1"/>
        <v>48</v>
      </c>
      <c r="F191" s="1">
        <v>250.24100000000001</v>
      </c>
      <c r="G191" t="s">
        <v>350</v>
      </c>
      <c r="H191" s="1">
        <v>252.261</v>
      </c>
      <c r="I191" t="s">
        <v>351</v>
      </c>
      <c r="K191" t="s">
        <v>1701</v>
      </c>
      <c r="L191" t="s">
        <v>2233</v>
      </c>
      <c r="M191" t="s">
        <v>2246</v>
      </c>
    </row>
    <row r="192" spans="1:14" x14ac:dyDescent="0.25">
      <c r="A192" s="41" t="str">
        <f>Table1[[#This Row],[Route]]&amp;TEXT(Table1[[#This Row],[SegmentID]],"00")</f>
        <v>025A86</v>
      </c>
      <c r="B192" t="s">
        <v>310</v>
      </c>
      <c r="D192">
        <f>IFERROR(ROUND(VLOOKUP(Table1[[#This Row],[Route]],SegmentsPerRoute!$C$3:$L$297,8,FALSE)+(Table1[[#This Row],[Sequence]]-1)*VLOOKUP(Table1[[#This Row],[Route]],SegmentsPerRoute!$C$3:$L$297,10,FALSE),0), 0)</f>
        <v>86</v>
      </c>
      <c r="E192">
        <f t="shared" si="1"/>
        <v>49</v>
      </c>
      <c r="F192" s="1">
        <v>252.261</v>
      </c>
      <c r="G192" t="s">
        <v>351</v>
      </c>
      <c r="H192" s="1">
        <v>255.27199999999999</v>
      </c>
      <c r="I192" t="s">
        <v>352</v>
      </c>
      <c r="K192" t="s">
        <v>1694</v>
      </c>
      <c r="L192" t="s">
        <v>2234</v>
      </c>
      <c r="M192" t="s">
        <v>2245</v>
      </c>
    </row>
    <row r="193" spans="1:14" x14ac:dyDescent="0.25">
      <c r="A193" s="41" t="str">
        <f>Table1[[#This Row],[Route]]&amp;TEXT(Table1[[#This Row],[SegmentID]],"00")</f>
        <v>025A88</v>
      </c>
      <c r="B193" t="s">
        <v>310</v>
      </c>
      <c r="D193">
        <f>IFERROR(ROUND(VLOOKUP(Table1[[#This Row],[Route]],SegmentsPerRoute!$C$3:$L$297,8,FALSE)+(Table1[[#This Row],[Sequence]]-1)*VLOOKUP(Table1[[#This Row],[Route]],SegmentsPerRoute!$C$3:$L$297,10,FALSE),0), 0)</f>
        <v>88</v>
      </c>
      <c r="E193">
        <f t="shared" si="1"/>
        <v>50</v>
      </c>
      <c r="F193" s="1">
        <v>255.27199999999999</v>
      </c>
      <c r="G193" t="s">
        <v>352</v>
      </c>
      <c r="H193" s="1">
        <v>257.30500000000001</v>
      </c>
      <c r="I193" t="s">
        <v>353</v>
      </c>
      <c r="K193" t="s">
        <v>1694</v>
      </c>
      <c r="L193" t="s">
        <v>2235</v>
      </c>
      <c r="M193" t="s">
        <v>2244</v>
      </c>
      <c r="N193" t="s">
        <v>373</v>
      </c>
    </row>
    <row r="194" spans="1:14" x14ac:dyDescent="0.25">
      <c r="A194" s="41" t="str">
        <f>Table1[[#This Row],[Route]]&amp;TEXT(Table1[[#This Row],[SegmentID]],"00")</f>
        <v>025A90</v>
      </c>
      <c r="B194" t="s">
        <v>310</v>
      </c>
      <c r="D194">
        <f>IFERROR(ROUND(VLOOKUP(Table1[[#This Row],[Route]],SegmentsPerRoute!$C$3:$L$297,8,FALSE)+(Table1[[#This Row],[Sequence]]-1)*VLOOKUP(Table1[[#This Row],[Route]],SegmentsPerRoute!$C$3:$L$297,10,FALSE),0), 0)</f>
        <v>90</v>
      </c>
      <c r="E194">
        <f t="shared" si="1"/>
        <v>51</v>
      </c>
      <c r="F194" s="1">
        <v>257.30500000000001</v>
      </c>
      <c r="G194" t="s">
        <v>353</v>
      </c>
      <c r="H194" s="1">
        <v>262.298</v>
      </c>
      <c r="I194" t="s">
        <v>354</v>
      </c>
      <c r="K194" t="s">
        <v>1694</v>
      </c>
      <c r="L194" t="s">
        <v>2236</v>
      </c>
      <c r="M194" t="s">
        <v>2243</v>
      </c>
    </row>
    <row r="195" spans="1:14" x14ac:dyDescent="0.25">
      <c r="A195" s="41" t="str">
        <f>Table1[[#This Row],[Route]]&amp;TEXT(Table1[[#This Row],[SegmentID]],"00")</f>
        <v>025A94</v>
      </c>
      <c r="B195" t="s">
        <v>310</v>
      </c>
      <c r="D195">
        <f>IFERROR(ROUND(VLOOKUP(Table1[[#This Row],[Route]],SegmentsPerRoute!$C$3:$L$297,8,FALSE)+(Table1[[#This Row],[Sequence]]-1)*VLOOKUP(Table1[[#This Row],[Route]],SegmentsPerRoute!$C$3:$L$297,10,FALSE),0), 0)</f>
        <v>94</v>
      </c>
      <c r="E195">
        <v>53</v>
      </c>
      <c r="F195" s="1">
        <v>262.298</v>
      </c>
      <c r="G195" t="s">
        <v>354</v>
      </c>
      <c r="H195" s="1">
        <v>269.37</v>
      </c>
      <c r="I195" t="s">
        <v>355</v>
      </c>
      <c r="K195" t="s">
        <v>1694</v>
      </c>
      <c r="L195" t="s">
        <v>2237</v>
      </c>
      <c r="M195" t="s">
        <v>2242</v>
      </c>
      <c r="N195" t="s">
        <v>214</v>
      </c>
    </row>
    <row r="196" spans="1:14" x14ac:dyDescent="0.25">
      <c r="A196" s="41" t="str">
        <f>Table1[[#This Row],[Route]]&amp;TEXT(Table1[[#This Row],[SegmentID]],"00")</f>
        <v>025A95</v>
      </c>
      <c r="B196" t="s">
        <v>310</v>
      </c>
      <c r="D196">
        <f>IFERROR(ROUND(VLOOKUP(Table1[[#This Row],[Route]],SegmentsPerRoute!$C$3:$L$297,8,FALSE)+(Table1[[#This Row],[Sequence]]-1)*VLOOKUP(Table1[[#This Row],[Route]],SegmentsPerRoute!$C$3:$L$297,10,FALSE),0), 0)</f>
        <v>95</v>
      </c>
      <c r="E196">
        <f t="shared" si="1"/>
        <v>54</v>
      </c>
      <c r="F196" s="1">
        <v>269.37</v>
      </c>
      <c r="G196" t="s">
        <v>355</v>
      </c>
      <c r="H196" s="1">
        <v>277.88400000000001</v>
      </c>
      <c r="I196" t="s">
        <v>356</v>
      </c>
      <c r="K196" t="s">
        <v>1694</v>
      </c>
      <c r="L196" t="s">
        <v>2238</v>
      </c>
      <c r="M196" t="s">
        <v>2241</v>
      </c>
    </row>
    <row r="197" spans="1:14" x14ac:dyDescent="0.25">
      <c r="A197" s="41" t="str">
        <f>Table1[[#This Row],[Route]]&amp;TEXT(Table1[[#This Row],[SegmentID]],"00")</f>
        <v>025A97</v>
      </c>
      <c r="B197" t="s">
        <v>310</v>
      </c>
      <c r="D197">
        <f>IFERROR(ROUND(VLOOKUP(Table1[[#This Row],[Route]],SegmentsPerRoute!$C$3:$L$297,8,FALSE)+(Table1[[#This Row],[Sequence]]-1)*VLOOKUP(Table1[[#This Row],[Route]],SegmentsPerRoute!$C$3:$L$297,10,FALSE),0), 0)</f>
        <v>97</v>
      </c>
      <c r="E197">
        <f t="shared" si="1"/>
        <v>55</v>
      </c>
      <c r="F197" s="1">
        <v>277.88400000000001</v>
      </c>
      <c r="G197" t="s">
        <v>356</v>
      </c>
      <c r="H197" s="1">
        <v>298.87900000000002</v>
      </c>
      <c r="I197" t="s">
        <v>251</v>
      </c>
      <c r="K197" t="s">
        <v>1694</v>
      </c>
      <c r="L197" t="s">
        <v>2239</v>
      </c>
      <c r="M197" t="s">
        <v>2240</v>
      </c>
      <c r="N197" t="s">
        <v>374</v>
      </c>
    </row>
    <row r="198" spans="1:14" x14ac:dyDescent="0.25">
      <c r="A198" s="41" t="str">
        <f>Table1[[#This Row],[Route]]&amp;TEXT(Table1[[#This Row],[SegmentID]],"00")</f>
        <v>025B15</v>
      </c>
      <c r="B198" t="s">
        <v>375</v>
      </c>
      <c r="D198">
        <f>IFERROR(ROUND(VLOOKUP(Table1[[#This Row],[Route]],SegmentsPerRoute!$C$3:$L$297,8,FALSE)+(Table1[[#This Row],[Sequence]]-1)*VLOOKUP(Table1[[#This Row],[Route]],SegmentsPerRoute!$C$3:$L$297,10,FALSE),0), 0)</f>
        <v>15</v>
      </c>
      <c r="E198">
        <v>1</v>
      </c>
      <c r="F198" s="1">
        <v>0</v>
      </c>
      <c r="G198" t="s">
        <v>11</v>
      </c>
      <c r="H198" s="1">
        <v>1.948</v>
      </c>
      <c r="I198" t="s">
        <v>376</v>
      </c>
      <c r="J198" t="s">
        <v>21</v>
      </c>
      <c r="K198" t="s">
        <v>1709</v>
      </c>
    </row>
    <row r="199" spans="1:14" x14ac:dyDescent="0.25">
      <c r="A199" s="41" t="str">
        <f>Table1[[#This Row],[Route]]&amp;TEXT(Table1[[#This Row],[SegmentID]],"00")</f>
        <v>025C15</v>
      </c>
      <c r="B199" t="s">
        <v>377</v>
      </c>
      <c r="C199" s="3" t="s">
        <v>382</v>
      </c>
      <c r="D199">
        <f>IFERROR(ROUND(VLOOKUP(Table1[[#This Row],[Route]],SegmentsPerRoute!$C$3:$L$297,8,FALSE)+(Table1[[#This Row],[Sequence]]-1)*VLOOKUP(Table1[[#This Row],[Route]],SegmentsPerRoute!$C$3:$L$297,10,FALSE),0), 0)</f>
        <v>15</v>
      </c>
      <c r="E199">
        <v>1</v>
      </c>
      <c r="F199" s="1">
        <v>0</v>
      </c>
      <c r="G199" t="s">
        <v>171</v>
      </c>
      <c r="H199" s="1">
        <v>1.3660000000000001</v>
      </c>
      <c r="I199" t="s">
        <v>378</v>
      </c>
      <c r="K199" t="s">
        <v>1705</v>
      </c>
      <c r="L199" t="s">
        <v>2275</v>
      </c>
      <c r="M199" t="s">
        <v>2280</v>
      </c>
      <c r="N199" t="s">
        <v>364</v>
      </c>
    </row>
    <row r="200" spans="1:14" x14ac:dyDescent="0.25">
      <c r="A200" s="41" t="str">
        <f>Table1[[#This Row],[Route]]&amp;TEXT(Table1[[#This Row],[SegmentID]],"00")</f>
        <v>025C38</v>
      </c>
      <c r="B200" t="s">
        <v>377</v>
      </c>
      <c r="C200" s="3" t="s">
        <v>382</v>
      </c>
      <c r="D200">
        <f>IFERROR(ROUND(VLOOKUP(Table1[[#This Row],[Route]],SegmentsPerRoute!$C$3:$L$297,8,FALSE)+(Table1[[#This Row],[Sequence]]-1)*VLOOKUP(Table1[[#This Row],[Route]],SegmentsPerRoute!$C$3:$L$297,10,FALSE),0), 0)</f>
        <v>38</v>
      </c>
      <c r="E200">
        <v>2</v>
      </c>
      <c r="F200" s="1">
        <v>1.3660000000000001</v>
      </c>
      <c r="G200" t="s">
        <v>378</v>
      </c>
      <c r="H200" s="1">
        <v>1.51</v>
      </c>
      <c r="I200" t="s">
        <v>379</v>
      </c>
      <c r="K200" t="s">
        <v>1705</v>
      </c>
      <c r="L200" t="s">
        <v>2275</v>
      </c>
      <c r="M200" t="s">
        <v>2280</v>
      </c>
    </row>
    <row r="201" spans="1:14" x14ac:dyDescent="0.25">
      <c r="A201" s="41" t="str">
        <f>Table1[[#This Row],[Route]]&amp;TEXT(Table1[[#This Row],[SegmentID]],"00")</f>
        <v>025C62</v>
      </c>
      <c r="B201" t="s">
        <v>377</v>
      </c>
      <c r="C201" s="3" t="s">
        <v>383</v>
      </c>
      <c r="D201">
        <f>IFERROR(ROUND(VLOOKUP(Table1[[#This Row],[Route]],SegmentsPerRoute!$C$3:$L$297,8,FALSE)+(Table1[[#This Row],[Sequence]]-1)*VLOOKUP(Table1[[#This Row],[Route]],SegmentsPerRoute!$C$3:$L$297,10,FALSE),0), 0)</f>
        <v>62</v>
      </c>
      <c r="E201">
        <v>3</v>
      </c>
      <c r="F201" s="1">
        <v>1.51</v>
      </c>
      <c r="G201" t="s">
        <v>379</v>
      </c>
      <c r="H201" s="1">
        <v>3.6429999999999998</v>
      </c>
      <c r="I201" t="s">
        <v>380</v>
      </c>
      <c r="K201" t="s">
        <v>1705</v>
      </c>
      <c r="L201" t="s">
        <v>2276</v>
      </c>
      <c r="M201" t="s">
        <v>2279</v>
      </c>
    </row>
    <row r="202" spans="1:14" x14ac:dyDescent="0.25">
      <c r="A202" s="41" t="str">
        <f>Table1[[#This Row],[Route]]&amp;TEXT(Table1[[#This Row],[SegmentID]],"00")</f>
        <v>025C85</v>
      </c>
      <c r="B202" t="s">
        <v>377</v>
      </c>
      <c r="C202" s="3" t="s">
        <v>360</v>
      </c>
      <c r="D202">
        <f>IFERROR(ROUND(VLOOKUP(Table1[[#This Row],[Route]],SegmentsPerRoute!$C$3:$L$297,8,FALSE)+(Table1[[#This Row],[Sequence]]-1)*VLOOKUP(Table1[[#This Row],[Route]],SegmentsPerRoute!$C$3:$L$297,10,FALSE),0), 0)</f>
        <v>85</v>
      </c>
      <c r="E202">
        <v>4</v>
      </c>
      <c r="F202" s="1">
        <v>3.6429999999999998</v>
      </c>
      <c r="G202" t="s">
        <v>380</v>
      </c>
      <c r="H202" s="1">
        <v>4.0389999999999997</v>
      </c>
      <c r="I202" t="s">
        <v>381</v>
      </c>
      <c r="K202" t="s">
        <v>1705</v>
      </c>
      <c r="L202" t="s">
        <v>2277</v>
      </c>
      <c r="M202" t="s">
        <v>2278</v>
      </c>
    </row>
    <row r="203" spans="1:14" x14ac:dyDescent="0.25">
      <c r="A203" s="41" t="str">
        <f>Table1[[#This Row],[Route]]&amp;TEXT(Table1[[#This Row],[SegmentID]],"00")</f>
        <v>026B15</v>
      </c>
      <c r="B203" t="s">
        <v>384</v>
      </c>
      <c r="D203">
        <f>IFERROR(ROUND(VLOOKUP(Table1[[#This Row],[Route]],SegmentsPerRoute!$C$3:$L$297,8,FALSE)+(Table1[[#This Row],[Sequence]]-1)*VLOOKUP(Table1[[#This Row],[Route]],SegmentsPerRoute!$C$3:$L$297,10,FALSE),0), 0)</f>
        <v>15</v>
      </c>
      <c r="E203">
        <v>1</v>
      </c>
      <c r="F203" s="1">
        <v>11.17</v>
      </c>
      <c r="G203" t="s">
        <v>74</v>
      </c>
      <c r="H203" s="1">
        <v>12.699</v>
      </c>
      <c r="I203" t="s">
        <v>75</v>
      </c>
      <c r="K203" t="s">
        <v>1690</v>
      </c>
      <c r="L203" t="s">
        <v>2281</v>
      </c>
      <c r="M203" t="s">
        <v>2282</v>
      </c>
      <c r="N203" t="s">
        <v>77</v>
      </c>
    </row>
    <row r="204" spans="1:14" x14ac:dyDescent="0.25">
      <c r="A204" s="41" t="str">
        <f>Table1[[#This Row],[Route]]&amp;TEXT(Table1[[#This Row],[SegmentID]],"00")</f>
        <v>026B85</v>
      </c>
      <c r="B204" t="s">
        <v>384</v>
      </c>
      <c r="D204">
        <f>IFERROR(ROUND(VLOOKUP(Table1[[#This Row],[Route]],SegmentsPerRoute!$C$3:$L$297,8,FALSE)+(Table1[[#This Row],[Sequence]]-1)*VLOOKUP(Table1[[#This Row],[Route]],SegmentsPerRoute!$C$3:$L$297,10,FALSE),0), 0)</f>
        <v>85</v>
      </c>
      <c r="E204">
        <v>2</v>
      </c>
      <c r="F204" s="1">
        <v>12.699</v>
      </c>
      <c r="G204" t="s">
        <v>75</v>
      </c>
      <c r="H204" s="1">
        <v>14.14</v>
      </c>
      <c r="I204" t="s">
        <v>11</v>
      </c>
      <c r="K204" t="s">
        <v>1690</v>
      </c>
      <c r="L204" t="s">
        <v>2281</v>
      </c>
      <c r="M204" t="s">
        <v>2282</v>
      </c>
    </row>
    <row r="205" spans="1:14" x14ac:dyDescent="0.25">
      <c r="A205" s="41" t="str">
        <f>Table1[[#This Row],[Route]]&amp;TEXT(Table1[[#This Row],[SegmentID]],"00")</f>
        <v>030A15</v>
      </c>
      <c r="B205" t="s">
        <v>385</v>
      </c>
      <c r="C205" s="3" t="s">
        <v>390</v>
      </c>
      <c r="D205">
        <f>IFERROR(ROUND(VLOOKUP(Table1[[#This Row],[Route]],SegmentsPerRoute!$C$3:$L$297,8,FALSE)+(Table1[[#This Row],[Sequence]]-1)*VLOOKUP(Table1[[#This Row],[Route]],SegmentsPerRoute!$C$3:$L$297,10,FALSE),0), 0)</f>
        <v>15</v>
      </c>
      <c r="E205">
        <v>1</v>
      </c>
      <c r="F205" s="1">
        <v>8.3000000000000004E-2</v>
      </c>
      <c r="G205" t="s">
        <v>386</v>
      </c>
      <c r="H205" s="1">
        <v>3.831</v>
      </c>
      <c r="I205" t="s">
        <v>387</v>
      </c>
      <c r="K205" t="s">
        <v>1705</v>
      </c>
      <c r="L205" t="s">
        <v>2283</v>
      </c>
      <c r="M205" t="s">
        <v>2286</v>
      </c>
      <c r="N205" t="s">
        <v>392</v>
      </c>
    </row>
    <row r="206" spans="1:14" x14ac:dyDescent="0.25">
      <c r="A206" s="41" t="str">
        <f>Table1[[#This Row],[Route]]&amp;TEXT(Table1[[#This Row],[SegmentID]],"00")</f>
        <v>030A33</v>
      </c>
      <c r="B206" t="s">
        <v>385</v>
      </c>
      <c r="C206" s="3" t="s">
        <v>391</v>
      </c>
      <c r="D206">
        <f>IFERROR(ROUND(VLOOKUP(Table1[[#This Row],[Route]],SegmentsPerRoute!$C$3:$L$297,8,FALSE)+(Table1[[#This Row],[Sequence]]-1)*VLOOKUP(Table1[[#This Row],[Route]],SegmentsPerRoute!$C$3:$L$297,10,FALSE),0), 0)</f>
        <v>33</v>
      </c>
      <c r="E206">
        <v>2</v>
      </c>
      <c r="F206" s="1">
        <v>3.831</v>
      </c>
      <c r="G206" t="s">
        <v>387</v>
      </c>
      <c r="H206" s="1">
        <v>9.9719999999999995</v>
      </c>
      <c r="I206" t="s">
        <v>332</v>
      </c>
      <c r="J206" t="s">
        <v>4601</v>
      </c>
      <c r="K206" t="s">
        <v>1705</v>
      </c>
    </row>
    <row r="207" spans="1:14" x14ac:dyDescent="0.25">
      <c r="A207" s="41" t="str">
        <f>Table1[[#This Row],[Route]]&amp;TEXT(Table1[[#This Row],[SegmentID]],"00")</f>
        <v>030A68</v>
      </c>
      <c r="B207" t="s">
        <v>385</v>
      </c>
      <c r="C207" s="3" t="s">
        <v>2038</v>
      </c>
      <c r="D207">
        <f>IFERROR(ROUND(VLOOKUP(Table1[[#This Row],[Route]],SegmentsPerRoute!$C$3:$L$297,8,FALSE)+(Table1[[#This Row],[Sequence]]-1)*VLOOKUP(Table1[[#This Row],[Route]],SegmentsPerRoute!$C$3:$L$297,10,FALSE),0), 0)</f>
        <v>68</v>
      </c>
      <c r="E207">
        <v>4</v>
      </c>
      <c r="F207" s="1">
        <v>9.9719999999999995</v>
      </c>
      <c r="G207" t="s">
        <v>332</v>
      </c>
      <c r="H207" s="1">
        <v>17.314</v>
      </c>
      <c r="I207" t="s">
        <v>388</v>
      </c>
      <c r="K207" t="s">
        <v>2040</v>
      </c>
      <c r="L207" t="s">
        <v>2284</v>
      </c>
      <c r="M207" t="s">
        <v>2285</v>
      </c>
      <c r="N207" t="s">
        <v>393</v>
      </c>
    </row>
    <row r="208" spans="1:14" x14ac:dyDescent="0.25">
      <c r="A208" s="41" t="str">
        <f>Table1[[#This Row],[Route]]&amp;TEXT(Table1[[#This Row],[SegmentID]],"00")</f>
        <v>030A85</v>
      </c>
      <c r="B208" t="s">
        <v>385</v>
      </c>
      <c r="C208" s="3" t="s">
        <v>2039</v>
      </c>
      <c r="D208">
        <f>IFERROR(ROUND(VLOOKUP(Table1[[#This Row],[Route]],SegmentsPerRoute!$C$3:$L$297,8,FALSE)+(Table1[[#This Row],[Sequence]]-1)*VLOOKUP(Table1[[#This Row],[Route]],SegmentsPerRoute!$C$3:$L$297,10,FALSE),0), 0)</f>
        <v>85</v>
      </c>
      <c r="E208">
        <v>5</v>
      </c>
      <c r="F208" s="1">
        <v>17.314</v>
      </c>
      <c r="G208" t="s">
        <v>388</v>
      </c>
      <c r="H208" s="1">
        <v>20.416</v>
      </c>
      <c r="I208" t="s">
        <v>389</v>
      </c>
      <c r="J208" t="s">
        <v>4621</v>
      </c>
      <c r="K208" t="s">
        <v>2040</v>
      </c>
    </row>
    <row r="209" spans="1:14" x14ac:dyDescent="0.25">
      <c r="A209" s="41" t="str">
        <f>Table1[[#This Row],[Route]]&amp;TEXT(Table1[[#This Row],[SegmentID]],"00")</f>
        <v>034A15</v>
      </c>
      <c r="B209" t="s">
        <v>394</v>
      </c>
      <c r="C209" s="3" t="s">
        <v>407</v>
      </c>
      <c r="D209">
        <f>IFERROR(ROUND(VLOOKUP(Table1[[#This Row],[Route]],SegmentsPerRoute!$C$3:$L$297,8,FALSE)+(Table1[[#This Row],[Sequence]]-1)*VLOOKUP(Table1[[#This Row],[Route]],SegmentsPerRoute!$C$3:$L$297,10,FALSE),0), 0)</f>
        <v>15</v>
      </c>
      <c r="E209">
        <v>1</v>
      </c>
      <c r="F209" s="1">
        <v>0</v>
      </c>
      <c r="G209" t="s">
        <v>526</v>
      </c>
      <c r="H209" s="1">
        <v>53.758000000000003</v>
      </c>
      <c r="I209" t="s">
        <v>395</v>
      </c>
      <c r="K209" t="s">
        <v>1702</v>
      </c>
      <c r="L209" t="s">
        <v>2287</v>
      </c>
      <c r="M209" t="s">
        <v>2307</v>
      </c>
      <c r="N209" t="s">
        <v>48</v>
      </c>
    </row>
    <row r="210" spans="1:14" x14ac:dyDescent="0.25">
      <c r="A210" s="41" t="str">
        <f>Table1[[#This Row],[Route]]&amp;TEXT(Table1[[#This Row],[SegmentID]],"00")</f>
        <v>034A20</v>
      </c>
      <c r="B210" t="s">
        <v>394</v>
      </c>
      <c r="C210" s="3" t="s">
        <v>408</v>
      </c>
      <c r="D210">
        <f>IFERROR(ROUND(VLOOKUP(Table1[[#This Row],[Route]],SegmentsPerRoute!$C$3:$L$297,8,FALSE)+(Table1[[#This Row],[Sequence]]-1)*VLOOKUP(Table1[[#This Row],[Route]],SegmentsPerRoute!$C$3:$L$297,10,FALSE),0), 0)</f>
        <v>20</v>
      </c>
      <c r="E210">
        <v>2</v>
      </c>
      <c r="F210" s="1">
        <v>53.758000000000003</v>
      </c>
      <c r="G210" t="s">
        <v>395</v>
      </c>
      <c r="H210" s="1">
        <v>60.965000000000003</v>
      </c>
      <c r="I210" t="s">
        <v>396</v>
      </c>
      <c r="K210" t="s">
        <v>1702</v>
      </c>
      <c r="L210" t="s">
        <v>2288</v>
      </c>
      <c r="M210" t="s">
        <v>2306</v>
      </c>
      <c r="N210" t="s">
        <v>411</v>
      </c>
    </row>
    <row r="211" spans="1:14" x14ac:dyDescent="0.25">
      <c r="A211" s="41" t="str">
        <f>Table1[[#This Row],[Route]]&amp;TEXT(Table1[[#This Row],[SegmentID]],"00")</f>
        <v>034A26</v>
      </c>
      <c r="B211" t="s">
        <v>394</v>
      </c>
      <c r="C211" s="3" t="s">
        <v>409</v>
      </c>
      <c r="D211">
        <f>IFERROR(ROUND(VLOOKUP(Table1[[#This Row],[Route]],SegmentsPerRoute!$C$3:$L$297,8,FALSE)+(Table1[[#This Row],[Sequence]]-1)*VLOOKUP(Table1[[#This Row],[Route]],SegmentsPerRoute!$C$3:$L$297,10,FALSE),0), 0)</f>
        <v>26</v>
      </c>
      <c r="E211">
        <v>3</v>
      </c>
      <c r="F211" s="1">
        <v>60.965000000000003</v>
      </c>
      <c r="G211" t="s">
        <v>396</v>
      </c>
      <c r="H211" s="1">
        <v>62.506999999999998</v>
      </c>
      <c r="I211" t="s">
        <v>397</v>
      </c>
      <c r="K211" t="s">
        <v>1702</v>
      </c>
      <c r="L211" t="s">
        <v>2289</v>
      </c>
      <c r="M211" t="s">
        <v>2305</v>
      </c>
      <c r="N211" t="s">
        <v>412</v>
      </c>
    </row>
    <row r="212" spans="1:14" x14ac:dyDescent="0.25">
      <c r="A212" s="41" t="str">
        <f>Table1[[#This Row],[Route]]&amp;TEXT(Table1[[#This Row],[SegmentID]],"00")</f>
        <v>034A31</v>
      </c>
      <c r="B212" t="s">
        <v>394</v>
      </c>
      <c r="C212" s="3" t="s">
        <v>409</v>
      </c>
      <c r="D212">
        <f>IFERROR(ROUND(VLOOKUP(Table1[[#This Row],[Route]],SegmentsPerRoute!$C$3:$L$297,8,FALSE)+(Table1[[#This Row],[Sequence]]-1)*VLOOKUP(Table1[[#This Row],[Route]],SegmentsPerRoute!$C$3:$L$297,10,FALSE),0), 0)</f>
        <v>31</v>
      </c>
      <c r="E212">
        <v>4</v>
      </c>
      <c r="F212" s="1">
        <v>62.506999999999998</v>
      </c>
      <c r="G212" t="s">
        <v>397</v>
      </c>
      <c r="H212" s="1">
        <v>91.924000000000007</v>
      </c>
      <c r="I212" t="s">
        <v>398</v>
      </c>
      <c r="K212" t="s">
        <v>1702</v>
      </c>
      <c r="L212" t="s">
        <v>2290</v>
      </c>
      <c r="M212" t="s">
        <v>2304</v>
      </c>
      <c r="N212" t="s">
        <v>373</v>
      </c>
    </row>
    <row r="213" spans="1:14" x14ac:dyDescent="0.25">
      <c r="A213" s="41" t="str">
        <f>Table1[[#This Row],[Route]]&amp;TEXT(Table1[[#This Row],[SegmentID]],"00")</f>
        <v>034A37</v>
      </c>
      <c r="B213" t="s">
        <v>394</v>
      </c>
      <c r="C213" s="3" t="s">
        <v>409</v>
      </c>
      <c r="D213">
        <f>IFERROR(ROUND(VLOOKUP(Table1[[#This Row],[Route]],SegmentsPerRoute!$C$3:$L$297,8,FALSE)+(Table1[[#This Row],[Sequence]]-1)*VLOOKUP(Table1[[#This Row],[Route]],SegmentsPerRoute!$C$3:$L$297,10,FALSE),0), 0)</f>
        <v>37</v>
      </c>
      <c r="E213">
        <v>5</v>
      </c>
      <c r="F213" s="1">
        <v>91.924000000000007</v>
      </c>
      <c r="G213" t="s">
        <v>398</v>
      </c>
      <c r="H213" s="1">
        <v>92.009</v>
      </c>
      <c r="I213" t="s">
        <v>399</v>
      </c>
      <c r="K213" t="s">
        <v>1702</v>
      </c>
      <c r="L213" t="s">
        <v>2291</v>
      </c>
      <c r="M213" t="s">
        <v>2303</v>
      </c>
    </row>
    <row r="214" spans="1:14" x14ac:dyDescent="0.25">
      <c r="A214" s="41" t="str">
        <f>Table1[[#This Row],[Route]]&amp;TEXT(Table1[[#This Row],[SegmentID]],"00")</f>
        <v>034A42</v>
      </c>
      <c r="B214" t="s">
        <v>394</v>
      </c>
      <c r="C214" s="3" t="s">
        <v>409</v>
      </c>
      <c r="D214">
        <f>IFERROR(ROUND(VLOOKUP(Table1[[#This Row],[Route]],SegmentsPerRoute!$C$3:$L$297,8,FALSE)+(Table1[[#This Row],[Sequence]]-1)*VLOOKUP(Table1[[#This Row],[Route]],SegmentsPerRoute!$C$3:$L$297,10,FALSE),0), 0)</f>
        <v>42</v>
      </c>
      <c r="E214">
        <v>6</v>
      </c>
      <c r="F214" s="1">
        <v>92.009</v>
      </c>
      <c r="G214" t="s">
        <v>399</v>
      </c>
      <c r="H214" s="1">
        <v>96.25</v>
      </c>
      <c r="I214" t="s">
        <v>400</v>
      </c>
      <c r="K214" t="s">
        <v>1702</v>
      </c>
      <c r="L214" t="s">
        <v>2292</v>
      </c>
      <c r="M214" t="s">
        <v>2302</v>
      </c>
    </row>
    <row r="215" spans="1:14" x14ac:dyDescent="0.25">
      <c r="A215" s="41" t="str">
        <f>Table1[[#This Row],[Route]]&amp;TEXT(Table1[[#This Row],[SegmentID]],"00")</f>
        <v>034A47</v>
      </c>
      <c r="B215" t="s">
        <v>394</v>
      </c>
      <c r="C215" s="3" t="s">
        <v>410</v>
      </c>
      <c r="D215">
        <f>IFERROR(ROUND(VLOOKUP(Table1[[#This Row],[Route]],SegmentsPerRoute!$C$3:$L$297,8,FALSE)+(Table1[[#This Row],[Sequence]]-1)*VLOOKUP(Table1[[#This Row],[Route]],SegmentsPerRoute!$C$3:$L$297,10,FALSE),0), 0)</f>
        <v>47</v>
      </c>
      <c r="E215">
        <v>7</v>
      </c>
      <c r="F215" s="1">
        <v>96.25</v>
      </c>
      <c r="G215" t="s">
        <v>400</v>
      </c>
      <c r="H215" s="1">
        <v>102.476</v>
      </c>
      <c r="I215" t="s">
        <v>401</v>
      </c>
      <c r="K215" t="s">
        <v>1704</v>
      </c>
      <c r="L215" t="s">
        <v>2293</v>
      </c>
      <c r="M215" t="s">
        <v>2301</v>
      </c>
    </row>
    <row r="216" spans="1:14" x14ac:dyDescent="0.25">
      <c r="A216" s="41" t="str">
        <f>Table1[[#This Row],[Route]]&amp;TEXT(Table1[[#This Row],[SegmentID]],"00")</f>
        <v>034A53</v>
      </c>
      <c r="B216" t="s">
        <v>394</v>
      </c>
      <c r="C216" s="3" t="s">
        <v>410</v>
      </c>
      <c r="D216">
        <f>IFERROR(ROUND(VLOOKUP(Table1[[#This Row],[Route]],SegmentsPerRoute!$C$3:$L$297,8,FALSE)+(Table1[[#This Row],[Sequence]]-1)*VLOOKUP(Table1[[#This Row],[Route]],SegmentsPerRoute!$C$3:$L$297,10,FALSE),0), 0)</f>
        <v>53</v>
      </c>
      <c r="E216">
        <v>8</v>
      </c>
      <c r="F216" s="1">
        <v>102.476</v>
      </c>
      <c r="G216" t="s">
        <v>401</v>
      </c>
      <c r="H216" s="1">
        <v>102.804</v>
      </c>
      <c r="I216" t="s">
        <v>215</v>
      </c>
      <c r="K216" t="s">
        <v>1704</v>
      </c>
      <c r="L216" t="s">
        <v>2293</v>
      </c>
      <c r="M216" t="s">
        <v>2300</v>
      </c>
    </row>
    <row r="217" spans="1:14" x14ac:dyDescent="0.25">
      <c r="A217" s="41" t="str">
        <f>Table1[[#This Row],[Route]]&amp;TEXT(Table1[[#This Row],[SegmentID]],"00")</f>
        <v>034A58</v>
      </c>
      <c r="B217" t="s">
        <v>394</v>
      </c>
      <c r="C217" s="3" t="s">
        <v>410</v>
      </c>
      <c r="D217">
        <f>IFERROR(ROUND(VLOOKUP(Table1[[#This Row],[Route]],SegmentsPerRoute!$C$3:$L$297,8,FALSE)+(Table1[[#This Row],[Sequence]]-1)*VLOOKUP(Table1[[#This Row],[Route]],SegmentsPerRoute!$C$3:$L$297,10,FALSE),0), 0)</f>
        <v>58</v>
      </c>
      <c r="E217">
        <v>9</v>
      </c>
      <c r="F217" s="1">
        <v>102.804</v>
      </c>
      <c r="G217" t="s">
        <v>215</v>
      </c>
      <c r="H217" s="1">
        <v>112.77200000000001</v>
      </c>
      <c r="I217" t="s">
        <v>402</v>
      </c>
      <c r="K217" t="s">
        <v>1704</v>
      </c>
      <c r="L217" t="s">
        <v>2294</v>
      </c>
      <c r="M217" t="s">
        <v>2300</v>
      </c>
    </row>
    <row r="218" spans="1:14" x14ac:dyDescent="0.25">
      <c r="A218" s="41" t="str">
        <f>Table1[[#This Row],[Route]]&amp;TEXT(Table1[[#This Row],[SegmentID]],"00")</f>
        <v>034A64</v>
      </c>
      <c r="B218" t="s">
        <v>394</v>
      </c>
      <c r="C218" s="3" t="s">
        <v>410</v>
      </c>
      <c r="D218">
        <f>IFERROR(ROUND(VLOOKUP(Table1[[#This Row],[Route]],SegmentsPerRoute!$C$3:$L$297,8,FALSE)+(Table1[[#This Row],[Sequence]]-1)*VLOOKUP(Table1[[#This Row],[Route]],SegmentsPerRoute!$C$3:$L$297,10,FALSE),0), 0)</f>
        <v>64</v>
      </c>
      <c r="E218">
        <v>10</v>
      </c>
      <c r="F218" s="1">
        <v>112.77200000000001</v>
      </c>
      <c r="G218" t="s">
        <v>402</v>
      </c>
      <c r="H218" s="1">
        <v>113.136</v>
      </c>
      <c r="I218" t="s">
        <v>403</v>
      </c>
      <c r="J218" t="s">
        <v>913</v>
      </c>
      <c r="K218" t="s">
        <v>1704</v>
      </c>
      <c r="L218" s="36"/>
      <c r="M218" s="36"/>
    </row>
    <row r="219" spans="1:14" x14ac:dyDescent="0.25">
      <c r="A219" s="41" t="str">
        <f>Table1[[#This Row],[Route]]&amp;TEXT(Table1[[#This Row],[SegmentID]],"00")</f>
        <v>034A69</v>
      </c>
      <c r="B219" t="s">
        <v>394</v>
      </c>
      <c r="C219" s="3" t="s">
        <v>410</v>
      </c>
      <c r="D219">
        <f>IFERROR(ROUND(VLOOKUP(Table1[[#This Row],[Route]],SegmentsPerRoute!$C$3:$L$297,8,FALSE)+(Table1[[#This Row],[Sequence]]-1)*VLOOKUP(Table1[[#This Row],[Route]],SegmentsPerRoute!$C$3:$L$297,10,FALSE),0), 0)</f>
        <v>69</v>
      </c>
      <c r="E219">
        <v>11</v>
      </c>
      <c r="F219" s="1">
        <v>113.136</v>
      </c>
      <c r="G219" t="s">
        <v>403</v>
      </c>
      <c r="H219" s="1">
        <v>115.411</v>
      </c>
      <c r="I219" t="s">
        <v>401</v>
      </c>
      <c r="K219" t="s">
        <v>1704</v>
      </c>
      <c r="L219" t="s">
        <v>2295</v>
      </c>
      <c r="M219" t="s">
        <v>2299</v>
      </c>
      <c r="N219" t="s">
        <v>77</v>
      </c>
    </row>
    <row r="220" spans="1:14" x14ac:dyDescent="0.25">
      <c r="A220" s="41" t="str">
        <f>Table1[[#This Row],[Route]]&amp;TEXT(Table1[[#This Row],[SegmentID]],"00")</f>
        <v>034A74</v>
      </c>
      <c r="B220" t="s">
        <v>394</v>
      </c>
      <c r="C220" s="3" t="s">
        <v>410</v>
      </c>
      <c r="D220">
        <f>IFERROR(ROUND(VLOOKUP(Table1[[#This Row],[Route]],SegmentsPerRoute!$C$3:$L$297,8,FALSE)+(Table1[[#This Row],[Sequence]]-1)*VLOOKUP(Table1[[#This Row],[Route]],SegmentsPerRoute!$C$3:$L$297,10,FALSE),0), 0)</f>
        <v>74</v>
      </c>
      <c r="E220">
        <v>12</v>
      </c>
      <c r="F220" s="1">
        <v>115.411</v>
      </c>
      <c r="G220" t="s">
        <v>401</v>
      </c>
      <c r="H220" s="1">
        <v>144.47</v>
      </c>
      <c r="I220" t="s">
        <v>404</v>
      </c>
      <c r="K220" t="s">
        <v>1704</v>
      </c>
      <c r="L220" t="s">
        <v>2293</v>
      </c>
      <c r="M220" t="s">
        <v>2298</v>
      </c>
      <c r="N220" t="s">
        <v>77</v>
      </c>
    </row>
    <row r="221" spans="1:14" x14ac:dyDescent="0.25">
      <c r="A221" s="41" t="str">
        <f>Table1[[#This Row],[Route]]&amp;TEXT(Table1[[#This Row],[SegmentID]],"00")</f>
        <v>034A80</v>
      </c>
      <c r="B221" t="s">
        <v>394</v>
      </c>
      <c r="C221" s="3" t="s">
        <v>410</v>
      </c>
      <c r="D221">
        <f>IFERROR(ROUND(VLOOKUP(Table1[[#This Row],[Route]],SegmentsPerRoute!$C$3:$L$297,8,FALSE)+(Table1[[#This Row],[Sequence]]-1)*VLOOKUP(Table1[[#This Row],[Route]],SegmentsPerRoute!$C$3:$L$297,10,FALSE),0), 0)</f>
        <v>80</v>
      </c>
      <c r="E221">
        <v>13</v>
      </c>
      <c r="F221" s="1">
        <v>144.47</v>
      </c>
      <c r="G221" t="s">
        <v>404</v>
      </c>
      <c r="H221" s="1">
        <v>149.16399999999999</v>
      </c>
      <c r="I221" t="s">
        <v>405</v>
      </c>
      <c r="K221" t="s">
        <v>1704</v>
      </c>
      <c r="L221" t="s">
        <v>2296</v>
      </c>
      <c r="M221" t="s">
        <v>2297</v>
      </c>
    </row>
    <row r="222" spans="1:14" x14ac:dyDescent="0.25">
      <c r="A222" s="41" t="str">
        <f>Table1[[#This Row],[Route]]&amp;TEXT(Table1[[#This Row],[SegmentID]],"00")</f>
        <v>034A85</v>
      </c>
      <c r="B222" t="s">
        <v>394</v>
      </c>
      <c r="C222" s="3" t="s">
        <v>410</v>
      </c>
      <c r="D222">
        <f>IFERROR(ROUND(VLOOKUP(Table1[[#This Row],[Route]],SegmentsPerRoute!$C$3:$L$297,8,FALSE)+(Table1[[#This Row],[Sequence]]-1)*VLOOKUP(Table1[[#This Row],[Route]],SegmentsPerRoute!$C$3:$L$297,10,FALSE),0), 0)</f>
        <v>85</v>
      </c>
      <c r="E222">
        <v>14</v>
      </c>
      <c r="F222" s="1">
        <v>149.16399999999999</v>
      </c>
      <c r="G222" t="s">
        <v>405</v>
      </c>
      <c r="H222" s="1">
        <v>149.63300000000001</v>
      </c>
      <c r="I222" t="s">
        <v>406</v>
      </c>
      <c r="J222" t="s">
        <v>913</v>
      </c>
      <c r="K222" t="s">
        <v>1704</v>
      </c>
      <c r="L222" s="36"/>
      <c r="M222" s="36"/>
    </row>
    <row r="223" spans="1:14" x14ac:dyDescent="0.25">
      <c r="A223" s="41" t="str">
        <f>Table1[[#This Row],[Route]]&amp;TEXT(Table1[[#This Row],[SegmentID]],"00")</f>
        <v>034B15</v>
      </c>
      <c r="B223" t="s">
        <v>413</v>
      </c>
      <c r="C223" s="3" t="s">
        <v>424</v>
      </c>
      <c r="D223">
        <f>IFERROR(ROUND(VLOOKUP(Table1[[#This Row],[Route]],SegmentsPerRoute!$C$3:$L$297,8,FALSE)+(Table1[[#This Row],[Sequence]]-1)*VLOOKUP(Table1[[#This Row],[Route]],SegmentsPerRoute!$C$3:$L$297,10,FALSE),0), 0)</f>
        <v>15</v>
      </c>
      <c r="E223">
        <v>1</v>
      </c>
      <c r="F223" s="1">
        <v>158.48500000000001</v>
      </c>
      <c r="G223" t="s">
        <v>414</v>
      </c>
      <c r="H223" s="1">
        <v>162.96199999999999</v>
      </c>
      <c r="I223" t="s">
        <v>415</v>
      </c>
      <c r="J223" t="s">
        <v>4597</v>
      </c>
      <c r="K223" t="s">
        <v>1707</v>
      </c>
    </row>
    <row r="224" spans="1:14" x14ac:dyDescent="0.25">
      <c r="A224" s="41" t="str">
        <f>Table1[[#This Row],[Route]]&amp;TEXT(Table1[[#This Row],[SegmentID]],"00")</f>
        <v>034B26</v>
      </c>
      <c r="B224" t="s">
        <v>413</v>
      </c>
      <c r="C224" s="3" t="s">
        <v>425</v>
      </c>
      <c r="D224">
        <f>IFERROR(ROUND(VLOOKUP(Table1[[#This Row],[Route]],SegmentsPerRoute!$C$3:$L$297,8,FALSE)+(Table1[[#This Row],[Sequence]]-1)*VLOOKUP(Table1[[#This Row],[Route]],SegmentsPerRoute!$C$3:$L$297,10,FALSE),0), 0)</f>
        <v>26</v>
      </c>
      <c r="E224">
        <v>2</v>
      </c>
      <c r="F224" s="1">
        <v>162.96199999999999</v>
      </c>
      <c r="G224" t="s">
        <v>415</v>
      </c>
      <c r="H224" s="1">
        <v>172.41399999999999</v>
      </c>
      <c r="I224" t="s">
        <v>416</v>
      </c>
      <c r="J224" t="s">
        <v>4597</v>
      </c>
      <c r="K224" t="s">
        <v>1707</v>
      </c>
    </row>
    <row r="225" spans="1:14" x14ac:dyDescent="0.25">
      <c r="A225" s="41" t="str">
        <f>Table1[[#This Row],[Route]]&amp;TEXT(Table1[[#This Row],[SegmentID]],"00")</f>
        <v>034B36</v>
      </c>
      <c r="B225" t="s">
        <v>413</v>
      </c>
      <c r="C225" s="3" t="s">
        <v>426</v>
      </c>
      <c r="D225">
        <f>IFERROR(ROUND(VLOOKUP(Table1[[#This Row],[Route]],SegmentsPerRoute!$C$3:$L$297,8,FALSE)+(Table1[[#This Row],[Sequence]]-1)*VLOOKUP(Table1[[#This Row],[Route]],SegmentsPerRoute!$C$3:$L$297,10,FALSE),0), 0)</f>
        <v>36</v>
      </c>
      <c r="E225">
        <v>3</v>
      </c>
      <c r="F225" s="1">
        <v>172.41399999999999</v>
      </c>
      <c r="G225" t="s">
        <v>416</v>
      </c>
      <c r="H225" s="1">
        <v>173.57</v>
      </c>
      <c r="I225" t="s">
        <v>417</v>
      </c>
      <c r="K225" t="s">
        <v>1707</v>
      </c>
      <c r="L225" t="s">
        <v>2308</v>
      </c>
      <c r="M225" t="s">
        <v>2311</v>
      </c>
    </row>
    <row r="226" spans="1:14" x14ac:dyDescent="0.25">
      <c r="A226" s="41" t="str">
        <f>Table1[[#This Row],[Route]]&amp;TEXT(Table1[[#This Row],[SegmentID]],"00")</f>
        <v>034B47</v>
      </c>
      <c r="B226" t="s">
        <v>413</v>
      </c>
      <c r="C226" s="3" t="s">
        <v>426</v>
      </c>
      <c r="D226">
        <f>IFERROR(ROUND(VLOOKUP(Table1[[#This Row],[Route]],SegmentsPerRoute!$C$3:$L$297,8,FALSE)+(Table1[[#This Row],[Sequence]]-1)*VLOOKUP(Table1[[#This Row],[Route]],SegmentsPerRoute!$C$3:$L$297,10,FALSE),0), 0)</f>
        <v>47</v>
      </c>
      <c r="E226">
        <v>4</v>
      </c>
      <c r="F226" s="1">
        <v>173.57</v>
      </c>
      <c r="G226" t="s">
        <v>417</v>
      </c>
      <c r="H226" s="1">
        <v>173.9</v>
      </c>
      <c r="I226" t="s">
        <v>418</v>
      </c>
      <c r="K226" t="s">
        <v>1707</v>
      </c>
      <c r="L226" t="s">
        <v>2308</v>
      </c>
      <c r="M226" t="s">
        <v>2311</v>
      </c>
    </row>
    <row r="227" spans="1:14" x14ac:dyDescent="0.25">
      <c r="A227" s="41" t="str">
        <f>Table1[[#This Row],[Route]]&amp;TEXT(Table1[[#This Row],[SegmentID]],"00")</f>
        <v>034B57</v>
      </c>
      <c r="B227" t="s">
        <v>413</v>
      </c>
      <c r="C227" s="3" t="s">
        <v>426</v>
      </c>
      <c r="D227">
        <f>IFERROR(ROUND(VLOOKUP(Table1[[#This Row],[Route]],SegmentsPerRoute!$C$3:$L$297,8,FALSE)+(Table1[[#This Row],[Sequence]]-1)*VLOOKUP(Table1[[#This Row],[Route]],SegmentsPerRoute!$C$3:$L$297,10,FALSE),0), 0)</f>
        <v>57</v>
      </c>
      <c r="E227">
        <v>5</v>
      </c>
      <c r="F227" s="1">
        <v>173.9</v>
      </c>
      <c r="G227" t="s">
        <v>418</v>
      </c>
      <c r="H227" s="1">
        <v>196.33600000000001</v>
      </c>
      <c r="I227" t="s">
        <v>419</v>
      </c>
      <c r="K227" t="s">
        <v>1707</v>
      </c>
      <c r="L227" t="s">
        <v>2309</v>
      </c>
      <c r="M227" t="s">
        <v>2310</v>
      </c>
    </row>
    <row r="228" spans="1:14" x14ac:dyDescent="0.25">
      <c r="A228" s="41" t="str">
        <f>Table1[[#This Row],[Route]]&amp;TEXT(Table1[[#This Row],[SegmentID]],"00")</f>
        <v>034B68</v>
      </c>
      <c r="B228" t="s">
        <v>413</v>
      </c>
      <c r="C228" s="3" t="s">
        <v>426</v>
      </c>
      <c r="D228">
        <f>IFERROR(ROUND(VLOOKUP(Table1[[#This Row],[Route]],SegmentsPerRoute!$C$3:$L$297,8,FALSE)+(Table1[[#This Row],[Sequence]]-1)*VLOOKUP(Table1[[#This Row],[Route]],SegmentsPerRoute!$C$3:$L$297,10,FALSE),0), 0)</f>
        <v>68</v>
      </c>
      <c r="E228">
        <v>6</v>
      </c>
      <c r="F228" s="1">
        <v>196.33600000000001</v>
      </c>
      <c r="G228" t="s">
        <v>419</v>
      </c>
      <c r="H228" s="1">
        <v>209.30500000000001</v>
      </c>
      <c r="I228" t="s">
        <v>420</v>
      </c>
      <c r="K228" t="s">
        <v>1707</v>
      </c>
      <c r="L228" t="s">
        <v>2309</v>
      </c>
      <c r="M228" t="s">
        <v>2310</v>
      </c>
    </row>
    <row r="229" spans="1:14" x14ac:dyDescent="0.25">
      <c r="A229" s="41" t="str">
        <f>Table1[[#This Row],[Route]]&amp;TEXT(Table1[[#This Row],[SegmentID]],"00")</f>
        <v>034B78</v>
      </c>
      <c r="B229" t="s">
        <v>413</v>
      </c>
      <c r="C229" s="3" t="s">
        <v>426</v>
      </c>
      <c r="D229">
        <f>IFERROR(ROUND(VLOOKUP(Table1[[#This Row],[Route]],SegmentsPerRoute!$C$3:$L$297,8,FALSE)+(Table1[[#This Row],[Sequence]]-1)*VLOOKUP(Table1[[#This Row],[Route]],SegmentsPerRoute!$C$3:$L$297,10,FALSE),0), 0)</f>
        <v>78</v>
      </c>
      <c r="E229">
        <v>7</v>
      </c>
      <c r="F229" s="1">
        <v>209.30500000000001</v>
      </c>
      <c r="G229" t="s">
        <v>420</v>
      </c>
      <c r="H229" s="1">
        <v>223.345</v>
      </c>
      <c r="I229" t="s">
        <v>421</v>
      </c>
      <c r="K229" t="s">
        <v>1707</v>
      </c>
      <c r="L229" t="s">
        <v>2309</v>
      </c>
      <c r="M229" t="s">
        <v>2310</v>
      </c>
    </row>
    <row r="230" spans="1:14" x14ac:dyDescent="0.25">
      <c r="A230" s="41" t="str">
        <f>Table1[[#This Row],[Route]]&amp;TEXT(Table1[[#This Row],[SegmentID]],"00")</f>
        <v>034B89</v>
      </c>
      <c r="B230" t="s">
        <v>413</v>
      </c>
      <c r="C230" s="3" t="s">
        <v>426</v>
      </c>
      <c r="D230">
        <f>IFERROR(ROUND(VLOOKUP(Table1[[#This Row],[Route]],SegmentsPerRoute!$C$3:$L$297,8,FALSE)+(Table1[[#This Row],[Sequence]]-1)*VLOOKUP(Table1[[#This Row],[Route]],SegmentsPerRoute!$C$3:$L$297,10,FALSE),0), 0)</f>
        <v>89</v>
      </c>
      <c r="E230">
        <v>8</v>
      </c>
      <c r="F230" s="1">
        <v>223.345</v>
      </c>
      <c r="G230" t="s">
        <v>421</v>
      </c>
      <c r="H230" s="1">
        <v>249.93100000000001</v>
      </c>
      <c r="I230" t="s">
        <v>422</v>
      </c>
      <c r="K230" t="s">
        <v>1707</v>
      </c>
      <c r="L230" t="s">
        <v>2309</v>
      </c>
      <c r="M230" t="s">
        <v>2310</v>
      </c>
      <c r="N230" t="s">
        <v>423</v>
      </c>
    </row>
    <row r="231" spans="1:14" x14ac:dyDescent="0.25">
      <c r="A231" s="41" t="str">
        <f>Table1[[#This Row],[Route]]&amp;TEXT(Table1[[#This Row],[SegmentID]],"00")</f>
        <v>034B99</v>
      </c>
      <c r="B231" t="s">
        <v>413</v>
      </c>
      <c r="C231" s="3" t="s">
        <v>426</v>
      </c>
      <c r="D231">
        <f>IFERROR(ROUND(VLOOKUP(Table1[[#This Row],[Route]],SegmentsPerRoute!$C$3:$L$297,8,FALSE)+(Table1[[#This Row],[Sequence]]-1)*VLOOKUP(Table1[[#This Row],[Route]],SegmentsPerRoute!$C$3:$L$297,10,FALSE),0), 0)</f>
        <v>99</v>
      </c>
      <c r="E231">
        <v>9</v>
      </c>
      <c r="F231" s="1">
        <v>249.93100000000001</v>
      </c>
      <c r="G231" t="s">
        <v>422</v>
      </c>
      <c r="H231" s="1">
        <v>259.529</v>
      </c>
      <c r="I231" t="s">
        <v>249</v>
      </c>
      <c r="K231" t="s">
        <v>1707</v>
      </c>
      <c r="L231" t="s">
        <v>2309</v>
      </c>
      <c r="M231" t="s">
        <v>2310</v>
      </c>
      <c r="N231" t="s">
        <v>423</v>
      </c>
    </row>
    <row r="232" spans="1:14" x14ac:dyDescent="0.25">
      <c r="A232" s="41" t="str">
        <f>Table1[[#This Row],[Route]]&amp;TEXT(Table1[[#This Row],[SegmentID]],"00")</f>
        <v>034C15</v>
      </c>
      <c r="B232" t="s">
        <v>428</v>
      </c>
      <c r="D232">
        <f>IFERROR(ROUND(VLOOKUP(Table1[[#This Row],[Route]],SegmentsPerRoute!$C$3:$L$297,8,FALSE)+(Table1[[#This Row],[Sequence]]-1)*VLOOKUP(Table1[[#This Row],[Route]],SegmentsPerRoute!$C$3:$L$297,10,FALSE),0), 0)</f>
        <v>15</v>
      </c>
      <c r="E232">
        <v>1</v>
      </c>
      <c r="F232" s="1">
        <v>1.306</v>
      </c>
      <c r="G232" t="s">
        <v>429</v>
      </c>
      <c r="H232" s="1">
        <v>1.69</v>
      </c>
      <c r="I232" t="s">
        <v>437</v>
      </c>
      <c r="K232" t="s">
        <v>1690</v>
      </c>
      <c r="L232" t="s">
        <v>2312</v>
      </c>
      <c r="M232" t="s">
        <v>2313</v>
      </c>
      <c r="N232" t="s">
        <v>373</v>
      </c>
    </row>
    <row r="233" spans="1:14" x14ac:dyDescent="0.25">
      <c r="A233" s="41" t="str">
        <f>Table1[[#This Row],[Route]]&amp;TEXT(Table1[[#This Row],[SegmentID]],"00")</f>
        <v>034D15</v>
      </c>
      <c r="B233" t="s">
        <v>430</v>
      </c>
      <c r="C233" s="3" t="s">
        <v>427</v>
      </c>
      <c r="D233">
        <f>IFERROR(ROUND(VLOOKUP(Table1[[#This Row],[Route]],SegmentsPerRoute!$C$3:$L$297,8,FALSE)+(Table1[[#This Row],[Sequence]]-1)*VLOOKUP(Table1[[#This Row],[Route]],SegmentsPerRoute!$C$3:$L$297,10,FALSE),0), 0)</f>
        <v>15</v>
      </c>
      <c r="E233">
        <v>1</v>
      </c>
      <c r="F233" s="1">
        <v>0</v>
      </c>
      <c r="G233" t="s">
        <v>431</v>
      </c>
      <c r="H233" s="1">
        <v>0.39900000000000002</v>
      </c>
      <c r="I233" t="s">
        <v>215</v>
      </c>
      <c r="K233" t="s">
        <v>1702</v>
      </c>
      <c r="L233" t="s">
        <v>2314</v>
      </c>
      <c r="M233" t="s">
        <v>2321</v>
      </c>
    </row>
    <row r="234" spans="1:14" x14ac:dyDescent="0.25">
      <c r="A234" s="41" t="str">
        <f>Table1[[#This Row],[Route]]&amp;TEXT(Table1[[#This Row],[SegmentID]],"00")</f>
        <v>034D25</v>
      </c>
      <c r="B234" t="s">
        <v>430</v>
      </c>
      <c r="C234" s="3" t="s">
        <v>427</v>
      </c>
      <c r="D234">
        <f>IFERROR(ROUND(VLOOKUP(Table1[[#This Row],[Route]],SegmentsPerRoute!$C$3:$L$297,8,FALSE)+(Table1[[#This Row],[Sequence]]-1)*VLOOKUP(Table1[[#This Row],[Route]],SegmentsPerRoute!$C$3:$L$297,10,FALSE),0), 0)</f>
        <v>25</v>
      </c>
      <c r="E234">
        <v>2</v>
      </c>
      <c r="F234" s="1">
        <v>0.39900000000000002</v>
      </c>
      <c r="G234" t="s">
        <v>215</v>
      </c>
      <c r="H234" s="1">
        <v>1.752</v>
      </c>
      <c r="I234" t="s">
        <v>208</v>
      </c>
      <c r="K234" t="s">
        <v>1702</v>
      </c>
      <c r="L234" t="s">
        <v>2315</v>
      </c>
      <c r="M234" t="s">
        <v>2320</v>
      </c>
    </row>
    <row r="235" spans="1:14" x14ac:dyDescent="0.25">
      <c r="A235" s="41" t="str">
        <f>Table1[[#This Row],[Route]]&amp;TEXT(Table1[[#This Row],[SegmentID]],"00")</f>
        <v>034D35</v>
      </c>
      <c r="B235" t="s">
        <v>430</v>
      </c>
      <c r="C235" s="3" t="s">
        <v>427</v>
      </c>
      <c r="D235">
        <f>IFERROR(ROUND(VLOOKUP(Table1[[#This Row],[Route]],SegmentsPerRoute!$C$3:$L$297,8,FALSE)+(Table1[[#This Row],[Sequence]]-1)*VLOOKUP(Table1[[#This Row],[Route]],SegmentsPerRoute!$C$3:$L$297,10,FALSE),0), 0)</f>
        <v>35</v>
      </c>
      <c r="E235">
        <v>3</v>
      </c>
      <c r="F235" s="1">
        <v>1.752</v>
      </c>
      <c r="G235" t="s">
        <v>208</v>
      </c>
      <c r="H235" s="1">
        <v>8.7680000000000007</v>
      </c>
      <c r="I235" t="s">
        <v>432</v>
      </c>
      <c r="K235" t="s">
        <v>1702</v>
      </c>
      <c r="L235" t="s">
        <v>2315</v>
      </c>
      <c r="M235" t="s">
        <v>2320</v>
      </c>
    </row>
    <row r="236" spans="1:14" x14ac:dyDescent="0.25">
      <c r="A236" s="41" t="str">
        <f>Table1[[#This Row],[Route]]&amp;TEXT(Table1[[#This Row],[SegmentID]],"00")</f>
        <v>034D45</v>
      </c>
      <c r="B236" t="s">
        <v>430</v>
      </c>
      <c r="C236" s="3" t="s">
        <v>427</v>
      </c>
      <c r="D236">
        <f>IFERROR(ROUND(VLOOKUP(Table1[[#This Row],[Route]],SegmentsPerRoute!$C$3:$L$297,8,FALSE)+(Table1[[#This Row],[Sequence]]-1)*VLOOKUP(Table1[[#This Row],[Route]],SegmentsPerRoute!$C$3:$L$297,10,FALSE),0), 0)</f>
        <v>45</v>
      </c>
      <c r="E236">
        <v>4</v>
      </c>
      <c r="F236" s="1">
        <v>8.7680000000000007</v>
      </c>
      <c r="G236" t="s">
        <v>432</v>
      </c>
      <c r="H236" s="1">
        <v>10</v>
      </c>
      <c r="I236" t="s">
        <v>433</v>
      </c>
      <c r="K236" t="s">
        <v>1702</v>
      </c>
      <c r="L236" t="s">
        <v>2315</v>
      </c>
      <c r="M236" t="s">
        <v>2322</v>
      </c>
    </row>
    <row r="237" spans="1:14" x14ac:dyDescent="0.25">
      <c r="A237" s="41" t="str">
        <f>Table1[[#This Row],[Route]]&amp;TEXT(Table1[[#This Row],[SegmentID]],"00")</f>
        <v>034D55</v>
      </c>
      <c r="B237" t="s">
        <v>430</v>
      </c>
      <c r="C237" s="3" t="s">
        <v>427</v>
      </c>
      <c r="D237">
        <f>IFERROR(ROUND(VLOOKUP(Table1[[#This Row],[Route]],SegmentsPerRoute!$C$3:$L$297,8,FALSE)+(Table1[[#This Row],[Sequence]]-1)*VLOOKUP(Table1[[#This Row],[Route]],SegmentsPerRoute!$C$3:$L$297,10,FALSE),0), 0)</f>
        <v>55</v>
      </c>
      <c r="E237">
        <v>5</v>
      </c>
      <c r="F237" s="1">
        <v>10</v>
      </c>
      <c r="G237" t="s">
        <v>433</v>
      </c>
      <c r="H237" s="1">
        <v>10.194000000000001</v>
      </c>
      <c r="I237" t="s">
        <v>434</v>
      </c>
      <c r="K237" t="s">
        <v>1702</v>
      </c>
      <c r="L237" t="s">
        <v>2315</v>
      </c>
      <c r="M237" t="s">
        <v>2320</v>
      </c>
    </row>
    <row r="238" spans="1:14" x14ac:dyDescent="0.25">
      <c r="A238" s="41" t="str">
        <f>Table1[[#This Row],[Route]]&amp;TEXT(Table1[[#This Row],[SegmentID]],"00")</f>
        <v>034D65</v>
      </c>
      <c r="B238" t="s">
        <v>430</v>
      </c>
      <c r="C238" s="3" t="s">
        <v>438</v>
      </c>
      <c r="D238">
        <f>IFERROR(ROUND(VLOOKUP(Table1[[#This Row],[Route]],SegmentsPerRoute!$C$3:$L$297,8,FALSE)+(Table1[[#This Row],[Sequence]]-1)*VLOOKUP(Table1[[#This Row],[Route]],SegmentsPerRoute!$C$3:$L$297,10,FALSE),0), 0)</f>
        <v>65</v>
      </c>
      <c r="E238">
        <v>6</v>
      </c>
      <c r="F238" s="1">
        <v>10.194000000000001</v>
      </c>
      <c r="G238" t="s">
        <v>434</v>
      </c>
      <c r="H238" s="1">
        <v>11.057</v>
      </c>
      <c r="I238" t="s">
        <v>435</v>
      </c>
      <c r="K238" t="s">
        <v>1702</v>
      </c>
      <c r="L238" t="s">
        <v>2316</v>
      </c>
      <c r="M238" t="s">
        <v>2319</v>
      </c>
    </row>
    <row r="239" spans="1:14" x14ac:dyDescent="0.25">
      <c r="A239" s="41" t="str">
        <f>Table1[[#This Row],[Route]]&amp;TEXT(Table1[[#This Row],[SegmentID]],"00")</f>
        <v>034D75</v>
      </c>
      <c r="B239" t="s">
        <v>430</v>
      </c>
      <c r="C239" s="3" t="s">
        <v>438</v>
      </c>
      <c r="D239">
        <f>IFERROR(ROUND(VLOOKUP(Table1[[#This Row],[Route]],SegmentsPerRoute!$C$3:$L$297,8,FALSE)+(Table1[[#This Row],[Sequence]]-1)*VLOOKUP(Table1[[#This Row],[Route]],SegmentsPerRoute!$C$3:$L$297,10,FALSE),0), 0)</f>
        <v>75</v>
      </c>
      <c r="E239">
        <v>7</v>
      </c>
      <c r="F239" s="1">
        <v>11.057</v>
      </c>
      <c r="G239" t="s">
        <v>435</v>
      </c>
      <c r="H239" s="1">
        <v>11.643000000000001</v>
      </c>
      <c r="I239" t="s">
        <v>403</v>
      </c>
      <c r="K239" t="s">
        <v>1702</v>
      </c>
      <c r="L239" t="s">
        <v>2317</v>
      </c>
      <c r="M239" t="s">
        <v>2318</v>
      </c>
    </row>
    <row r="240" spans="1:14" x14ac:dyDescent="0.25">
      <c r="A240" s="41" t="str">
        <f>Table1[[#This Row],[Route]]&amp;TEXT(Table1[[#This Row],[SegmentID]],"00")</f>
        <v>034D85</v>
      </c>
      <c r="B240" t="s">
        <v>430</v>
      </c>
      <c r="C240" s="3" t="s">
        <v>439</v>
      </c>
      <c r="D240">
        <f>IFERROR(ROUND(VLOOKUP(Table1[[#This Row],[Route]],SegmentsPerRoute!$C$3:$L$297,8,FALSE)+(Table1[[#This Row],[Sequence]]-1)*VLOOKUP(Table1[[#This Row],[Route]],SegmentsPerRoute!$C$3:$L$297,10,FALSE),0), 0)</f>
        <v>85</v>
      </c>
      <c r="E240">
        <v>8</v>
      </c>
      <c r="F240" s="1">
        <v>11.643000000000001</v>
      </c>
      <c r="G240" t="s">
        <v>403</v>
      </c>
      <c r="H240" s="1">
        <v>14.711</v>
      </c>
      <c r="I240" t="s">
        <v>436</v>
      </c>
      <c r="J240" t="s">
        <v>4602</v>
      </c>
      <c r="K240" t="s">
        <v>1702</v>
      </c>
      <c r="N240" t="s">
        <v>77</v>
      </c>
    </row>
    <row r="241" spans="1:14" x14ac:dyDescent="0.25">
      <c r="A241" s="41" t="str">
        <f>Table1[[#This Row],[Route]]&amp;TEXT(Table1[[#This Row],[SegmentID]],"00")</f>
        <v>034E15</v>
      </c>
      <c r="B241" t="s">
        <v>1687</v>
      </c>
      <c r="D241">
        <f>IFERROR(ROUND(VLOOKUP(Table1[[#This Row],[Route]],SegmentsPerRoute!$C$3:$L$297,8,FALSE)+(Table1[[#This Row],[Sequence]]-1)*VLOOKUP(Table1[[#This Row],[Route]],SegmentsPerRoute!$C$3:$L$297,10,FALSE),0), 0)</f>
        <v>15</v>
      </c>
      <c r="E241">
        <v>1</v>
      </c>
      <c r="F241" s="1">
        <v>0</v>
      </c>
      <c r="G241" t="s">
        <v>440</v>
      </c>
      <c r="H241" s="1">
        <v>0.93200000000000005</v>
      </c>
      <c r="I241" t="s">
        <v>441</v>
      </c>
      <c r="K241" t="s">
        <v>1690</v>
      </c>
      <c r="L241" t="s">
        <v>2323</v>
      </c>
      <c r="M241" t="s">
        <v>2324</v>
      </c>
    </row>
    <row r="242" spans="1:14" ht="30" x14ac:dyDescent="0.25">
      <c r="A242" s="43" t="str">
        <f>Table1[[#This Row],[Route]]&amp;TEXT(Table1[[#This Row],[SegmentID]],"00")</f>
        <v>034F15</v>
      </c>
      <c r="B242" t="s">
        <v>442</v>
      </c>
      <c r="D242">
        <f>IFERROR(ROUND(VLOOKUP(Table1[[#This Row],[Route]],SegmentsPerRoute!$C$3:$L$297,8,FALSE)+(Table1[[#This Row],[Sequence]]-1)*VLOOKUP(Table1[[#This Row],[Route]],SegmentsPerRoute!$C$3:$L$297,10,FALSE),0), 0)</f>
        <v>15</v>
      </c>
      <c r="E242">
        <v>1</v>
      </c>
      <c r="F242" s="1">
        <v>0</v>
      </c>
      <c r="G242" t="s">
        <v>443</v>
      </c>
      <c r="H242" s="1">
        <v>3.1E-2</v>
      </c>
      <c r="I242" t="s">
        <v>444</v>
      </c>
      <c r="J242" s="4" t="s">
        <v>1749</v>
      </c>
      <c r="K242" t="s">
        <v>1709</v>
      </c>
      <c r="N242" t="s">
        <v>411</v>
      </c>
    </row>
    <row r="243" spans="1:14" x14ac:dyDescent="0.25">
      <c r="A243" s="41" t="str">
        <f>Table1[[#This Row],[Route]]&amp;TEXT(Table1[[#This Row],[SegmentID]],"00")</f>
        <v>034Z15</v>
      </c>
      <c r="B243" t="s">
        <v>445</v>
      </c>
      <c r="D243">
        <f>IFERROR(ROUND(VLOOKUP(Table1[[#This Row],[Route]],SegmentsPerRoute!$C$3:$L$297,8,FALSE)+(Table1[[#This Row],[Sequence]]-1)*VLOOKUP(Table1[[#This Row],[Route]],SegmentsPerRoute!$C$3:$L$297,10,FALSE),0), 0)</f>
        <v>15</v>
      </c>
      <c r="E243">
        <v>1</v>
      </c>
      <c r="F243" s="1">
        <v>0</v>
      </c>
      <c r="G243" t="s">
        <v>446</v>
      </c>
      <c r="H243" s="1">
        <v>1.3009999999999999</v>
      </c>
      <c r="I243" t="s">
        <v>447</v>
      </c>
      <c r="K243" t="s">
        <v>1702</v>
      </c>
      <c r="L243" t="s">
        <v>2320</v>
      </c>
      <c r="M243" t="s">
        <v>2095</v>
      </c>
    </row>
    <row r="244" spans="1:14" x14ac:dyDescent="0.25">
      <c r="A244" s="41" t="str">
        <f>Table1[[#This Row],[Route]]&amp;TEXT(Table1[[#This Row],[SegmentID]],"00")</f>
        <v>035A15</v>
      </c>
      <c r="B244" t="s">
        <v>448</v>
      </c>
      <c r="D244">
        <f>IFERROR(ROUND(VLOOKUP(Table1[[#This Row],[Route]],SegmentsPerRoute!$C$3:$L$297,8,FALSE)+(Table1[[#This Row],[Sequence]]-1)*VLOOKUP(Table1[[#This Row],[Route]],SegmentsPerRoute!$C$3:$L$297,10,FALSE),0), 0)</f>
        <v>15</v>
      </c>
      <c r="E244">
        <v>1</v>
      </c>
      <c r="F244" s="1">
        <v>8.4350000000000005</v>
      </c>
      <c r="G244" t="s">
        <v>16</v>
      </c>
      <c r="H244" s="1">
        <v>8.8979999999999997</v>
      </c>
      <c r="I244" t="s">
        <v>84</v>
      </c>
      <c r="J244" s="10"/>
      <c r="K244" t="s">
        <v>1690</v>
      </c>
      <c r="L244" t="s">
        <v>2325</v>
      </c>
      <c r="M244" t="s">
        <v>2326</v>
      </c>
      <c r="N244" t="s">
        <v>88</v>
      </c>
    </row>
    <row r="245" spans="1:14" ht="30" x14ac:dyDescent="0.25">
      <c r="A245" s="41" t="str">
        <f>Table1[[#This Row],[Route]]&amp;TEXT(Table1[[#This Row],[SegmentID]],"00")</f>
        <v>035A85</v>
      </c>
      <c r="B245" t="s">
        <v>448</v>
      </c>
      <c r="D245">
        <f>IFERROR(ROUND(VLOOKUP(Table1[[#This Row],[Route]],SegmentsPerRoute!$C$3:$L$297,8,FALSE)+(Table1[[#This Row],[Sequence]]-1)*VLOOKUP(Table1[[#This Row],[Route]],SegmentsPerRoute!$C$3:$L$297,10,FALSE),0), 0)</f>
        <v>85</v>
      </c>
      <c r="E245">
        <v>2</v>
      </c>
      <c r="F245" s="1">
        <v>8.8979999999999997</v>
      </c>
      <c r="G245" t="s">
        <v>84</v>
      </c>
      <c r="H245" s="1">
        <v>9.7040000000000006</v>
      </c>
      <c r="I245" t="s">
        <v>449</v>
      </c>
      <c r="J245" s="16" t="s">
        <v>4622</v>
      </c>
      <c r="K245" t="s">
        <v>1690</v>
      </c>
    </row>
    <row r="246" spans="1:14" x14ac:dyDescent="0.25">
      <c r="A246" s="41" t="str">
        <f>Table1[[#This Row],[Route]]&amp;TEXT(Table1[[#This Row],[SegmentID]],"00")</f>
        <v>036A15</v>
      </c>
      <c r="B246" t="s">
        <v>450</v>
      </c>
      <c r="D246">
        <f>IFERROR(ROUND(VLOOKUP(Table1[[#This Row],[Route]],SegmentsPerRoute!$C$3:$L$297,8,FALSE)+(Table1[[#This Row],[Sequence]]-1)*VLOOKUP(Table1[[#This Row],[Route]],SegmentsPerRoute!$C$3:$L$297,10,FALSE),0), 0)</f>
        <v>15</v>
      </c>
      <c r="E246">
        <v>1</v>
      </c>
      <c r="F246" s="1">
        <v>0</v>
      </c>
      <c r="G246" t="s">
        <v>451</v>
      </c>
      <c r="H246" s="1">
        <v>6.9820000000000002</v>
      </c>
      <c r="I246" t="s">
        <v>452</v>
      </c>
      <c r="K246" t="s">
        <v>1690</v>
      </c>
      <c r="L246" t="s">
        <v>2327</v>
      </c>
      <c r="M246" t="s">
        <v>2328</v>
      </c>
      <c r="N246" t="s">
        <v>453</v>
      </c>
    </row>
    <row r="247" spans="1:14" x14ac:dyDescent="0.25">
      <c r="A247" s="41" t="str">
        <f>Table1[[#This Row],[Route]]&amp;TEXT(Table1[[#This Row],[SegmentID]],"00")</f>
        <v>036B15</v>
      </c>
      <c r="B247" t="s">
        <v>454</v>
      </c>
      <c r="C247" s="3" t="s">
        <v>469</v>
      </c>
      <c r="D247">
        <f>IFERROR(ROUND(VLOOKUP(Table1[[#This Row],[Route]],SegmentsPerRoute!$C$3:$L$297,8,FALSE)+(Table1[[#This Row],[Sequence]]-1)*VLOOKUP(Table1[[#This Row],[Route]],SegmentsPerRoute!$C$3:$L$297,10,FALSE),0), 0)</f>
        <v>15</v>
      </c>
      <c r="E247">
        <v>1</v>
      </c>
      <c r="F247" s="1">
        <v>0</v>
      </c>
      <c r="G247" t="s">
        <v>455</v>
      </c>
      <c r="H247" s="1">
        <v>0.39500000000000002</v>
      </c>
      <c r="I247" t="s">
        <v>456</v>
      </c>
      <c r="K247" t="s">
        <v>1701</v>
      </c>
      <c r="L247" t="s">
        <v>2331</v>
      </c>
      <c r="M247" t="s">
        <v>2329</v>
      </c>
      <c r="N247" s="4"/>
    </row>
    <row r="248" spans="1:14" ht="30" x14ac:dyDescent="0.25">
      <c r="A248" s="41" t="str">
        <f>Table1[[#This Row],[Route]]&amp;TEXT(Table1[[#This Row],[SegmentID]],"00")</f>
        <v>036B19</v>
      </c>
      <c r="B248" t="s">
        <v>454</v>
      </c>
      <c r="C248" s="3" t="s">
        <v>469</v>
      </c>
      <c r="D248">
        <f>IFERROR(ROUND(VLOOKUP(Table1[[#This Row],[Route]],SegmentsPerRoute!$C$3:$L$297,8,FALSE)+(Table1[[#This Row],[Sequence]]-1)*VLOOKUP(Table1[[#This Row],[Route]],SegmentsPerRoute!$C$3:$L$297,10,FALSE),0), 0)</f>
        <v>19</v>
      </c>
      <c r="E248">
        <v>2</v>
      </c>
      <c r="F248" s="1">
        <v>0.39500000000000002</v>
      </c>
      <c r="G248" t="s">
        <v>456</v>
      </c>
      <c r="H248" s="1">
        <v>20.317</v>
      </c>
      <c r="I248" t="s">
        <v>457</v>
      </c>
      <c r="K248" t="s">
        <v>1701</v>
      </c>
      <c r="L248" t="s">
        <v>2331</v>
      </c>
      <c r="M248" t="s">
        <v>2339</v>
      </c>
      <c r="N248" s="4" t="s">
        <v>472</v>
      </c>
    </row>
    <row r="249" spans="1:14" x14ac:dyDescent="0.25">
      <c r="A249" s="41" t="str">
        <f>Table1[[#This Row],[Route]]&amp;TEXT(Table1[[#This Row],[SegmentID]],"00")</f>
        <v>036B24</v>
      </c>
      <c r="B249" t="s">
        <v>454</v>
      </c>
      <c r="C249" s="3" t="s">
        <v>469</v>
      </c>
      <c r="D249">
        <f>IFERROR(ROUND(VLOOKUP(Table1[[#This Row],[Route]],SegmentsPerRoute!$C$3:$L$297,8,FALSE)+(Table1[[#This Row],[Sequence]]-1)*VLOOKUP(Table1[[#This Row],[Route]],SegmentsPerRoute!$C$3:$L$297,10,FALSE),0), 0)</f>
        <v>24</v>
      </c>
      <c r="E249">
        <v>3</v>
      </c>
      <c r="F249" s="1">
        <v>20.317</v>
      </c>
      <c r="G249" t="s">
        <v>457</v>
      </c>
      <c r="H249" s="1">
        <v>20.356999999999999</v>
      </c>
      <c r="I249" t="s">
        <v>458</v>
      </c>
      <c r="K249" t="s">
        <v>1701</v>
      </c>
      <c r="L249" t="s">
        <v>2331</v>
      </c>
      <c r="M249" t="s">
        <v>2330</v>
      </c>
      <c r="N249" t="s">
        <v>371</v>
      </c>
    </row>
    <row r="250" spans="1:14" x14ac:dyDescent="0.25">
      <c r="A250" s="41" t="str">
        <f>Table1[[#This Row],[Route]]&amp;TEXT(Table1[[#This Row],[SegmentID]],"00")</f>
        <v>036B28</v>
      </c>
      <c r="B250" t="s">
        <v>454</v>
      </c>
      <c r="C250" s="3" t="s">
        <v>469</v>
      </c>
      <c r="D250">
        <f>IFERROR(ROUND(VLOOKUP(Table1[[#This Row],[Route]],SegmentsPerRoute!$C$3:$L$297,8,FALSE)+(Table1[[#This Row],[Sequence]]-1)*VLOOKUP(Table1[[#This Row],[Route]],SegmentsPerRoute!$C$3:$L$297,10,FALSE),0), 0)</f>
        <v>28</v>
      </c>
      <c r="E250">
        <v>4</v>
      </c>
      <c r="F250" s="1">
        <v>20.356999999999999</v>
      </c>
      <c r="G250" t="s">
        <v>458</v>
      </c>
      <c r="H250" s="1">
        <v>20.657</v>
      </c>
      <c r="I250" t="s">
        <v>457</v>
      </c>
      <c r="K250" t="s">
        <v>1701</v>
      </c>
      <c r="L250" t="s">
        <v>2331</v>
      </c>
      <c r="M250" t="s">
        <v>2330</v>
      </c>
      <c r="N250" t="s">
        <v>371</v>
      </c>
    </row>
    <row r="251" spans="1:14" x14ac:dyDescent="0.25">
      <c r="A251" s="41" t="str">
        <f>Table1[[#This Row],[Route]]&amp;TEXT(Table1[[#This Row],[SegmentID]],"00")</f>
        <v>036B33</v>
      </c>
      <c r="B251" t="s">
        <v>454</v>
      </c>
      <c r="C251" s="3" t="s">
        <v>469</v>
      </c>
      <c r="D251">
        <f>IFERROR(ROUND(VLOOKUP(Table1[[#This Row],[Route]],SegmentsPerRoute!$C$3:$L$297,8,FALSE)+(Table1[[#This Row],[Sequence]]-1)*VLOOKUP(Table1[[#This Row],[Route]],SegmentsPerRoute!$C$3:$L$297,10,FALSE),0), 0)</f>
        <v>33</v>
      </c>
      <c r="E251">
        <v>5</v>
      </c>
      <c r="F251" s="1">
        <v>20.657</v>
      </c>
      <c r="G251" t="s">
        <v>457</v>
      </c>
      <c r="H251" s="1">
        <v>21.763999999999999</v>
      </c>
      <c r="I251" t="s">
        <v>349</v>
      </c>
      <c r="K251" t="s">
        <v>1701</v>
      </c>
      <c r="L251" t="s">
        <v>2331</v>
      </c>
      <c r="M251" t="s">
        <v>2329</v>
      </c>
      <c r="N251" t="s">
        <v>371</v>
      </c>
    </row>
    <row r="252" spans="1:14" x14ac:dyDescent="0.25">
      <c r="A252" s="41" t="str">
        <f>Table1[[#This Row],[Route]]&amp;TEXT(Table1[[#This Row],[SegmentID]],"00")</f>
        <v>036B37</v>
      </c>
      <c r="B252" t="s">
        <v>454</v>
      </c>
      <c r="C252" s="3" t="s">
        <v>469</v>
      </c>
      <c r="D252">
        <f>IFERROR(ROUND(VLOOKUP(Table1[[#This Row],[Route]],SegmentsPerRoute!$C$3:$L$297,8,FALSE)+(Table1[[#This Row],[Sequence]]-1)*VLOOKUP(Table1[[#This Row],[Route]],SegmentsPerRoute!$C$3:$L$297,10,FALSE),0), 0)</f>
        <v>37</v>
      </c>
      <c r="E252">
        <v>6</v>
      </c>
      <c r="F252" s="1">
        <v>21.763999999999999</v>
      </c>
      <c r="G252" t="s">
        <v>349</v>
      </c>
      <c r="H252" s="1">
        <v>35.005000000000003</v>
      </c>
      <c r="I252" t="s">
        <v>459</v>
      </c>
      <c r="K252" t="s">
        <v>1701</v>
      </c>
      <c r="L252" t="s">
        <v>2332</v>
      </c>
      <c r="M252" t="s">
        <v>2336</v>
      </c>
      <c r="N252" t="s">
        <v>473</v>
      </c>
    </row>
    <row r="253" spans="1:14" x14ac:dyDescent="0.25">
      <c r="A253" s="41" t="str">
        <f>Table1[[#This Row],[Route]]&amp;TEXT(Table1[[#This Row],[SegmentID]],"00")</f>
        <v>036B41</v>
      </c>
      <c r="B253" t="s">
        <v>454</v>
      </c>
      <c r="C253" s="3" t="s">
        <v>469</v>
      </c>
      <c r="D253">
        <f>IFERROR(ROUND(VLOOKUP(Table1[[#This Row],[Route]],SegmentsPerRoute!$C$3:$L$297,8,FALSE)+(Table1[[#This Row],[Sequence]]-1)*VLOOKUP(Table1[[#This Row],[Route]],SegmentsPerRoute!$C$3:$L$297,10,FALSE),0), 0)</f>
        <v>41</v>
      </c>
      <c r="E253">
        <v>7</v>
      </c>
      <c r="F253" s="1">
        <v>35.005000000000003</v>
      </c>
      <c r="G253" t="s">
        <v>459</v>
      </c>
      <c r="H253" s="1">
        <v>36.341999999999999</v>
      </c>
      <c r="I253" t="s">
        <v>460</v>
      </c>
      <c r="K253" t="s">
        <v>1701</v>
      </c>
      <c r="L253" t="s">
        <v>2333</v>
      </c>
      <c r="M253" t="s">
        <v>2338</v>
      </c>
      <c r="N253" t="s">
        <v>474</v>
      </c>
    </row>
    <row r="254" spans="1:14" x14ac:dyDescent="0.25">
      <c r="A254" s="41" t="str">
        <f>Table1[[#This Row],[Route]]&amp;TEXT(Table1[[#This Row],[SegmentID]],"00")</f>
        <v>036B46</v>
      </c>
      <c r="B254" t="s">
        <v>454</v>
      </c>
      <c r="C254" s="3" t="s">
        <v>469</v>
      </c>
      <c r="D254">
        <f>IFERROR(ROUND(VLOOKUP(Table1[[#This Row],[Route]],SegmentsPerRoute!$C$3:$L$297,8,FALSE)+(Table1[[#This Row],[Sequence]]-1)*VLOOKUP(Table1[[#This Row],[Route]],SegmentsPerRoute!$C$3:$L$297,10,FALSE),0), 0)</f>
        <v>46</v>
      </c>
      <c r="E254">
        <v>8</v>
      </c>
      <c r="F254" s="1">
        <v>36.341999999999999</v>
      </c>
      <c r="G254" t="s">
        <v>460</v>
      </c>
      <c r="H254" s="1">
        <v>36.533000000000001</v>
      </c>
      <c r="I254" t="s">
        <v>461</v>
      </c>
      <c r="K254" t="s">
        <v>1701</v>
      </c>
      <c r="L254" t="s">
        <v>2333</v>
      </c>
      <c r="M254" t="s">
        <v>2338</v>
      </c>
    </row>
    <row r="255" spans="1:14" x14ac:dyDescent="0.25">
      <c r="A255" s="41" t="str">
        <f>Table1[[#This Row],[Route]]&amp;TEXT(Table1[[#This Row],[SegmentID]],"00")</f>
        <v>036B50</v>
      </c>
      <c r="B255" t="s">
        <v>454</v>
      </c>
      <c r="C255" s="3" t="s">
        <v>469</v>
      </c>
      <c r="D255">
        <f>IFERROR(ROUND(VLOOKUP(Table1[[#This Row],[Route]],SegmentsPerRoute!$C$3:$L$297,8,FALSE)+(Table1[[#This Row],[Sequence]]-1)*VLOOKUP(Table1[[#This Row],[Route]],SegmentsPerRoute!$C$3:$L$297,10,FALSE),0), 0)</f>
        <v>50</v>
      </c>
      <c r="E255">
        <v>9</v>
      </c>
      <c r="F255" s="1">
        <v>36.533000000000001</v>
      </c>
      <c r="G255" t="s">
        <v>461</v>
      </c>
      <c r="H255" s="1">
        <v>37.600999999999999</v>
      </c>
      <c r="I255" t="s">
        <v>462</v>
      </c>
      <c r="K255" t="s">
        <v>1701</v>
      </c>
      <c r="L255" t="s">
        <v>2333</v>
      </c>
      <c r="M255" t="s">
        <v>2337</v>
      </c>
      <c r="N255" t="s">
        <v>475</v>
      </c>
    </row>
    <row r="256" spans="1:14" x14ac:dyDescent="0.25">
      <c r="A256" s="41" t="str">
        <f>Table1[[#This Row],[Route]]&amp;TEXT(Table1[[#This Row],[SegmentID]],"00")</f>
        <v>036B55</v>
      </c>
      <c r="B256" t="s">
        <v>454</v>
      </c>
      <c r="C256" s="3" t="s">
        <v>469</v>
      </c>
      <c r="D256">
        <f>IFERROR(ROUND(VLOOKUP(Table1[[#This Row],[Route]],SegmentsPerRoute!$C$3:$L$297,8,FALSE)+(Table1[[#This Row],[Sequence]]-1)*VLOOKUP(Table1[[#This Row],[Route]],SegmentsPerRoute!$C$3:$L$297,10,FALSE),0), 0)</f>
        <v>55</v>
      </c>
      <c r="E256">
        <v>10</v>
      </c>
      <c r="F256" s="1">
        <v>37.600999999999999</v>
      </c>
      <c r="G256" t="s">
        <v>462</v>
      </c>
      <c r="H256" s="1">
        <v>39.198</v>
      </c>
      <c r="I256" t="s">
        <v>140</v>
      </c>
      <c r="K256" t="s">
        <v>1701</v>
      </c>
      <c r="L256" t="s">
        <v>2333</v>
      </c>
      <c r="M256" t="s">
        <v>2337</v>
      </c>
    </row>
    <row r="257" spans="1:14" x14ac:dyDescent="0.25">
      <c r="A257" s="41" t="str">
        <f>Table1[[#This Row],[Route]]&amp;TEXT(Table1[[#This Row],[SegmentID]],"00")</f>
        <v>036B59</v>
      </c>
      <c r="B257" t="s">
        <v>454</v>
      </c>
      <c r="C257" s="3" t="s">
        <v>469</v>
      </c>
      <c r="D257">
        <f>IFERROR(ROUND(VLOOKUP(Table1[[#This Row],[Route]],SegmentsPerRoute!$C$3:$L$297,8,FALSE)+(Table1[[#This Row],[Sequence]]-1)*VLOOKUP(Table1[[#This Row],[Route]],SegmentsPerRoute!$C$3:$L$297,10,FALSE),0), 0)</f>
        <v>59</v>
      </c>
      <c r="E257">
        <v>11</v>
      </c>
      <c r="F257" s="1">
        <v>39.198</v>
      </c>
      <c r="G257" t="s">
        <v>140</v>
      </c>
      <c r="H257" s="1">
        <v>43.198</v>
      </c>
      <c r="I257" t="s">
        <v>463</v>
      </c>
      <c r="K257" t="s">
        <v>1701</v>
      </c>
      <c r="L257" t="s">
        <v>2332</v>
      </c>
      <c r="M257" t="s">
        <v>2336</v>
      </c>
    </row>
    <row r="258" spans="1:14" x14ac:dyDescent="0.25">
      <c r="A258" s="41" t="str">
        <f>Table1[[#This Row],[Route]]&amp;TEXT(Table1[[#This Row],[SegmentID]],"00")</f>
        <v>036B63</v>
      </c>
      <c r="B258" t="s">
        <v>454</v>
      </c>
      <c r="C258" s="3" t="s">
        <v>469</v>
      </c>
      <c r="D258">
        <f>IFERROR(ROUND(VLOOKUP(Table1[[#This Row],[Route]],SegmentsPerRoute!$C$3:$L$297,8,FALSE)+(Table1[[#This Row],[Sequence]]-1)*VLOOKUP(Table1[[#This Row],[Route]],SegmentsPerRoute!$C$3:$L$297,10,FALSE),0), 0)</f>
        <v>63</v>
      </c>
      <c r="E258">
        <v>12</v>
      </c>
      <c r="F258" s="1">
        <v>43.198</v>
      </c>
      <c r="G258" t="s">
        <v>463</v>
      </c>
      <c r="H258" s="1">
        <v>45.825000000000003</v>
      </c>
      <c r="I258" t="s">
        <v>464</v>
      </c>
      <c r="K258" t="s">
        <v>1701</v>
      </c>
      <c r="L258" t="s">
        <v>2332</v>
      </c>
      <c r="M258" t="s">
        <v>2336</v>
      </c>
      <c r="N258" t="s">
        <v>476</v>
      </c>
    </row>
    <row r="259" spans="1:14" x14ac:dyDescent="0.25">
      <c r="A259" s="41" t="str">
        <f>Table1[[#This Row],[Route]]&amp;TEXT(Table1[[#This Row],[SegmentID]],"00")</f>
        <v>036B68</v>
      </c>
      <c r="B259" t="s">
        <v>454</v>
      </c>
      <c r="C259" s="3" t="s">
        <v>469</v>
      </c>
      <c r="D259">
        <f>IFERROR(ROUND(VLOOKUP(Table1[[#This Row],[Route]],SegmentsPerRoute!$C$3:$L$297,8,FALSE)+(Table1[[#This Row],[Sequence]]-1)*VLOOKUP(Table1[[#This Row],[Route]],SegmentsPerRoute!$C$3:$L$297,10,FALSE),0), 0)</f>
        <v>68</v>
      </c>
      <c r="E259">
        <v>13</v>
      </c>
      <c r="F259" s="1">
        <v>45.825000000000003</v>
      </c>
      <c r="G259" t="s">
        <v>464</v>
      </c>
      <c r="H259" s="1">
        <v>48.034999999999997</v>
      </c>
      <c r="I259" t="s">
        <v>465</v>
      </c>
      <c r="K259" t="s">
        <v>1701</v>
      </c>
      <c r="L259" t="s">
        <v>2332</v>
      </c>
      <c r="M259" t="s">
        <v>2336</v>
      </c>
    </row>
    <row r="260" spans="1:14" x14ac:dyDescent="0.25">
      <c r="A260" s="41" t="str">
        <f>Table1[[#This Row],[Route]]&amp;TEXT(Table1[[#This Row],[SegmentID]],"00")</f>
        <v>036B72</v>
      </c>
      <c r="B260" t="s">
        <v>454</v>
      </c>
      <c r="C260" s="3" t="s">
        <v>470</v>
      </c>
      <c r="D260">
        <f>IFERROR(ROUND(VLOOKUP(Table1[[#This Row],[Route]],SegmentsPerRoute!$C$3:$L$297,8,FALSE)+(Table1[[#This Row],[Sequence]]-1)*VLOOKUP(Table1[[#This Row],[Route]],SegmentsPerRoute!$C$3:$L$297,10,FALSE),0), 0)</f>
        <v>72</v>
      </c>
      <c r="E260">
        <v>14</v>
      </c>
      <c r="F260" s="1">
        <v>48.034999999999997</v>
      </c>
      <c r="G260" t="s">
        <v>465</v>
      </c>
      <c r="H260" s="1">
        <v>52.570999999999998</v>
      </c>
      <c r="I260" t="s">
        <v>74</v>
      </c>
      <c r="K260" t="s">
        <v>1702</v>
      </c>
      <c r="L260" t="s">
        <v>2334</v>
      </c>
      <c r="M260" t="s">
        <v>2335</v>
      </c>
      <c r="N260" t="s">
        <v>369</v>
      </c>
    </row>
    <row r="261" spans="1:14" x14ac:dyDescent="0.25">
      <c r="A261" s="41" t="str">
        <f>Table1[[#This Row],[Route]]&amp;TEXT(Table1[[#This Row],[SegmentID]],"00")</f>
        <v>036B77</v>
      </c>
      <c r="B261" t="s">
        <v>454</v>
      </c>
      <c r="C261" s="3" t="s">
        <v>470</v>
      </c>
      <c r="D261">
        <f>IFERROR(ROUND(VLOOKUP(Table1[[#This Row],[Route]],SegmentsPerRoute!$C$3:$L$297,8,FALSE)+(Table1[[#This Row],[Sequence]]-1)*VLOOKUP(Table1[[#This Row],[Route]],SegmentsPerRoute!$C$3:$L$297,10,FALSE),0), 0)</f>
        <v>77</v>
      </c>
      <c r="E261">
        <v>15</v>
      </c>
      <c r="F261" s="1">
        <v>52.570999999999998</v>
      </c>
      <c r="G261" t="s">
        <v>74</v>
      </c>
      <c r="H261" s="1">
        <v>54.857999999999997</v>
      </c>
      <c r="I261" t="s">
        <v>466</v>
      </c>
      <c r="K261" t="s">
        <v>1704</v>
      </c>
      <c r="L261" t="s">
        <v>2334</v>
      </c>
      <c r="M261" t="s">
        <v>2335</v>
      </c>
    </row>
    <row r="262" spans="1:14" x14ac:dyDescent="0.25">
      <c r="A262" s="41" t="str">
        <f>Table1[[#This Row],[Route]]&amp;TEXT(Table1[[#This Row],[SegmentID]],"00")</f>
        <v>036B81</v>
      </c>
      <c r="B262" t="s">
        <v>454</v>
      </c>
      <c r="C262" s="3" t="s">
        <v>471</v>
      </c>
      <c r="D262">
        <f>IFERROR(ROUND(VLOOKUP(Table1[[#This Row],[Route]],SegmentsPerRoute!$C$3:$L$297,8,FALSE)+(Table1[[#This Row],[Sequence]]-1)*VLOOKUP(Table1[[#This Row],[Route]],SegmentsPerRoute!$C$3:$L$297,10,FALSE),0), 0)</f>
        <v>81</v>
      </c>
      <c r="E262">
        <v>16</v>
      </c>
      <c r="F262" s="1">
        <v>54.857999999999997</v>
      </c>
      <c r="G262" t="s">
        <v>466</v>
      </c>
      <c r="H262" s="1">
        <v>56.993000000000002</v>
      </c>
      <c r="I262" t="s">
        <v>467</v>
      </c>
      <c r="K262" t="s">
        <v>1704</v>
      </c>
      <c r="L262" t="s">
        <v>3039</v>
      </c>
      <c r="M262" t="s">
        <v>3047</v>
      </c>
    </row>
    <row r="263" spans="1:14" x14ac:dyDescent="0.25">
      <c r="A263" s="41" t="str">
        <f>Table1[[#This Row],[Route]]&amp;TEXT(Table1[[#This Row],[SegmentID]],"00")</f>
        <v>036B85</v>
      </c>
      <c r="B263" t="s">
        <v>454</v>
      </c>
      <c r="C263" s="3" t="s">
        <v>471</v>
      </c>
      <c r="D263">
        <f>IFERROR(ROUND(VLOOKUP(Table1[[#This Row],[Route]],SegmentsPerRoute!$C$3:$L$297,8,FALSE)+(Table1[[#This Row],[Sequence]]-1)*VLOOKUP(Table1[[#This Row],[Route]],SegmentsPerRoute!$C$3:$L$297,10,FALSE),0), 0)</f>
        <v>85</v>
      </c>
      <c r="E263">
        <v>17</v>
      </c>
      <c r="F263" s="1">
        <v>56.993000000000002</v>
      </c>
      <c r="G263" t="s">
        <v>467</v>
      </c>
      <c r="H263" s="1">
        <v>57.417999999999999</v>
      </c>
      <c r="I263" t="s">
        <v>468</v>
      </c>
      <c r="K263" t="s">
        <v>1704</v>
      </c>
      <c r="L263" t="s">
        <v>3040</v>
      </c>
      <c r="M263" t="s">
        <v>3047</v>
      </c>
    </row>
    <row r="264" spans="1:14" x14ac:dyDescent="0.25">
      <c r="A264" s="41" t="str">
        <f>Table1[[#This Row],[Route]]&amp;TEXT(Table1[[#This Row],[SegmentID]],"00")</f>
        <v>036C15</v>
      </c>
      <c r="B264" t="s">
        <v>477</v>
      </c>
      <c r="C264" s="3" t="s">
        <v>483</v>
      </c>
      <c r="D264">
        <f>IFERROR(ROUND(VLOOKUP(Table1[[#This Row],[Route]],SegmentsPerRoute!$C$3:$L$297,8,FALSE)+(Table1[[#This Row],[Sequence]]-1)*VLOOKUP(Table1[[#This Row],[Route]],SegmentsPerRoute!$C$3:$L$297,10,FALSE),0), 0)</f>
        <v>15</v>
      </c>
      <c r="E264">
        <v>1</v>
      </c>
      <c r="F264" s="1">
        <v>76.394000000000005</v>
      </c>
      <c r="G264" t="s">
        <v>478</v>
      </c>
      <c r="H264" s="1">
        <v>79.73</v>
      </c>
      <c r="I264" t="s">
        <v>479</v>
      </c>
      <c r="J264" t="s">
        <v>4603</v>
      </c>
      <c r="K264" t="s">
        <v>1707</v>
      </c>
    </row>
    <row r="265" spans="1:14" x14ac:dyDescent="0.25">
      <c r="A265" s="41" t="str">
        <f>Table1[[#This Row],[Route]]&amp;TEXT(Table1[[#This Row],[SegmentID]],"00")</f>
        <v>036C50</v>
      </c>
      <c r="B265" t="s">
        <v>477</v>
      </c>
      <c r="C265" s="3" t="s">
        <v>482</v>
      </c>
      <c r="D265">
        <f>IFERROR(ROUND(VLOOKUP(Table1[[#This Row],[Route]],SegmentsPerRoute!$C$3:$L$297,8,FALSE)+(Table1[[#This Row],[Sequence]]-1)*VLOOKUP(Table1[[#This Row],[Route]],SegmentsPerRoute!$C$3:$L$297,10,FALSE),0), 0)</f>
        <v>50</v>
      </c>
      <c r="E265">
        <v>2</v>
      </c>
      <c r="F265" s="1">
        <v>79.73</v>
      </c>
      <c r="G265" t="s">
        <v>479</v>
      </c>
      <c r="H265" s="1">
        <v>88.835999999999999</v>
      </c>
      <c r="I265" t="s">
        <v>480</v>
      </c>
      <c r="J265" t="s">
        <v>4604</v>
      </c>
      <c r="K265" t="s">
        <v>1707</v>
      </c>
    </row>
    <row r="266" spans="1:14" x14ac:dyDescent="0.25">
      <c r="A266" s="41" t="str">
        <f>Table1[[#This Row],[Route]]&amp;TEXT(Table1[[#This Row],[SegmentID]],"00")</f>
        <v>036C85</v>
      </c>
      <c r="B266" t="s">
        <v>477</v>
      </c>
      <c r="C266" s="11" t="s">
        <v>484</v>
      </c>
      <c r="D266">
        <f>IFERROR(ROUND(VLOOKUP(Table1[[#This Row],[Route]],SegmentsPerRoute!$C$3:$L$297,8,FALSE)+(Table1[[#This Row],[Sequence]]-1)*VLOOKUP(Table1[[#This Row],[Route]],SegmentsPerRoute!$C$3:$L$297,10,FALSE),0), 0)</f>
        <v>85</v>
      </c>
      <c r="E266">
        <v>3</v>
      </c>
      <c r="F266" s="1">
        <v>88.835999999999999</v>
      </c>
      <c r="G266" t="s">
        <v>480</v>
      </c>
      <c r="H266" s="1">
        <v>89.21</v>
      </c>
      <c r="I266" t="s">
        <v>481</v>
      </c>
      <c r="K266" t="s">
        <v>1724</v>
      </c>
      <c r="L266" t="s">
        <v>2340</v>
      </c>
      <c r="M266" t="s">
        <v>2341</v>
      </c>
    </row>
    <row r="267" spans="1:14" x14ac:dyDescent="0.25">
      <c r="A267" s="41" t="str">
        <f>Table1[[#This Row],[Route]]&amp;TEXT(Table1[[#This Row],[SegmentID]],"00")</f>
        <v>036D15</v>
      </c>
      <c r="B267" t="s">
        <v>485</v>
      </c>
      <c r="C267" s="3" t="s">
        <v>499</v>
      </c>
      <c r="D267">
        <f>IFERROR(ROUND(VLOOKUP(Table1[[#This Row],[Route]],SegmentsPerRoute!$C$3:$L$297,8,FALSE)+(Table1[[#This Row],[Sequence]]-1)*VLOOKUP(Table1[[#This Row],[Route]],SegmentsPerRoute!$C$3:$L$297,10,FALSE),0), 0)</f>
        <v>15</v>
      </c>
      <c r="E267">
        <v>1</v>
      </c>
      <c r="F267" s="1">
        <v>89.21</v>
      </c>
      <c r="G267" t="s">
        <v>486</v>
      </c>
      <c r="H267" s="1">
        <v>91.188000000000002</v>
      </c>
      <c r="I267" t="s">
        <v>487</v>
      </c>
      <c r="K267" t="s">
        <v>1707</v>
      </c>
      <c r="L267" t="s">
        <v>2342</v>
      </c>
      <c r="M267" t="s">
        <v>2351</v>
      </c>
      <c r="N267" t="s">
        <v>488</v>
      </c>
    </row>
    <row r="268" spans="1:14" x14ac:dyDescent="0.25">
      <c r="A268" s="41" t="str">
        <f>Table1[[#This Row],[Route]]&amp;TEXT(Table1[[#This Row],[SegmentID]],"00")</f>
        <v>036D23</v>
      </c>
      <c r="B268" t="s">
        <v>485</v>
      </c>
      <c r="C268" s="3" t="s">
        <v>500</v>
      </c>
      <c r="D268">
        <f>IFERROR(ROUND(VLOOKUP(Table1[[#This Row],[Route]],SegmentsPerRoute!$C$3:$L$297,8,FALSE)+(Table1[[#This Row],[Sequence]]-1)*VLOOKUP(Table1[[#This Row],[Route]],SegmentsPerRoute!$C$3:$L$297,10,FALSE),0), 0)</f>
        <v>23</v>
      </c>
      <c r="E268">
        <v>2</v>
      </c>
      <c r="F268" s="1">
        <v>91.188000000000002</v>
      </c>
      <c r="G268" t="s">
        <v>487</v>
      </c>
      <c r="H268" s="1">
        <v>95</v>
      </c>
      <c r="I268" t="s">
        <v>489</v>
      </c>
      <c r="K268" t="s">
        <v>1707</v>
      </c>
      <c r="L268" t="s">
        <v>2343</v>
      </c>
      <c r="M268" t="s">
        <v>2350</v>
      </c>
    </row>
    <row r="269" spans="1:14" x14ac:dyDescent="0.25">
      <c r="A269" s="41" t="str">
        <f>Table1[[#This Row],[Route]]&amp;TEXT(Table1[[#This Row],[SegmentID]],"00")</f>
        <v>036D32</v>
      </c>
      <c r="B269" t="s">
        <v>485</v>
      </c>
      <c r="C269" s="3" t="s">
        <v>501</v>
      </c>
      <c r="D269">
        <f>IFERROR(ROUND(VLOOKUP(Table1[[#This Row],[Route]],SegmentsPerRoute!$C$3:$L$297,8,FALSE)+(Table1[[#This Row],[Sequence]]-1)*VLOOKUP(Table1[[#This Row],[Route]],SegmentsPerRoute!$C$3:$L$297,10,FALSE),0), 0)</f>
        <v>32</v>
      </c>
      <c r="E269">
        <v>3</v>
      </c>
      <c r="F269" s="1">
        <v>95</v>
      </c>
      <c r="G269" t="s">
        <v>489</v>
      </c>
      <c r="H269" s="1">
        <v>100.937</v>
      </c>
      <c r="I269" t="s">
        <v>490</v>
      </c>
      <c r="J269" t="s">
        <v>4595</v>
      </c>
      <c r="K269" t="s">
        <v>1707</v>
      </c>
      <c r="N269" t="s">
        <v>507</v>
      </c>
    </row>
    <row r="270" spans="1:14" x14ac:dyDescent="0.25">
      <c r="A270" s="41" t="str">
        <f>Table1[[#This Row],[Route]]&amp;TEXT(Table1[[#This Row],[SegmentID]],"00")</f>
        <v>036D40</v>
      </c>
      <c r="B270" t="s">
        <v>485</v>
      </c>
      <c r="C270" s="3" t="s">
        <v>502</v>
      </c>
      <c r="D270">
        <f>IFERROR(ROUND(VLOOKUP(Table1[[#This Row],[Route]],SegmentsPerRoute!$C$3:$L$297,8,FALSE)+(Table1[[#This Row],[Sequence]]-1)*VLOOKUP(Table1[[#This Row],[Route]],SegmentsPerRoute!$C$3:$L$297,10,FALSE),0), 0)</f>
        <v>40</v>
      </c>
      <c r="E270">
        <v>4</v>
      </c>
      <c r="F270" s="1">
        <v>100.937</v>
      </c>
      <c r="G270" t="s">
        <v>490</v>
      </c>
      <c r="H270" s="1">
        <v>100.998</v>
      </c>
      <c r="I270" t="s">
        <v>491</v>
      </c>
      <c r="K270" t="s">
        <v>1707</v>
      </c>
      <c r="L270" t="s">
        <v>2344</v>
      </c>
      <c r="M270" t="s">
        <v>2349</v>
      </c>
    </row>
    <row r="271" spans="1:14" x14ac:dyDescent="0.25">
      <c r="A271" s="41" t="str">
        <f>Table1[[#This Row],[Route]]&amp;TEXT(Table1[[#This Row],[SegmentID]],"00")</f>
        <v>036D49</v>
      </c>
      <c r="B271" t="s">
        <v>485</v>
      </c>
      <c r="C271" s="3" t="s">
        <v>502</v>
      </c>
      <c r="D271">
        <f>IFERROR(ROUND(VLOOKUP(Table1[[#This Row],[Route]],SegmentsPerRoute!$C$3:$L$297,8,FALSE)+(Table1[[#This Row],[Sequence]]-1)*VLOOKUP(Table1[[#This Row],[Route]],SegmentsPerRoute!$C$3:$L$297,10,FALSE),0), 0)</f>
        <v>49</v>
      </c>
      <c r="E271">
        <v>5</v>
      </c>
      <c r="F271" s="1">
        <v>100.998</v>
      </c>
      <c r="G271" t="s">
        <v>491</v>
      </c>
      <c r="H271" s="1">
        <v>135.583</v>
      </c>
      <c r="I271" t="s">
        <v>492</v>
      </c>
      <c r="K271" t="s">
        <v>1707</v>
      </c>
      <c r="L271" t="s">
        <v>2345</v>
      </c>
      <c r="M271" t="s">
        <v>2348</v>
      </c>
    </row>
    <row r="272" spans="1:14" x14ac:dyDescent="0.25">
      <c r="A272" s="41" t="str">
        <f>Table1[[#This Row],[Route]]&amp;TEXT(Table1[[#This Row],[SegmentID]],"00")</f>
        <v>036D57</v>
      </c>
      <c r="B272" t="s">
        <v>485</v>
      </c>
      <c r="C272" s="3" t="s">
        <v>502</v>
      </c>
      <c r="D272">
        <f>IFERROR(ROUND(VLOOKUP(Table1[[#This Row],[Route]],SegmentsPerRoute!$C$3:$L$297,8,FALSE)+(Table1[[#This Row],[Sequence]]-1)*VLOOKUP(Table1[[#This Row],[Route]],SegmentsPerRoute!$C$3:$L$297,10,FALSE),0), 0)</f>
        <v>57</v>
      </c>
      <c r="E272">
        <v>6</v>
      </c>
      <c r="F272" s="1">
        <v>135.583</v>
      </c>
      <c r="G272" t="s">
        <v>492</v>
      </c>
      <c r="H272" s="1">
        <v>155.614</v>
      </c>
      <c r="I272" t="s">
        <v>493</v>
      </c>
      <c r="K272" t="s">
        <v>1707</v>
      </c>
      <c r="L272" t="s">
        <v>2345</v>
      </c>
      <c r="M272" t="s">
        <v>2348</v>
      </c>
    </row>
    <row r="273" spans="1:14" x14ac:dyDescent="0.25">
      <c r="A273" s="41" t="str">
        <f>Table1[[#This Row],[Route]]&amp;TEXT(Table1[[#This Row],[SegmentID]],"00")</f>
        <v>036D65</v>
      </c>
      <c r="B273" t="s">
        <v>485</v>
      </c>
      <c r="C273" s="3" t="s">
        <v>502</v>
      </c>
      <c r="D273">
        <f>IFERROR(ROUND(VLOOKUP(Table1[[#This Row],[Route]],SegmentsPerRoute!$C$3:$L$297,8,FALSE)+(Table1[[#This Row],[Sequence]]-1)*VLOOKUP(Table1[[#This Row],[Route]],SegmentsPerRoute!$C$3:$L$297,10,FALSE),0), 0)</f>
        <v>65</v>
      </c>
      <c r="E273">
        <v>7</v>
      </c>
      <c r="F273" s="1">
        <v>155.614</v>
      </c>
      <c r="G273" t="s">
        <v>493</v>
      </c>
      <c r="H273" s="1">
        <v>178.048</v>
      </c>
      <c r="I273" t="s">
        <v>494</v>
      </c>
      <c r="K273" t="s">
        <v>1707</v>
      </c>
      <c r="L273" t="s">
        <v>2345</v>
      </c>
      <c r="M273" t="s">
        <v>2348</v>
      </c>
      <c r="N273" t="s">
        <v>498</v>
      </c>
    </row>
    <row r="274" spans="1:14" x14ac:dyDescent="0.25">
      <c r="A274" s="41" t="str">
        <f>Table1[[#This Row],[Route]]&amp;TEXT(Table1[[#This Row],[SegmentID]],"00")</f>
        <v>036D74</v>
      </c>
      <c r="B274" t="s">
        <v>485</v>
      </c>
      <c r="C274" s="3" t="s">
        <v>503</v>
      </c>
      <c r="D274">
        <f>IFERROR(ROUND(VLOOKUP(Table1[[#This Row],[Route]],SegmentsPerRoute!$C$3:$L$297,8,FALSE)+(Table1[[#This Row],[Sequence]]-1)*VLOOKUP(Table1[[#This Row],[Route]],SegmentsPerRoute!$C$3:$L$297,10,FALSE),0), 0)</f>
        <v>74</v>
      </c>
      <c r="E274">
        <v>8</v>
      </c>
      <c r="F274" s="1">
        <v>178.048</v>
      </c>
      <c r="G274" t="s">
        <v>494</v>
      </c>
      <c r="H274" s="1">
        <v>185.38200000000001</v>
      </c>
      <c r="I274" t="s">
        <v>495</v>
      </c>
      <c r="K274" t="s">
        <v>1707</v>
      </c>
      <c r="L274" t="s">
        <v>2346</v>
      </c>
      <c r="M274" t="s">
        <v>2347</v>
      </c>
    </row>
    <row r="275" spans="1:14" x14ac:dyDescent="0.25">
      <c r="A275" s="41" t="str">
        <f>Table1[[#This Row],[Route]]&amp;TEXT(Table1[[#This Row],[SegmentID]],"00")</f>
        <v>036D82</v>
      </c>
      <c r="B275" t="s">
        <v>485</v>
      </c>
      <c r="C275" s="3" t="s">
        <v>503</v>
      </c>
      <c r="D275">
        <f>IFERROR(ROUND(VLOOKUP(Table1[[#This Row],[Route]],SegmentsPerRoute!$C$3:$L$297,8,FALSE)+(Table1[[#This Row],[Sequence]]-1)*VLOOKUP(Table1[[#This Row],[Route]],SegmentsPerRoute!$C$3:$L$297,10,FALSE),0), 0)</f>
        <v>82</v>
      </c>
      <c r="E275">
        <v>9</v>
      </c>
      <c r="F275" s="1">
        <v>185.38200000000001</v>
      </c>
      <c r="G275" t="s">
        <v>495</v>
      </c>
      <c r="H275" s="1">
        <v>211.10900000000001</v>
      </c>
      <c r="I275" t="s">
        <v>496</v>
      </c>
      <c r="K275" t="s">
        <v>1707</v>
      </c>
      <c r="L275" t="s">
        <v>2346</v>
      </c>
      <c r="M275" t="s">
        <v>2347</v>
      </c>
    </row>
    <row r="276" spans="1:14" x14ac:dyDescent="0.25">
      <c r="A276" s="41" t="str">
        <f>Table1[[#This Row],[Route]]&amp;TEXT(Table1[[#This Row],[SegmentID]],"00")</f>
        <v>036D91</v>
      </c>
      <c r="B276" t="s">
        <v>485</v>
      </c>
      <c r="C276" s="3" t="s">
        <v>503</v>
      </c>
      <c r="D276">
        <f>IFERROR(ROUND(VLOOKUP(Table1[[#This Row],[Route]],SegmentsPerRoute!$C$3:$L$297,8,FALSE)+(Table1[[#This Row],[Sequence]]-1)*VLOOKUP(Table1[[#This Row],[Route]],SegmentsPerRoute!$C$3:$L$297,10,FALSE),0), 0)</f>
        <v>91</v>
      </c>
      <c r="E276">
        <v>10</v>
      </c>
      <c r="F276" s="1">
        <v>211.10900000000001</v>
      </c>
      <c r="G276" t="s">
        <v>496</v>
      </c>
      <c r="H276" s="1">
        <v>213.654</v>
      </c>
      <c r="I276" t="s">
        <v>497</v>
      </c>
      <c r="K276" t="s">
        <v>1707</v>
      </c>
      <c r="L276" t="s">
        <v>2346</v>
      </c>
      <c r="M276" t="s">
        <v>2347</v>
      </c>
    </row>
    <row r="277" spans="1:14" x14ac:dyDescent="0.25">
      <c r="A277" s="41" t="str">
        <f>Table1[[#This Row],[Route]]&amp;TEXT(Table1[[#This Row],[SegmentID]],"00")</f>
        <v>036D99</v>
      </c>
      <c r="B277" t="s">
        <v>485</v>
      </c>
      <c r="C277" s="3" t="s">
        <v>503</v>
      </c>
      <c r="D277">
        <f>IFERROR(ROUND(VLOOKUP(Table1[[#This Row],[Route]],SegmentsPerRoute!$C$3:$L$297,8,FALSE)+(Table1[[#This Row],[Sequence]]-1)*VLOOKUP(Table1[[#This Row],[Route]],SegmentsPerRoute!$C$3:$L$297,10,FALSE),0), 0)</f>
        <v>99</v>
      </c>
      <c r="E277">
        <v>11</v>
      </c>
      <c r="F277" s="1">
        <v>213.654</v>
      </c>
      <c r="G277" t="s">
        <v>497</v>
      </c>
      <c r="H277" s="1">
        <v>224.71799999999999</v>
      </c>
      <c r="I277" t="s">
        <v>250</v>
      </c>
      <c r="K277" t="s">
        <v>1707</v>
      </c>
      <c r="L277" t="s">
        <v>2346</v>
      </c>
      <c r="M277" t="s">
        <v>2347</v>
      </c>
    </row>
    <row r="278" spans="1:14" x14ac:dyDescent="0.25">
      <c r="A278" s="41" t="str">
        <f>Table1[[#This Row],[Route]]&amp;TEXT(Table1[[#This Row],[SegmentID]],"00")</f>
        <v>036E15</v>
      </c>
      <c r="B278" t="s">
        <v>504</v>
      </c>
      <c r="D278">
        <f>IFERROR(ROUND(VLOOKUP(Table1[[#This Row],[Route]],SegmentsPerRoute!$C$3:$L$297,8,FALSE)+(Table1[[#This Row],[Sequence]]-1)*VLOOKUP(Table1[[#This Row],[Route]],SegmentsPerRoute!$C$3:$L$297,10,FALSE),0), 0)</f>
        <v>15</v>
      </c>
      <c r="E278">
        <v>1</v>
      </c>
      <c r="F278" s="1">
        <v>0</v>
      </c>
      <c r="G278" t="s">
        <v>505</v>
      </c>
      <c r="H278" s="1">
        <v>0.35699999999999998</v>
      </c>
      <c r="I278" t="s">
        <v>506</v>
      </c>
      <c r="K278" t="s">
        <v>1690</v>
      </c>
      <c r="L278" t="s">
        <v>2352</v>
      </c>
      <c r="M278" t="s">
        <v>2353</v>
      </c>
    </row>
    <row r="279" spans="1:14" x14ac:dyDescent="0.25">
      <c r="A279" s="41" t="str">
        <f>Table1[[#This Row],[Route]]&amp;TEXT(Table1[[#This Row],[SegmentID]],"00")</f>
        <v>036Z15</v>
      </c>
      <c r="B279" t="s">
        <v>508</v>
      </c>
      <c r="D279">
        <f>IFERROR(ROUND(VLOOKUP(Table1[[#This Row],[Route]],SegmentsPerRoute!$C$3:$L$297,8,FALSE)+(Table1[[#This Row],[Sequence]]-1)*VLOOKUP(Table1[[#This Row],[Route]],SegmentsPerRoute!$C$3:$L$297,10,FALSE),0), 0)</f>
        <v>15</v>
      </c>
      <c r="E279">
        <v>1</v>
      </c>
      <c r="F279" s="1">
        <v>0</v>
      </c>
      <c r="G279" t="s">
        <v>509</v>
      </c>
      <c r="H279" s="1">
        <v>0.29899999999999999</v>
      </c>
      <c r="I279" t="s">
        <v>510</v>
      </c>
      <c r="K279" t="s">
        <v>1701</v>
      </c>
      <c r="L279" t="s">
        <v>2329</v>
      </c>
      <c r="M279" t="s">
        <v>2095</v>
      </c>
    </row>
    <row r="280" spans="1:14" x14ac:dyDescent="0.25">
      <c r="A280" s="41" t="str">
        <f>Table1[[#This Row],[Route]]&amp;TEXT(Table1[[#This Row],[SegmentID]],"00")</f>
        <v>039A15</v>
      </c>
      <c r="B280" t="s">
        <v>511</v>
      </c>
      <c r="D280">
        <f>IFERROR(ROUND(VLOOKUP(Table1[[#This Row],[Route]],SegmentsPerRoute!$C$3:$L$297,8,FALSE)+(Table1[[#This Row],[Sequence]]-1)*VLOOKUP(Table1[[#This Row],[Route]],SegmentsPerRoute!$C$3:$L$297,10,FALSE),0), 0)</f>
        <v>15</v>
      </c>
      <c r="E280">
        <v>1</v>
      </c>
      <c r="F280" s="1">
        <v>0</v>
      </c>
      <c r="G280" t="s">
        <v>512</v>
      </c>
      <c r="H280" s="1">
        <v>0.224</v>
      </c>
      <c r="I280" t="s">
        <v>87</v>
      </c>
      <c r="J280" t="s">
        <v>913</v>
      </c>
      <c r="K280" t="s">
        <v>1690</v>
      </c>
      <c r="L280" t="s">
        <v>2354</v>
      </c>
      <c r="M280" t="s">
        <v>2355</v>
      </c>
    </row>
    <row r="281" spans="1:14" x14ac:dyDescent="0.25">
      <c r="A281" s="41" t="str">
        <f>Table1[[#This Row],[Route]]&amp;TEXT(Table1[[#This Row],[SegmentID]],"00")</f>
        <v>039A50</v>
      </c>
      <c r="B281" t="s">
        <v>511</v>
      </c>
      <c r="D281">
        <f>IFERROR(ROUND(VLOOKUP(Table1[[#This Row],[Route]],SegmentsPerRoute!$C$3:$L$297,8,FALSE)+(Table1[[#This Row],[Sequence]]-1)*VLOOKUP(Table1[[#This Row],[Route]],SegmentsPerRoute!$C$3:$L$297,10,FALSE),0), 0)</f>
        <v>50</v>
      </c>
      <c r="E281">
        <v>2</v>
      </c>
      <c r="F281" s="1">
        <v>0.224</v>
      </c>
      <c r="G281" t="s">
        <v>87</v>
      </c>
      <c r="H281" s="1">
        <v>0.32800000000000001</v>
      </c>
      <c r="I281" t="s">
        <v>431</v>
      </c>
      <c r="K281" t="s">
        <v>1690</v>
      </c>
      <c r="L281" t="s">
        <v>2354</v>
      </c>
      <c r="M281" t="s">
        <v>2355</v>
      </c>
    </row>
    <row r="282" spans="1:14" x14ac:dyDescent="0.25">
      <c r="A282" s="41" t="str">
        <f>Table1[[#This Row],[Route]]&amp;TEXT(Table1[[#This Row],[SegmentID]],"00")</f>
        <v>039A85</v>
      </c>
      <c r="B282" t="s">
        <v>511</v>
      </c>
      <c r="D282">
        <f>IFERROR(ROUND(VLOOKUP(Table1[[#This Row],[Route]],SegmentsPerRoute!$C$3:$L$297,8,FALSE)+(Table1[[#This Row],[Sequence]]-1)*VLOOKUP(Table1[[#This Row],[Route]],SegmentsPerRoute!$C$3:$L$297,10,FALSE),0), 0)</f>
        <v>85</v>
      </c>
      <c r="E282">
        <v>3</v>
      </c>
      <c r="F282" s="1">
        <v>0.32800000000000001</v>
      </c>
      <c r="G282" t="s">
        <v>431</v>
      </c>
      <c r="H282" s="1">
        <v>7.5709999999999997</v>
      </c>
      <c r="I282" t="s">
        <v>404</v>
      </c>
      <c r="K282" t="s">
        <v>1690</v>
      </c>
      <c r="L282" t="s">
        <v>2354</v>
      </c>
      <c r="M282" t="s">
        <v>2355</v>
      </c>
      <c r="N282" t="s">
        <v>77</v>
      </c>
    </row>
    <row r="283" spans="1:14" x14ac:dyDescent="0.25">
      <c r="A283" s="41" t="str">
        <f>Table1[[#This Row],[Route]]&amp;TEXT(Table1[[#This Row],[SegmentID]],"00")</f>
        <v>040A01</v>
      </c>
      <c r="B283" t="s">
        <v>513</v>
      </c>
      <c r="C283" s="3" t="s">
        <v>528</v>
      </c>
      <c r="D283">
        <f>IFERROR(ROUND(VLOOKUP(Table1[[#This Row],[Route]],SegmentsPerRoute!$C$3:$L$297,8,FALSE)+(Table1[[#This Row],[Sequence]]-1)*VLOOKUP(Table1[[#This Row],[Route]],SegmentsPerRoute!$C$3:$L$297,10,FALSE),0), 0)</f>
        <v>1</v>
      </c>
      <c r="E283">
        <v>1</v>
      </c>
      <c r="F283" s="1">
        <v>0</v>
      </c>
      <c r="G283" t="s">
        <v>514</v>
      </c>
      <c r="H283" s="1">
        <v>2.9129999999999998</v>
      </c>
      <c r="I283" t="s">
        <v>515</v>
      </c>
      <c r="K283" t="s">
        <v>1700</v>
      </c>
      <c r="L283" t="s">
        <v>2357</v>
      </c>
      <c r="M283" t="s">
        <v>2370</v>
      </c>
    </row>
    <row r="284" spans="1:14" x14ac:dyDescent="0.25">
      <c r="A284" s="41" t="str">
        <f>Table1[[#This Row],[Route]]&amp;TEXT(Table1[[#This Row],[SegmentID]],"00")</f>
        <v>040A08</v>
      </c>
      <c r="B284" t="s">
        <v>513</v>
      </c>
      <c r="C284" s="3" t="s">
        <v>528</v>
      </c>
      <c r="D284">
        <f>IFERROR(ROUND(VLOOKUP(Table1[[#This Row],[Route]],SegmentsPerRoute!$C$3:$L$297,8,FALSE)+(Table1[[#This Row],[Sequence]]-1)*VLOOKUP(Table1[[#This Row],[Route]],SegmentsPerRoute!$C$3:$L$297,10,FALSE),0), 0)</f>
        <v>8</v>
      </c>
      <c r="E284">
        <v>2</v>
      </c>
      <c r="F284" s="1">
        <v>2.9129999999999998</v>
      </c>
      <c r="G284" t="s">
        <v>515</v>
      </c>
      <c r="H284" s="1">
        <v>59.790999999999997</v>
      </c>
      <c r="I284" t="s">
        <v>516</v>
      </c>
      <c r="K284" t="s">
        <v>1700</v>
      </c>
      <c r="L284" t="s">
        <v>2358</v>
      </c>
      <c r="M284" t="s">
        <v>2369</v>
      </c>
    </row>
    <row r="285" spans="1:14" x14ac:dyDescent="0.25">
      <c r="A285" s="41" t="str">
        <f>Table1[[#This Row],[Route]]&amp;TEXT(Table1[[#This Row],[SegmentID]],"00")</f>
        <v>040A14</v>
      </c>
      <c r="B285" t="s">
        <v>513</v>
      </c>
      <c r="C285" s="3" t="s">
        <v>528</v>
      </c>
      <c r="D285">
        <f>IFERROR(ROUND(VLOOKUP(Table1[[#This Row],[Route]],SegmentsPerRoute!$C$3:$L$297,8,FALSE)+(Table1[[#This Row],[Sequence]]-1)*VLOOKUP(Table1[[#This Row],[Route]],SegmentsPerRoute!$C$3:$L$297,10,FALSE),0), 0)</f>
        <v>14</v>
      </c>
      <c r="E285">
        <v>3</v>
      </c>
      <c r="F285" s="1">
        <v>59.790999999999997</v>
      </c>
      <c r="G285" t="s">
        <v>516</v>
      </c>
      <c r="H285" s="1">
        <v>89.322000000000003</v>
      </c>
      <c r="I285" t="s">
        <v>517</v>
      </c>
      <c r="K285" t="s">
        <v>1700</v>
      </c>
      <c r="L285" t="s">
        <v>2358</v>
      </c>
      <c r="M285" t="s">
        <v>2369</v>
      </c>
      <c r="N285" t="s">
        <v>188</v>
      </c>
    </row>
    <row r="286" spans="1:14" x14ac:dyDescent="0.25">
      <c r="A286" s="41" t="str">
        <f>Table1[[#This Row],[Route]]&amp;TEXT(Table1[[#This Row],[SegmentID]],"00")</f>
        <v>040A21</v>
      </c>
      <c r="B286" t="s">
        <v>513</v>
      </c>
      <c r="C286" s="3" t="s">
        <v>528</v>
      </c>
      <c r="D286">
        <f>IFERROR(ROUND(VLOOKUP(Table1[[#This Row],[Route]],SegmentsPerRoute!$C$3:$L$297,8,FALSE)+(Table1[[#This Row],[Sequence]]-1)*VLOOKUP(Table1[[#This Row],[Route]],SegmentsPerRoute!$C$3:$L$297,10,FALSE),0), 0)</f>
        <v>21</v>
      </c>
      <c r="E286">
        <v>4</v>
      </c>
      <c r="F286" s="1">
        <v>89.322000000000003</v>
      </c>
      <c r="G286" t="s">
        <v>517</v>
      </c>
      <c r="H286" s="1">
        <v>90.358000000000004</v>
      </c>
      <c r="I286" t="s">
        <v>192</v>
      </c>
      <c r="K286" t="s">
        <v>1700</v>
      </c>
      <c r="L286" t="s">
        <v>2359</v>
      </c>
      <c r="M286" t="s">
        <v>2368</v>
      </c>
    </row>
    <row r="287" spans="1:14" x14ac:dyDescent="0.25">
      <c r="A287" s="41" t="str">
        <f>Table1[[#This Row],[Route]]&amp;TEXT(Table1[[#This Row],[SegmentID]],"00")</f>
        <v>040A27</v>
      </c>
      <c r="B287" t="s">
        <v>513</v>
      </c>
      <c r="C287" s="3" t="s">
        <v>528</v>
      </c>
      <c r="D287">
        <f>IFERROR(ROUND(VLOOKUP(Table1[[#This Row],[Route]],SegmentsPerRoute!$C$3:$L$297,8,FALSE)+(Table1[[#This Row],[Sequence]]-1)*VLOOKUP(Table1[[#This Row],[Route]],SegmentsPerRoute!$C$3:$L$297,10,FALSE),0), 0)</f>
        <v>27</v>
      </c>
      <c r="E287">
        <v>5</v>
      </c>
      <c r="F287" s="1">
        <v>90.358000000000004</v>
      </c>
      <c r="G287" t="s">
        <v>192</v>
      </c>
      <c r="H287" s="1">
        <v>90.531000000000006</v>
      </c>
      <c r="I287" t="s">
        <v>518</v>
      </c>
      <c r="K287" t="s">
        <v>1700</v>
      </c>
      <c r="L287" t="s">
        <v>2359</v>
      </c>
      <c r="M287" t="s">
        <v>2356</v>
      </c>
    </row>
    <row r="288" spans="1:14" x14ac:dyDescent="0.25">
      <c r="A288" s="41" t="str">
        <f>Table1[[#This Row],[Route]]&amp;TEXT(Table1[[#This Row],[SegmentID]],"00")</f>
        <v>040A34</v>
      </c>
      <c r="B288" t="s">
        <v>513</v>
      </c>
      <c r="C288" s="3" t="s">
        <v>528</v>
      </c>
      <c r="D288">
        <f>IFERROR(ROUND(VLOOKUP(Table1[[#This Row],[Route]],SegmentsPerRoute!$C$3:$L$297,8,FALSE)+(Table1[[#This Row],[Sequence]]-1)*VLOOKUP(Table1[[#This Row],[Route]],SegmentsPerRoute!$C$3:$L$297,10,FALSE),0), 0)</f>
        <v>34</v>
      </c>
      <c r="E288">
        <v>6</v>
      </c>
      <c r="F288" s="1">
        <v>90.531000000000006</v>
      </c>
      <c r="G288" t="s">
        <v>518</v>
      </c>
      <c r="H288" s="1">
        <v>90.837999999999994</v>
      </c>
      <c r="I288" t="s">
        <v>519</v>
      </c>
      <c r="K288" t="s">
        <v>1700</v>
      </c>
      <c r="L288" t="s">
        <v>2359</v>
      </c>
      <c r="M288" t="s">
        <v>2356</v>
      </c>
    </row>
    <row r="289" spans="1:14" x14ac:dyDescent="0.25">
      <c r="A289" s="41" t="str">
        <f>Table1[[#This Row],[Route]]&amp;TEXT(Table1[[#This Row],[SegmentID]],"00")</f>
        <v>040A40</v>
      </c>
      <c r="B289" t="s">
        <v>513</v>
      </c>
      <c r="C289" s="3" t="s">
        <v>528</v>
      </c>
      <c r="D289">
        <f>IFERROR(ROUND(VLOOKUP(Table1[[#This Row],[Route]],SegmentsPerRoute!$C$3:$L$297,8,FALSE)+(Table1[[#This Row],[Sequence]]-1)*VLOOKUP(Table1[[#This Row],[Route]],SegmentsPerRoute!$C$3:$L$297,10,FALSE),0), 0)</f>
        <v>40</v>
      </c>
      <c r="E289">
        <v>7</v>
      </c>
      <c r="F289" s="1">
        <v>90.837999999999994</v>
      </c>
      <c r="G289" t="s">
        <v>519</v>
      </c>
      <c r="H289" s="1">
        <v>91.262</v>
      </c>
      <c r="I289" t="s">
        <v>192</v>
      </c>
      <c r="K289" t="s">
        <v>1700</v>
      </c>
      <c r="L289" t="s">
        <v>2359</v>
      </c>
      <c r="M289" t="s">
        <v>2356</v>
      </c>
      <c r="N289" t="s">
        <v>193</v>
      </c>
    </row>
    <row r="290" spans="1:14" x14ac:dyDescent="0.25">
      <c r="A290" s="41" t="str">
        <f>Table1[[#This Row],[Route]]&amp;TEXT(Table1[[#This Row],[SegmentID]],"00")</f>
        <v>040A47</v>
      </c>
      <c r="B290" t="s">
        <v>513</v>
      </c>
      <c r="C290" s="3" t="s">
        <v>528</v>
      </c>
      <c r="D290">
        <f>IFERROR(ROUND(VLOOKUP(Table1[[#This Row],[Route]],SegmentsPerRoute!$C$3:$L$297,8,FALSE)+(Table1[[#This Row],[Sequence]]-1)*VLOOKUP(Table1[[#This Row],[Route]],SegmentsPerRoute!$C$3:$L$297,10,FALSE),0), 0)</f>
        <v>47</v>
      </c>
      <c r="E290">
        <v>8</v>
      </c>
      <c r="F290" s="1">
        <v>91.262</v>
      </c>
      <c r="G290" t="s">
        <v>192</v>
      </c>
      <c r="H290" s="1">
        <v>136.51499999999999</v>
      </c>
      <c r="I290" t="s">
        <v>520</v>
      </c>
      <c r="K290" t="s">
        <v>1700</v>
      </c>
      <c r="L290" t="s">
        <v>2359</v>
      </c>
      <c r="M290" t="s">
        <v>2368</v>
      </c>
      <c r="N290" t="s">
        <v>188</v>
      </c>
    </row>
    <row r="291" spans="1:14" x14ac:dyDescent="0.25">
      <c r="A291" s="41" t="str">
        <f>Table1[[#This Row],[Route]]&amp;TEXT(Table1[[#This Row],[SegmentID]],"00")</f>
        <v>040A53</v>
      </c>
      <c r="B291" t="s">
        <v>513</v>
      </c>
      <c r="C291" s="3" t="s">
        <v>529</v>
      </c>
      <c r="D291">
        <f>IFERROR(ROUND(VLOOKUP(Table1[[#This Row],[Route]],SegmentsPerRoute!$C$3:$L$297,8,FALSE)+(Table1[[#This Row],[Sequence]]-1)*VLOOKUP(Table1[[#This Row],[Route]],SegmentsPerRoute!$C$3:$L$297,10,FALSE),0), 0)</f>
        <v>53</v>
      </c>
      <c r="E291">
        <v>9</v>
      </c>
      <c r="F291" s="1">
        <v>136.51499999999999</v>
      </c>
      <c r="G291" t="s">
        <v>520</v>
      </c>
      <c r="H291" s="1">
        <v>157.327</v>
      </c>
      <c r="I291" t="s">
        <v>521</v>
      </c>
      <c r="K291" t="s">
        <v>1700</v>
      </c>
      <c r="L291" t="s">
        <v>2360</v>
      </c>
      <c r="M291" t="s">
        <v>2367</v>
      </c>
      <c r="N291" t="s">
        <v>531</v>
      </c>
    </row>
    <row r="292" spans="1:14" x14ac:dyDescent="0.25">
      <c r="A292" s="41" t="str">
        <f>Table1[[#This Row],[Route]]&amp;TEXT(Table1[[#This Row],[SegmentID]],"00")</f>
        <v>040A60</v>
      </c>
      <c r="B292" t="s">
        <v>513</v>
      </c>
      <c r="C292" s="3" t="s">
        <v>529</v>
      </c>
      <c r="D292">
        <f>IFERROR(ROUND(VLOOKUP(Table1[[#This Row],[Route]],SegmentsPerRoute!$C$3:$L$297,8,FALSE)+(Table1[[#This Row],[Sequence]]-1)*VLOOKUP(Table1[[#This Row],[Route]],SegmentsPerRoute!$C$3:$L$297,10,FALSE),0), 0)</f>
        <v>60</v>
      </c>
      <c r="E292">
        <v>10</v>
      </c>
      <c r="F292" s="1">
        <v>157.327</v>
      </c>
      <c r="G292" t="s">
        <v>521</v>
      </c>
      <c r="H292" s="1">
        <v>178.25700000000001</v>
      </c>
      <c r="I292" t="s">
        <v>522</v>
      </c>
      <c r="K292" t="s">
        <v>1700</v>
      </c>
      <c r="L292" t="s">
        <v>2360</v>
      </c>
      <c r="M292" t="s">
        <v>2367</v>
      </c>
      <c r="N292" t="s">
        <v>532</v>
      </c>
    </row>
    <row r="293" spans="1:14" x14ac:dyDescent="0.25">
      <c r="A293" s="41" t="str">
        <f>Table1[[#This Row],[Route]]&amp;TEXT(Table1[[#This Row],[SegmentID]],"00")</f>
        <v>040A66</v>
      </c>
      <c r="B293" t="s">
        <v>513</v>
      </c>
      <c r="C293" s="3" t="s">
        <v>529</v>
      </c>
      <c r="D293">
        <f>IFERROR(ROUND(VLOOKUP(Table1[[#This Row],[Route]],SegmentsPerRoute!$C$3:$L$297,8,FALSE)+(Table1[[#This Row],[Sequence]]-1)*VLOOKUP(Table1[[#This Row],[Route]],SegmentsPerRoute!$C$3:$L$297,10,FALSE),0), 0)</f>
        <v>66</v>
      </c>
      <c r="E293">
        <v>11</v>
      </c>
      <c r="F293" s="1">
        <v>178.25700000000001</v>
      </c>
      <c r="G293" t="s">
        <v>522</v>
      </c>
      <c r="H293" s="1">
        <v>184.529</v>
      </c>
      <c r="I293" t="s">
        <v>523</v>
      </c>
      <c r="K293" t="s">
        <v>1700</v>
      </c>
      <c r="L293" t="s">
        <v>2361</v>
      </c>
      <c r="M293" t="s">
        <v>2366</v>
      </c>
      <c r="N293" t="s">
        <v>532</v>
      </c>
    </row>
    <row r="294" spans="1:14" x14ac:dyDescent="0.25">
      <c r="A294" s="41" t="str">
        <f>Table1[[#This Row],[Route]]&amp;TEXT(Table1[[#This Row],[SegmentID]],"00")</f>
        <v>040A73</v>
      </c>
      <c r="B294" t="s">
        <v>513</v>
      </c>
      <c r="C294" s="3" t="s">
        <v>529</v>
      </c>
      <c r="D294">
        <f>IFERROR(ROUND(VLOOKUP(Table1[[#This Row],[Route]],SegmentsPerRoute!$C$3:$L$297,8,FALSE)+(Table1[[#This Row],[Sequence]]-1)*VLOOKUP(Table1[[#This Row],[Route]],SegmentsPerRoute!$C$3:$L$297,10,FALSE),0), 0)</f>
        <v>73</v>
      </c>
      <c r="E294">
        <v>12</v>
      </c>
      <c r="F294" s="1">
        <v>184.529</v>
      </c>
      <c r="G294" t="s">
        <v>523</v>
      </c>
      <c r="H294" s="1">
        <v>209.16499999999999</v>
      </c>
      <c r="I294" t="s">
        <v>524</v>
      </c>
      <c r="K294" t="s">
        <v>1700</v>
      </c>
      <c r="L294" t="s">
        <v>2361</v>
      </c>
      <c r="M294" t="s">
        <v>2366</v>
      </c>
      <c r="N294" t="s">
        <v>48</v>
      </c>
    </row>
    <row r="295" spans="1:14" x14ac:dyDescent="0.25">
      <c r="A295" s="41" t="str">
        <f>Table1[[#This Row],[Route]]&amp;TEXT(Table1[[#This Row],[SegmentID]],"00")</f>
        <v>040A79</v>
      </c>
      <c r="B295" t="s">
        <v>513</v>
      </c>
      <c r="C295" s="3" t="s">
        <v>529</v>
      </c>
      <c r="D295">
        <f>IFERROR(ROUND(VLOOKUP(Table1[[#This Row],[Route]],SegmentsPerRoute!$C$3:$L$297,8,FALSE)+(Table1[[#This Row],[Sequence]]-1)*VLOOKUP(Table1[[#This Row],[Route]],SegmentsPerRoute!$C$3:$L$297,10,FALSE),0), 0)</f>
        <v>79</v>
      </c>
      <c r="E295">
        <v>13</v>
      </c>
      <c r="F295" s="1">
        <v>209.16499999999999</v>
      </c>
      <c r="G295" t="s">
        <v>524</v>
      </c>
      <c r="H295" s="1">
        <v>211.08099999999999</v>
      </c>
      <c r="I295" t="s">
        <v>525</v>
      </c>
      <c r="K295" t="s">
        <v>1700</v>
      </c>
      <c r="L295" t="s">
        <v>2362</v>
      </c>
      <c r="M295" t="s">
        <v>2365</v>
      </c>
      <c r="N295" t="s">
        <v>533</v>
      </c>
    </row>
    <row r="296" spans="1:14" x14ac:dyDescent="0.25">
      <c r="A296" s="41" t="str">
        <f>Table1[[#This Row],[Route]]&amp;TEXT(Table1[[#This Row],[SegmentID]],"00")</f>
        <v>040A86</v>
      </c>
      <c r="B296" t="s">
        <v>513</v>
      </c>
      <c r="C296" s="3" t="s">
        <v>530</v>
      </c>
      <c r="D296">
        <f>IFERROR(ROUND(VLOOKUP(Table1[[#This Row],[Route]],SegmentsPerRoute!$C$3:$L$297,8,FALSE)+(Table1[[#This Row],[Sequence]]-1)*VLOOKUP(Table1[[#This Row],[Route]],SegmentsPerRoute!$C$3:$L$297,10,FALSE),0), 0)</f>
        <v>86</v>
      </c>
      <c r="E296">
        <v>14</v>
      </c>
      <c r="F296" s="1">
        <v>211.08099999999999</v>
      </c>
      <c r="G296" t="s">
        <v>525</v>
      </c>
      <c r="H296" s="1">
        <v>258.25799999999998</v>
      </c>
      <c r="I296" t="s">
        <v>527</v>
      </c>
      <c r="K296" t="s">
        <v>1700</v>
      </c>
      <c r="L296" t="s">
        <v>2363</v>
      </c>
      <c r="M296" t="s">
        <v>2364</v>
      </c>
      <c r="N296" t="s">
        <v>534</v>
      </c>
    </row>
    <row r="297" spans="1:14" x14ac:dyDescent="0.25">
      <c r="A297" s="41" t="str">
        <f>Table1[[#This Row],[Route]]&amp;TEXT(Table1[[#This Row],[SegmentID]],"00")</f>
        <v>040B15</v>
      </c>
      <c r="B297" t="s">
        <v>535</v>
      </c>
      <c r="C297" s="3" t="s">
        <v>541</v>
      </c>
      <c r="D297">
        <f>IFERROR(ROUND(VLOOKUP(Table1[[#This Row],[Route]],SegmentsPerRoute!$C$3:$L$297,8,FALSE)+(Table1[[#This Row],[Sequence]]-1)*VLOOKUP(Table1[[#This Row],[Route]],SegmentsPerRoute!$C$3:$L$297,10,FALSE),0), 0)</f>
        <v>15</v>
      </c>
      <c r="E297">
        <v>1</v>
      </c>
      <c r="F297" s="1">
        <v>269.44099999999997</v>
      </c>
      <c r="G297" t="s">
        <v>536</v>
      </c>
      <c r="H297" s="1">
        <v>271.488</v>
      </c>
      <c r="I297" t="s">
        <v>537</v>
      </c>
      <c r="K297" t="s">
        <v>1702</v>
      </c>
      <c r="L297" t="s">
        <v>2371</v>
      </c>
      <c r="M297" t="s">
        <v>2376</v>
      </c>
      <c r="N297" t="s">
        <v>76</v>
      </c>
    </row>
    <row r="298" spans="1:14" x14ac:dyDescent="0.25">
      <c r="A298" s="41" t="str">
        <f>Table1[[#This Row],[Route]]&amp;TEXT(Table1[[#This Row],[SegmentID]],"00")</f>
        <v>040B38</v>
      </c>
      <c r="B298" t="s">
        <v>535</v>
      </c>
      <c r="C298" s="3" t="s">
        <v>542</v>
      </c>
      <c r="D298">
        <f>IFERROR(ROUND(VLOOKUP(Table1[[#This Row],[Route]],SegmentsPerRoute!$C$3:$L$297,8,FALSE)+(Table1[[#This Row],[Sequence]]-1)*VLOOKUP(Table1[[#This Row],[Route]],SegmentsPerRoute!$C$3:$L$297,10,FALSE),0), 0)</f>
        <v>38</v>
      </c>
      <c r="E298">
        <v>2</v>
      </c>
      <c r="F298" s="1">
        <v>271.488</v>
      </c>
      <c r="G298" t="s">
        <v>537</v>
      </c>
      <c r="H298" s="1">
        <v>272.55200000000002</v>
      </c>
      <c r="I298" t="s">
        <v>538</v>
      </c>
      <c r="K298" t="s">
        <v>1702</v>
      </c>
      <c r="L298" t="s">
        <v>2372</v>
      </c>
      <c r="M298" t="s">
        <v>2375</v>
      </c>
    </row>
    <row r="299" spans="1:14" x14ac:dyDescent="0.25">
      <c r="A299" s="41" t="str">
        <f>Table1[[#This Row],[Route]]&amp;TEXT(Table1[[#This Row],[SegmentID]],"00")</f>
        <v>040B62</v>
      </c>
      <c r="B299" t="s">
        <v>535</v>
      </c>
      <c r="C299" s="3" t="s">
        <v>543</v>
      </c>
      <c r="D299">
        <f>IFERROR(ROUND(VLOOKUP(Table1[[#This Row],[Route]],SegmentsPerRoute!$C$3:$L$297,8,FALSE)+(Table1[[#This Row],[Sequence]]-1)*VLOOKUP(Table1[[#This Row],[Route]],SegmentsPerRoute!$C$3:$L$297,10,FALSE),0), 0)</f>
        <v>62</v>
      </c>
      <c r="E299">
        <v>3</v>
      </c>
      <c r="F299" s="1">
        <v>272.55200000000002</v>
      </c>
      <c r="G299" t="s">
        <v>538</v>
      </c>
      <c r="H299" s="1">
        <v>276.18</v>
      </c>
      <c r="I299" t="s">
        <v>539</v>
      </c>
      <c r="J299" t="s">
        <v>4595</v>
      </c>
      <c r="K299" t="s">
        <v>1702</v>
      </c>
      <c r="N299" t="s">
        <v>545</v>
      </c>
    </row>
    <row r="300" spans="1:14" x14ac:dyDescent="0.25">
      <c r="A300" s="41" t="str">
        <f>Table1[[#This Row],[Route]]&amp;TEXT(Table1[[#This Row],[SegmentID]],"00")</f>
        <v>040B85</v>
      </c>
      <c r="B300" t="s">
        <v>535</v>
      </c>
      <c r="C300" s="3" t="s">
        <v>544</v>
      </c>
      <c r="D300">
        <f>IFERROR(ROUND(VLOOKUP(Table1[[#This Row],[Route]],SegmentsPerRoute!$C$3:$L$297,8,FALSE)+(Table1[[#This Row],[Sequence]]-1)*VLOOKUP(Table1[[#This Row],[Route]],SegmentsPerRoute!$C$3:$L$297,10,FALSE),0), 0)</f>
        <v>85</v>
      </c>
      <c r="E300">
        <v>4</v>
      </c>
      <c r="F300" s="1">
        <v>276.18</v>
      </c>
      <c r="G300" t="s">
        <v>539</v>
      </c>
      <c r="H300" s="1">
        <v>276.92</v>
      </c>
      <c r="I300" t="s">
        <v>540</v>
      </c>
      <c r="K300" t="s">
        <v>1702</v>
      </c>
      <c r="L300" t="s">
        <v>2373</v>
      </c>
      <c r="M300" t="s">
        <v>2374</v>
      </c>
    </row>
    <row r="301" spans="1:14" x14ac:dyDescent="0.25">
      <c r="A301" s="41" t="str">
        <f>Table1[[#This Row],[Route]]&amp;TEXT(Table1[[#This Row],[SegmentID]],"00")</f>
        <v>040C15</v>
      </c>
      <c r="B301" t="s">
        <v>546</v>
      </c>
      <c r="C301" s="3" t="s">
        <v>552</v>
      </c>
      <c r="D301">
        <f>IFERROR(ROUND(VLOOKUP(Table1[[#This Row],[Route]],SegmentsPerRoute!$C$3:$L$297,8,FALSE)+(Table1[[#This Row],[Sequence]]-1)*VLOOKUP(Table1[[#This Row],[Route]],SegmentsPerRoute!$C$3:$L$297,10,FALSE),0), 0)</f>
        <v>15</v>
      </c>
      <c r="E301">
        <v>1</v>
      </c>
      <c r="F301" s="1">
        <v>279.20800000000003</v>
      </c>
      <c r="G301" t="s">
        <v>547</v>
      </c>
      <c r="H301" s="1">
        <v>281.97699999999998</v>
      </c>
      <c r="I301" t="s">
        <v>548</v>
      </c>
      <c r="J301" t="s">
        <v>4595</v>
      </c>
      <c r="K301" t="s">
        <v>1702</v>
      </c>
    </row>
    <row r="302" spans="1:14" x14ac:dyDescent="0.25">
      <c r="A302" s="41" t="str">
        <f>Table1[[#This Row],[Route]]&amp;TEXT(Table1[[#This Row],[SegmentID]],"00")</f>
        <v>040C21</v>
      </c>
      <c r="B302" t="s">
        <v>546</v>
      </c>
      <c r="C302" s="3" t="s">
        <v>553</v>
      </c>
      <c r="D302">
        <f>IFERROR(ROUND(VLOOKUP(Table1[[#This Row],[Route]],SegmentsPerRoute!$C$3:$L$297,8,FALSE)+(Table1[[#This Row],[Sequence]]-1)*VLOOKUP(Table1[[#This Row],[Route]],SegmentsPerRoute!$C$3:$L$297,10,FALSE),0), 0)</f>
        <v>21</v>
      </c>
      <c r="E302">
        <v>2</v>
      </c>
      <c r="F302" s="1">
        <v>281.97699999999998</v>
      </c>
      <c r="G302" t="s">
        <v>548</v>
      </c>
      <c r="H302" s="1">
        <v>284.88799999999998</v>
      </c>
      <c r="I302" t="s">
        <v>549</v>
      </c>
      <c r="J302" t="s">
        <v>4595</v>
      </c>
      <c r="K302" t="s">
        <v>1702</v>
      </c>
      <c r="N302" t="s">
        <v>561</v>
      </c>
    </row>
    <row r="303" spans="1:14" x14ac:dyDescent="0.25">
      <c r="A303" s="41" t="str">
        <f>Table1[[#This Row],[Route]]&amp;TEXT(Table1[[#This Row],[SegmentID]],"00")</f>
        <v>040C28</v>
      </c>
      <c r="B303" t="s">
        <v>546</v>
      </c>
      <c r="C303" s="3" t="s">
        <v>554</v>
      </c>
      <c r="D303">
        <f>IFERROR(ROUND(VLOOKUP(Table1[[#This Row],[Route]],SegmentsPerRoute!$C$3:$L$297,8,FALSE)+(Table1[[#This Row],[Sequence]]-1)*VLOOKUP(Table1[[#This Row],[Route]],SegmentsPerRoute!$C$3:$L$297,10,FALSE),0), 0)</f>
        <v>28</v>
      </c>
      <c r="E303">
        <v>3</v>
      </c>
      <c r="F303" s="1">
        <v>284.88799999999998</v>
      </c>
      <c r="G303" t="s">
        <v>549</v>
      </c>
      <c r="H303" s="1">
        <v>286.87099999999998</v>
      </c>
      <c r="I303" t="s">
        <v>536</v>
      </c>
      <c r="J303" t="s">
        <v>4595</v>
      </c>
      <c r="K303" t="s">
        <v>1702</v>
      </c>
    </row>
    <row r="304" spans="1:14" x14ac:dyDescent="0.25">
      <c r="A304" s="41" t="str">
        <f>Table1[[#This Row],[Route]]&amp;TEXT(Table1[[#This Row],[SegmentID]],"00")</f>
        <v>040C34</v>
      </c>
      <c r="B304" t="s">
        <v>546</v>
      </c>
      <c r="C304" s="3" t="s">
        <v>555</v>
      </c>
      <c r="D304">
        <f>IFERROR(ROUND(VLOOKUP(Table1[[#This Row],[Route]],SegmentsPerRoute!$C$3:$L$297,8,FALSE)+(Table1[[#This Row],[Sequence]]-1)*VLOOKUP(Table1[[#This Row],[Route]],SegmentsPerRoute!$C$3:$L$297,10,FALSE),0), 0)</f>
        <v>34</v>
      </c>
      <c r="E304">
        <v>4</v>
      </c>
      <c r="F304" s="1">
        <v>286.87099999999998</v>
      </c>
      <c r="G304" t="s">
        <v>536</v>
      </c>
      <c r="H304" s="1">
        <v>287.90300000000002</v>
      </c>
      <c r="I304" t="s">
        <v>71</v>
      </c>
      <c r="K304" t="s">
        <v>1702</v>
      </c>
      <c r="L304" t="s">
        <v>2377</v>
      </c>
      <c r="M304" t="s">
        <v>2393</v>
      </c>
    </row>
    <row r="305" spans="1:14" x14ac:dyDescent="0.25">
      <c r="A305" s="41" t="str">
        <f>Table1[[#This Row],[Route]]&amp;TEXT(Table1[[#This Row],[SegmentID]],"00")</f>
        <v>040C41</v>
      </c>
      <c r="B305" t="s">
        <v>546</v>
      </c>
      <c r="C305" s="3" t="s">
        <v>556</v>
      </c>
      <c r="D305">
        <f>IFERROR(ROUND(VLOOKUP(Table1[[#This Row],[Route]],SegmentsPerRoute!$C$3:$L$297,8,FALSE)+(Table1[[#This Row],[Sequence]]-1)*VLOOKUP(Table1[[#This Row],[Route]],SegmentsPerRoute!$C$3:$L$297,10,FALSE),0), 0)</f>
        <v>41</v>
      </c>
      <c r="E305">
        <v>5</v>
      </c>
      <c r="F305" s="1">
        <v>287.90300000000002</v>
      </c>
      <c r="G305" t="s">
        <v>71</v>
      </c>
      <c r="H305" s="1">
        <v>288.66300000000001</v>
      </c>
      <c r="I305" t="s">
        <v>1897</v>
      </c>
      <c r="K305" t="s">
        <v>1704</v>
      </c>
      <c r="L305" t="s">
        <v>2379</v>
      </c>
      <c r="M305" t="s">
        <v>2392</v>
      </c>
    </row>
    <row r="306" spans="1:14" ht="30" x14ac:dyDescent="0.25">
      <c r="A306" s="41" t="str">
        <f>Table1[[#This Row],[Route]]&amp;TEXT(Table1[[#This Row],[SegmentID]],"00")</f>
        <v>040C47</v>
      </c>
      <c r="B306" t="s">
        <v>546</v>
      </c>
      <c r="C306" s="3" t="s">
        <v>556</v>
      </c>
      <c r="D306">
        <f>IFERROR(ROUND(VLOOKUP(Table1[[#This Row],[Route]],SegmentsPerRoute!$C$3:$L$297,8,FALSE)+(Table1[[#This Row],[Sequence]]-1)*VLOOKUP(Table1[[#This Row],[Route]],SegmentsPerRoute!$C$3:$L$297,10,FALSE),0), 0)</f>
        <v>47</v>
      </c>
      <c r="E306">
        <v>6</v>
      </c>
      <c r="F306" s="1">
        <v>288.66300000000001</v>
      </c>
      <c r="G306" s="4" t="s">
        <v>1897</v>
      </c>
      <c r="H306" s="1">
        <v>291.44400000000002</v>
      </c>
      <c r="I306" t="s">
        <v>72</v>
      </c>
      <c r="K306" t="s">
        <v>1704</v>
      </c>
      <c r="L306" t="s">
        <v>2380</v>
      </c>
      <c r="M306" t="s">
        <v>2391</v>
      </c>
    </row>
    <row r="307" spans="1:14" x14ac:dyDescent="0.25">
      <c r="A307" s="41" t="str">
        <f>Table1[[#This Row],[Route]]&amp;TEXT(Table1[[#This Row],[SegmentID]],"00")</f>
        <v>040C53</v>
      </c>
      <c r="B307" t="s">
        <v>546</v>
      </c>
      <c r="C307" s="3" t="s">
        <v>557</v>
      </c>
      <c r="D307">
        <f>IFERROR(ROUND(VLOOKUP(Table1[[#This Row],[Route]],SegmentsPerRoute!$C$3:$L$297,8,FALSE)+(Table1[[#This Row],[Sequence]]-1)*VLOOKUP(Table1[[#This Row],[Route]],SegmentsPerRoute!$C$3:$L$297,10,FALSE),0), 0)</f>
        <v>53</v>
      </c>
      <c r="E307">
        <v>7</v>
      </c>
      <c r="F307" s="1">
        <v>291.44400000000002</v>
      </c>
      <c r="G307" t="s">
        <v>72</v>
      </c>
      <c r="H307" s="1">
        <v>292.94299999999998</v>
      </c>
      <c r="I307" t="s">
        <v>73</v>
      </c>
      <c r="K307" t="s">
        <v>1702</v>
      </c>
      <c r="L307" t="s">
        <v>2381</v>
      </c>
      <c r="M307" t="s">
        <v>2390</v>
      </c>
    </row>
    <row r="308" spans="1:14" x14ac:dyDescent="0.25">
      <c r="A308" s="41" t="str">
        <f>Table1[[#This Row],[Route]]&amp;TEXT(Table1[[#This Row],[SegmentID]],"00")</f>
        <v>040C60</v>
      </c>
      <c r="B308" t="s">
        <v>546</v>
      </c>
      <c r="C308" s="3" t="s">
        <v>557</v>
      </c>
      <c r="D308">
        <f>IFERROR(ROUND(VLOOKUP(Table1[[#This Row],[Route]],SegmentsPerRoute!$C$3:$L$297,8,FALSE)+(Table1[[#This Row],[Sequence]]-1)*VLOOKUP(Table1[[#This Row],[Route]],SegmentsPerRoute!$C$3:$L$297,10,FALSE),0), 0)</f>
        <v>60</v>
      </c>
      <c r="E308">
        <v>8</v>
      </c>
      <c r="F308" s="1">
        <v>292.94299999999998</v>
      </c>
      <c r="G308" t="s">
        <v>73</v>
      </c>
      <c r="H308" s="1">
        <v>294.27300000000002</v>
      </c>
      <c r="I308" t="s">
        <v>74</v>
      </c>
      <c r="K308" t="s">
        <v>1702</v>
      </c>
      <c r="L308" t="s">
        <v>2381</v>
      </c>
      <c r="M308" t="s">
        <v>2390</v>
      </c>
    </row>
    <row r="309" spans="1:14" x14ac:dyDescent="0.25">
      <c r="A309" s="41" t="str">
        <f>Table1[[#This Row],[Route]]&amp;TEXT(Table1[[#This Row],[SegmentID]],"00")</f>
        <v>040C66</v>
      </c>
      <c r="B309" t="s">
        <v>546</v>
      </c>
      <c r="C309" s="3" t="s">
        <v>557</v>
      </c>
      <c r="D309">
        <f>IFERROR(ROUND(VLOOKUP(Table1[[#This Row],[Route]],SegmentsPerRoute!$C$3:$L$297,8,FALSE)+(Table1[[#This Row],[Sequence]]-1)*VLOOKUP(Table1[[#This Row],[Route]],SegmentsPerRoute!$C$3:$L$297,10,FALSE),0), 0)</f>
        <v>66</v>
      </c>
      <c r="E309">
        <v>9</v>
      </c>
      <c r="F309" s="1">
        <v>294.27300000000002</v>
      </c>
      <c r="G309" t="s">
        <v>74</v>
      </c>
      <c r="H309" s="1">
        <v>296.15699999999998</v>
      </c>
      <c r="I309" t="s">
        <v>550</v>
      </c>
      <c r="K309" t="s">
        <v>1702</v>
      </c>
      <c r="L309" t="s">
        <v>2381</v>
      </c>
      <c r="M309" t="s">
        <v>2390</v>
      </c>
    </row>
    <row r="310" spans="1:14" x14ac:dyDescent="0.25">
      <c r="A310" s="41" t="str">
        <f>Table1[[#This Row],[Route]]&amp;TEXT(Table1[[#This Row],[SegmentID]],"00")</f>
        <v>040C73</v>
      </c>
      <c r="B310" t="s">
        <v>546</v>
      </c>
      <c r="C310" s="3" t="s">
        <v>558</v>
      </c>
      <c r="D310">
        <f>IFERROR(ROUND(VLOOKUP(Table1[[#This Row],[Route]],SegmentsPerRoute!$C$3:$L$297,8,FALSE)+(Table1[[#This Row],[Sequence]]-1)*VLOOKUP(Table1[[#This Row],[Route]],SegmentsPerRoute!$C$3:$L$297,10,FALSE),0), 0)</f>
        <v>73</v>
      </c>
      <c r="E310">
        <v>10</v>
      </c>
      <c r="F310" s="1">
        <v>296.15699999999998</v>
      </c>
      <c r="G310" t="s">
        <v>550</v>
      </c>
      <c r="H310" s="1">
        <v>296.79199999999997</v>
      </c>
      <c r="I310" t="s">
        <v>11</v>
      </c>
      <c r="K310" t="s">
        <v>1704</v>
      </c>
      <c r="L310" t="s">
        <v>2382</v>
      </c>
      <c r="M310" t="s">
        <v>2389</v>
      </c>
      <c r="N310" t="s">
        <v>77</v>
      </c>
    </row>
    <row r="311" spans="1:14" x14ac:dyDescent="0.25">
      <c r="A311" s="41" t="str">
        <f>Table1[[#This Row],[Route]]&amp;TEXT(Table1[[#This Row],[SegmentID]],"00")</f>
        <v>040C79</v>
      </c>
      <c r="B311" t="s">
        <v>546</v>
      </c>
      <c r="C311" s="3" t="s">
        <v>558</v>
      </c>
      <c r="D311">
        <f>IFERROR(ROUND(VLOOKUP(Table1[[#This Row],[Route]],SegmentsPerRoute!$C$3:$L$297,8,FALSE)+(Table1[[#This Row],[Sequence]]-1)*VLOOKUP(Table1[[#This Row],[Route]],SegmentsPerRoute!$C$3:$L$297,10,FALSE),0), 0)</f>
        <v>79</v>
      </c>
      <c r="E311">
        <v>11</v>
      </c>
      <c r="F311" s="1">
        <v>296.79199999999997</v>
      </c>
      <c r="G311" t="s">
        <v>11</v>
      </c>
      <c r="H311" s="1">
        <v>300.625</v>
      </c>
      <c r="I311" t="s">
        <v>83</v>
      </c>
      <c r="K311" t="s">
        <v>1704</v>
      </c>
      <c r="L311" t="s">
        <v>2383</v>
      </c>
      <c r="M311" t="s">
        <v>2388</v>
      </c>
      <c r="N311" t="s">
        <v>392</v>
      </c>
    </row>
    <row r="312" spans="1:14" x14ac:dyDescent="0.25">
      <c r="A312" s="41" t="str">
        <f>Table1[[#This Row],[Route]]&amp;TEXT(Table1[[#This Row],[SegmentID]],"00")</f>
        <v>040C85</v>
      </c>
      <c r="B312" t="s">
        <v>546</v>
      </c>
      <c r="C312" s="3" t="s">
        <v>559</v>
      </c>
      <c r="D312">
        <f>IFERROR(ROUND(VLOOKUP(Table1[[#This Row],[Route]],SegmentsPerRoute!$C$3:$L$297,8,FALSE)+(Table1[[#This Row],[Sequence]]-1)*VLOOKUP(Table1[[#This Row],[Route]],SegmentsPerRoute!$C$3:$L$297,10,FALSE),0), 0)</f>
        <v>85</v>
      </c>
      <c r="E312">
        <v>12</v>
      </c>
      <c r="F312" s="1">
        <v>300.625</v>
      </c>
      <c r="G312" t="s">
        <v>83</v>
      </c>
      <c r="H312" s="1">
        <v>306.34100000000001</v>
      </c>
      <c r="I312" t="s">
        <v>332</v>
      </c>
      <c r="K312" t="s">
        <v>1702</v>
      </c>
      <c r="L312" t="s">
        <v>2384</v>
      </c>
      <c r="M312" t="s">
        <v>2387</v>
      </c>
      <c r="N312" t="s">
        <v>393</v>
      </c>
    </row>
    <row r="313" spans="1:14" x14ac:dyDescent="0.25">
      <c r="A313" s="41" t="str">
        <f>Table1[[#This Row],[Route]]&amp;TEXT(Table1[[#This Row],[SegmentID]],"00")</f>
        <v>040C92</v>
      </c>
      <c r="B313" t="s">
        <v>546</v>
      </c>
      <c r="C313" s="3" t="s">
        <v>560</v>
      </c>
      <c r="D313">
        <f>IFERROR(ROUND(VLOOKUP(Table1[[#This Row],[Route]],SegmentsPerRoute!$C$3:$L$297,8,FALSE)+(Table1[[#This Row],[Sequence]]-1)*VLOOKUP(Table1[[#This Row],[Route]],SegmentsPerRoute!$C$3:$L$297,10,FALSE),0), 0)</f>
        <v>92</v>
      </c>
      <c r="E313">
        <v>13</v>
      </c>
      <c r="F313" s="1">
        <v>306.34100000000001</v>
      </c>
      <c r="G313" t="s">
        <v>332</v>
      </c>
      <c r="H313" s="1">
        <v>312.142</v>
      </c>
      <c r="I313" t="s">
        <v>551</v>
      </c>
      <c r="K313" t="s">
        <v>1704</v>
      </c>
      <c r="L313" t="s">
        <v>2385</v>
      </c>
      <c r="M313" t="s">
        <v>2386</v>
      </c>
    </row>
    <row r="314" spans="1:14" x14ac:dyDescent="0.25">
      <c r="A314" s="41" t="str">
        <f>Table1[[#This Row],[Route]]&amp;TEXT(Table1[[#This Row],[SegmentID]],"00")</f>
        <v>040D15</v>
      </c>
      <c r="B314" t="s">
        <v>562</v>
      </c>
      <c r="D314">
        <f>IFERROR(ROUND(VLOOKUP(Table1[[#This Row],[Route]],SegmentsPerRoute!$C$3:$L$297,8,FALSE)+(Table1[[#This Row],[Sequence]]-1)*VLOOKUP(Table1[[#This Row],[Route]],SegmentsPerRoute!$C$3:$L$297,10,FALSE),0), 0)</f>
        <v>15</v>
      </c>
      <c r="E314">
        <v>1</v>
      </c>
      <c r="F314" s="1">
        <v>338.57</v>
      </c>
      <c r="G314" t="s">
        <v>563</v>
      </c>
      <c r="H314" s="1">
        <v>340.38099999999997</v>
      </c>
      <c r="I314" t="s">
        <v>564</v>
      </c>
      <c r="J314" t="s">
        <v>21</v>
      </c>
      <c r="K314" t="s">
        <v>1709</v>
      </c>
    </row>
    <row r="315" spans="1:14" x14ac:dyDescent="0.25">
      <c r="A315" s="41" t="str">
        <f>Table1[[#This Row],[Route]]&amp;TEXT(Table1[[#This Row],[SegmentID]],"00")</f>
        <v>040E15</v>
      </c>
      <c r="B315" t="s">
        <v>565</v>
      </c>
      <c r="D315">
        <f>IFERROR(ROUND(VLOOKUP(Table1[[#This Row],[Route]],SegmentsPerRoute!$C$3:$L$297,8,FALSE)+(Table1[[#This Row],[Sequence]]-1)*VLOOKUP(Table1[[#This Row],[Route]],SegmentsPerRoute!$C$3:$L$297,10,FALSE),0), 0)</f>
        <v>15</v>
      </c>
      <c r="E315">
        <v>1</v>
      </c>
      <c r="F315" s="1">
        <v>346.29</v>
      </c>
      <c r="G315" t="s">
        <v>566</v>
      </c>
      <c r="H315" s="1">
        <v>350.86200000000002</v>
      </c>
      <c r="I315" t="s">
        <v>567</v>
      </c>
      <c r="J315" t="s">
        <v>4595</v>
      </c>
      <c r="K315" s="10" t="s">
        <v>1714</v>
      </c>
      <c r="L315" s="10"/>
      <c r="M315" s="10"/>
    </row>
    <row r="316" spans="1:14" x14ac:dyDescent="0.25">
      <c r="A316" s="41" t="str">
        <f>Table1[[#This Row],[Route]]&amp;TEXT(Table1[[#This Row],[SegmentID]],"00")</f>
        <v>040E85</v>
      </c>
      <c r="B316" t="s">
        <v>565</v>
      </c>
      <c r="D316">
        <f>IFERROR(ROUND(VLOOKUP(Table1[[#This Row],[Route]],SegmentsPerRoute!$C$3:$L$297,8,FALSE)+(Table1[[#This Row],[Sequence]]-1)*VLOOKUP(Table1[[#This Row],[Route]],SegmentsPerRoute!$C$3:$L$297,10,FALSE),0), 0)</f>
        <v>85</v>
      </c>
      <c r="E316">
        <v>2</v>
      </c>
      <c r="F316" s="1">
        <v>350.86200000000002</v>
      </c>
      <c r="G316" t="s">
        <v>567</v>
      </c>
      <c r="H316" s="1">
        <v>352.245</v>
      </c>
      <c r="I316" t="s">
        <v>568</v>
      </c>
      <c r="J316" t="s">
        <v>21</v>
      </c>
      <c r="K316" t="s">
        <v>1709</v>
      </c>
    </row>
    <row r="317" spans="1:14" ht="30" x14ac:dyDescent="0.25">
      <c r="A317" s="43" t="str">
        <f>Table1[[#This Row],[Route]]&amp;TEXT(Table1[[#This Row],[SegmentID]],"00")</f>
        <v>040F15</v>
      </c>
      <c r="B317" t="s">
        <v>569</v>
      </c>
      <c r="D317">
        <f>IFERROR(ROUND(VLOOKUP(Table1[[#This Row],[Route]],SegmentsPerRoute!$C$3:$L$297,8,FALSE)+(Table1[[#This Row],[Sequence]]-1)*VLOOKUP(Table1[[#This Row],[Route]],SegmentsPerRoute!$C$3:$L$297,10,FALSE),0), 0)</f>
        <v>15</v>
      </c>
      <c r="E317">
        <v>1</v>
      </c>
      <c r="F317" s="1">
        <v>360.20100000000002</v>
      </c>
      <c r="G317" s="10" t="s">
        <v>570</v>
      </c>
      <c r="H317" s="14">
        <v>362.99900000000002</v>
      </c>
      <c r="I317" s="10" t="s">
        <v>571</v>
      </c>
      <c r="J317" s="16" t="s">
        <v>1750</v>
      </c>
      <c r="K317" s="10" t="s">
        <v>1709</v>
      </c>
      <c r="L317" s="10"/>
      <c r="M317" s="10"/>
    </row>
    <row r="318" spans="1:14" ht="30" x14ac:dyDescent="0.25">
      <c r="A318" s="43" t="str">
        <f>Table1[[#This Row],[Route]]&amp;TEXT(Table1[[#This Row],[SegmentID]],"00")</f>
        <v>040G15</v>
      </c>
      <c r="B318" t="s">
        <v>572</v>
      </c>
      <c r="D318">
        <f>IFERROR(ROUND(VLOOKUP(Table1[[#This Row],[Route]],SegmentsPerRoute!$C$3:$L$297,8,FALSE)+(Table1[[#This Row],[Sequence]]-1)*VLOOKUP(Table1[[#This Row],[Route]],SegmentsPerRoute!$C$3:$L$297,10,FALSE),0), 0)</f>
        <v>15</v>
      </c>
      <c r="E318">
        <v>1</v>
      </c>
      <c r="F318" s="1">
        <v>380.68900000000002</v>
      </c>
      <c r="G318" t="s">
        <v>573</v>
      </c>
      <c r="H318" s="1">
        <v>382.18400000000003</v>
      </c>
      <c r="I318" t="s">
        <v>574</v>
      </c>
      <c r="J318" s="4" t="s">
        <v>1748</v>
      </c>
      <c r="K318" t="s">
        <v>1709</v>
      </c>
    </row>
    <row r="319" spans="1:14" x14ac:dyDescent="0.25">
      <c r="A319" s="41" t="str">
        <f>Table1[[#This Row],[Route]]&amp;TEXT(Table1[[#This Row],[SegmentID]],"00")</f>
        <v>040H15</v>
      </c>
      <c r="B319" t="s">
        <v>575</v>
      </c>
      <c r="C319" s="3" t="s">
        <v>581</v>
      </c>
      <c r="D319">
        <f>IFERROR(ROUND(VLOOKUP(Table1[[#This Row],[Route]],SegmentsPerRoute!$C$3:$L$297,8,FALSE)+(Table1[[#This Row],[Sequence]]-1)*VLOOKUP(Table1[[#This Row],[Route]],SegmentsPerRoute!$C$3:$L$297,10,FALSE),0), 0)</f>
        <v>15</v>
      </c>
      <c r="E319">
        <v>1</v>
      </c>
      <c r="F319" s="1">
        <v>386.01</v>
      </c>
      <c r="G319" t="s">
        <v>576</v>
      </c>
      <c r="H319" s="1">
        <v>425.47199999999998</v>
      </c>
      <c r="I319" t="s">
        <v>294</v>
      </c>
      <c r="K319" t="s">
        <v>1707</v>
      </c>
      <c r="L319" t="s">
        <v>2394</v>
      </c>
      <c r="M319" t="s">
        <v>2399</v>
      </c>
    </row>
    <row r="320" spans="1:14" x14ac:dyDescent="0.25">
      <c r="A320" s="41" t="str">
        <f>Table1[[#This Row],[Route]]&amp;TEXT(Table1[[#This Row],[SegmentID]],"00")</f>
        <v>040H32</v>
      </c>
      <c r="B320" t="s">
        <v>575</v>
      </c>
      <c r="C320" s="3" t="s">
        <v>581</v>
      </c>
      <c r="D320">
        <f>IFERROR(ROUND(VLOOKUP(Table1[[#This Row],[Route]],SegmentsPerRoute!$C$3:$L$297,8,FALSE)+(Table1[[#This Row],[Sequence]]-1)*VLOOKUP(Table1[[#This Row],[Route]],SegmentsPerRoute!$C$3:$L$297,10,FALSE),0), 0)</f>
        <v>32</v>
      </c>
      <c r="E320">
        <v>2</v>
      </c>
      <c r="F320" s="1">
        <v>425.47199999999998</v>
      </c>
      <c r="G320" t="s">
        <v>294</v>
      </c>
      <c r="H320" s="1">
        <v>445.142</v>
      </c>
      <c r="I320" t="s">
        <v>577</v>
      </c>
      <c r="K320" t="s">
        <v>1707</v>
      </c>
      <c r="L320" t="s">
        <v>2394</v>
      </c>
      <c r="M320" t="s">
        <v>2399</v>
      </c>
    </row>
    <row r="321" spans="1:14" x14ac:dyDescent="0.25">
      <c r="A321" s="41" t="str">
        <f>Table1[[#This Row],[Route]]&amp;TEXT(Table1[[#This Row],[SegmentID]],"00")</f>
        <v>040H49</v>
      </c>
      <c r="B321" t="s">
        <v>575</v>
      </c>
      <c r="C321" s="3" t="s">
        <v>581</v>
      </c>
      <c r="D321">
        <f>IFERROR(ROUND(VLOOKUP(Table1[[#This Row],[Route]],SegmentsPerRoute!$C$3:$L$297,8,FALSE)+(Table1[[#This Row],[Sequence]]-1)*VLOOKUP(Table1[[#This Row],[Route]],SegmentsPerRoute!$C$3:$L$297,10,FALSE),0), 0)</f>
        <v>49</v>
      </c>
      <c r="E321">
        <v>3</v>
      </c>
      <c r="F321" s="1">
        <v>445.142</v>
      </c>
      <c r="G321" t="s">
        <v>577</v>
      </c>
      <c r="H321" s="1">
        <v>446.05099999999999</v>
      </c>
      <c r="I321" t="s">
        <v>578</v>
      </c>
      <c r="K321" t="s">
        <v>1707</v>
      </c>
      <c r="L321" t="s">
        <v>2394</v>
      </c>
      <c r="M321" t="s">
        <v>2399</v>
      </c>
    </row>
    <row r="322" spans="1:14" x14ac:dyDescent="0.25">
      <c r="A322" s="41" t="str">
        <f>Table1[[#This Row],[Route]]&amp;TEXT(Table1[[#This Row],[SegmentID]],"00")</f>
        <v>040H65</v>
      </c>
      <c r="B322" t="s">
        <v>575</v>
      </c>
      <c r="C322" s="3" t="s">
        <v>581</v>
      </c>
      <c r="D322">
        <f>IFERROR(ROUND(VLOOKUP(Table1[[#This Row],[Route]],SegmentsPerRoute!$C$3:$L$297,8,FALSE)+(Table1[[#This Row],[Sequence]]-1)*VLOOKUP(Table1[[#This Row],[Route]],SegmentsPerRoute!$C$3:$L$297,10,FALSE),0), 0)</f>
        <v>65</v>
      </c>
      <c r="E322">
        <v>4</v>
      </c>
      <c r="F322" s="1">
        <v>446.05099999999999</v>
      </c>
      <c r="G322" t="s">
        <v>578</v>
      </c>
      <c r="H322" s="1">
        <v>470.31099999999998</v>
      </c>
      <c r="I322" t="s">
        <v>579</v>
      </c>
      <c r="K322" t="s">
        <v>1707</v>
      </c>
      <c r="L322" t="s">
        <v>2394</v>
      </c>
      <c r="M322" t="s">
        <v>2399</v>
      </c>
    </row>
    <row r="323" spans="1:14" x14ac:dyDescent="0.25">
      <c r="A323" s="41" t="str">
        <f>Table1[[#This Row],[Route]]&amp;TEXT(Table1[[#This Row],[SegmentID]],"00")</f>
        <v>040H82</v>
      </c>
      <c r="B323" t="s">
        <v>575</v>
      </c>
      <c r="C323" s="3" t="s">
        <v>581</v>
      </c>
      <c r="D323">
        <f>IFERROR(ROUND(VLOOKUP(Table1[[#This Row],[Route]],SegmentsPerRoute!$C$3:$L$297,8,FALSE)+(Table1[[#This Row],[Sequence]]-1)*VLOOKUP(Table1[[#This Row],[Route]],SegmentsPerRoute!$C$3:$L$297,10,FALSE),0), 0)</f>
        <v>82</v>
      </c>
      <c r="E323">
        <v>5</v>
      </c>
      <c r="F323" s="1">
        <v>470.31099999999998</v>
      </c>
      <c r="G323" t="s">
        <v>579</v>
      </c>
      <c r="H323" s="1">
        <v>470.88499999999999</v>
      </c>
      <c r="I323" t="s">
        <v>580</v>
      </c>
      <c r="K323" t="s">
        <v>1707</v>
      </c>
      <c r="L323" t="s">
        <v>2395</v>
      </c>
      <c r="M323" t="s">
        <v>2398</v>
      </c>
    </row>
    <row r="324" spans="1:14" x14ac:dyDescent="0.25">
      <c r="A324" s="41" t="str">
        <f>Table1[[#This Row],[Route]]&amp;TEXT(Table1[[#This Row],[SegmentID]],"00")</f>
        <v>040H99</v>
      </c>
      <c r="B324" t="s">
        <v>575</v>
      </c>
      <c r="C324" s="3" t="s">
        <v>582</v>
      </c>
      <c r="D324">
        <f>IFERROR(ROUND(VLOOKUP(Table1[[#This Row],[Route]],SegmentsPerRoute!$C$3:$L$297,8,FALSE)+(Table1[[#This Row],[Sequence]]-1)*VLOOKUP(Table1[[#This Row],[Route]],SegmentsPerRoute!$C$3:$L$297,10,FALSE),0), 0)</f>
        <v>99</v>
      </c>
      <c r="E324">
        <v>6</v>
      </c>
      <c r="F324" s="1">
        <v>470.88499999999999</v>
      </c>
      <c r="G324" t="s">
        <v>580</v>
      </c>
      <c r="H324" s="1">
        <v>486.92399999999998</v>
      </c>
      <c r="I324" t="s">
        <v>250</v>
      </c>
      <c r="K324" t="s">
        <v>1707</v>
      </c>
      <c r="L324" t="s">
        <v>2396</v>
      </c>
      <c r="M324" t="s">
        <v>2397</v>
      </c>
    </row>
    <row r="325" spans="1:14" x14ac:dyDescent="0.25">
      <c r="A325" s="41" t="str">
        <f>Table1[[#This Row],[Route]]&amp;TEXT(Table1[[#This Row],[SegmentID]],"00")</f>
        <v>040Z15</v>
      </c>
      <c r="B325" t="s">
        <v>583</v>
      </c>
      <c r="D325">
        <f>IFERROR(ROUND(VLOOKUP(Table1[[#This Row],[Route]],SegmentsPerRoute!$C$3:$L$297,8,FALSE)+(Table1[[#This Row],[Sequence]]-1)*VLOOKUP(Table1[[#This Row],[Route]],SegmentsPerRoute!$C$3:$L$297,10,FALSE),0), 0)</f>
        <v>15</v>
      </c>
      <c r="E325">
        <v>1</v>
      </c>
      <c r="F325" s="1">
        <v>0</v>
      </c>
      <c r="G325" t="s">
        <v>584</v>
      </c>
      <c r="H325" s="1">
        <v>0.34799999999999998</v>
      </c>
      <c r="I325" t="s">
        <v>585</v>
      </c>
      <c r="K325" t="s">
        <v>1700</v>
      </c>
      <c r="L325" t="s">
        <v>2368</v>
      </c>
      <c r="M325" t="s">
        <v>2095</v>
      </c>
      <c r="N325" t="s">
        <v>193</v>
      </c>
    </row>
    <row r="326" spans="1:14" x14ac:dyDescent="0.25">
      <c r="A326" s="41" t="str">
        <f>Table1[[#This Row],[Route]]&amp;TEXT(Table1[[#This Row],[SegmentID]],"00")</f>
        <v>040Z50</v>
      </c>
      <c r="B326" t="s">
        <v>583</v>
      </c>
      <c r="D326">
        <f>IFERROR(ROUND(VLOOKUP(Table1[[#This Row],[Route]],SegmentsPerRoute!$C$3:$L$297,8,FALSE)+(Table1[[#This Row],[Sequence]]-1)*VLOOKUP(Table1[[#This Row],[Route]],SegmentsPerRoute!$C$3:$L$297,10,FALSE),0), 0)</f>
        <v>50</v>
      </c>
      <c r="E326">
        <v>2</v>
      </c>
      <c r="F326" s="1">
        <v>0.34799999999999998</v>
      </c>
      <c r="G326" t="s">
        <v>585</v>
      </c>
      <c r="H326" s="1">
        <v>0.64600000000000002</v>
      </c>
      <c r="I326" t="s">
        <v>586</v>
      </c>
      <c r="K326" t="s">
        <v>1700</v>
      </c>
      <c r="L326" t="s">
        <v>2368</v>
      </c>
      <c r="M326" t="s">
        <v>2095</v>
      </c>
    </row>
    <row r="327" spans="1:14" x14ac:dyDescent="0.25">
      <c r="A327" s="41" t="str">
        <f>Table1[[#This Row],[Route]]&amp;TEXT(Table1[[#This Row],[SegmentID]],"00")</f>
        <v>040Z85</v>
      </c>
      <c r="B327" t="s">
        <v>583</v>
      </c>
      <c r="D327">
        <f>IFERROR(ROUND(VLOOKUP(Table1[[#This Row],[Route]],SegmentsPerRoute!$C$3:$L$297,8,FALSE)+(Table1[[#This Row],[Sequence]]-1)*VLOOKUP(Table1[[#This Row],[Route]],SegmentsPerRoute!$C$3:$L$297,10,FALSE),0), 0)</f>
        <v>85</v>
      </c>
      <c r="E327">
        <v>3</v>
      </c>
      <c r="F327" s="1">
        <v>0.64600000000000002</v>
      </c>
      <c r="G327" t="s">
        <v>586</v>
      </c>
      <c r="H327" s="1">
        <v>0.73</v>
      </c>
      <c r="I327" t="s">
        <v>587</v>
      </c>
      <c r="K327" t="s">
        <v>1700</v>
      </c>
      <c r="L327" t="s">
        <v>2368</v>
      </c>
      <c r="M327" t="s">
        <v>2095</v>
      </c>
    </row>
    <row r="328" spans="1:14" x14ac:dyDescent="0.25">
      <c r="A328" s="41" t="str">
        <f>Table1[[#This Row],[Route]]&amp;TEXT(Table1[[#This Row],[SegmentID]],"00")</f>
        <v>041A15</v>
      </c>
      <c r="B328" t="s">
        <v>588</v>
      </c>
      <c r="D328">
        <f>IFERROR(ROUND(VLOOKUP(Table1[[#This Row],[Route]],SegmentsPerRoute!$C$3:$L$297,8,FALSE)+(Table1[[#This Row],[Sequence]]-1)*VLOOKUP(Table1[[#This Row],[Route]],SegmentsPerRoute!$C$3:$L$297,10,FALSE),0), 0)</f>
        <v>15</v>
      </c>
      <c r="E328">
        <v>1</v>
      </c>
      <c r="F328" s="1">
        <v>0</v>
      </c>
      <c r="G328" t="s">
        <v>24</v>
      </c>
      <c r="H328" s="1">
        <v>9.5050000000000008</v>
      </c>
      <c r="I328" t="s">
        <v>514</v>
      </c>
      <c r="K328" t="s">
        <v>1695</v>
      </c>
      <c r="L328" t="s">
        <v>2400</v>
      </c>
      <c r="M328" t="s">
        <v>2401</v>
      </c>
    </row>
    <row r="329" spans="1:14" x14ac:dyDescent="0.25">
      <c r="A329" s="41" t="str">
        <f>Table1[[#This Row],[Route]]&amp;TEXT(Table1[[#This Row],[SegmentID]],"00")</f>
        <v>042A15</v>
      </c>
      <c r="B329" t="s">
        <v>589</v>
      </c>
      <c r="D329">
        <f>IFERROR(ROUND(VLOOKUP(Table1[[#This Row],[Route]],SegmentsPerRoute!$C$3:$L$297,8,FALSE)+(Table1[[#This Row],[Sequence]]-1)*VLOOKUP(Table1[[#This Row],[Route]],SegmentsPerRoute!$C$3:$L$297,10,FALSE),0), 0)</f>
        <v>15</v>
      </c>
      <c r="E329">
        <v>1</v>
      </c>
      <c r="F329" s="1">
        <v>0</v>
      </c>
      <c r="G329" t="s">
        <v>461</v>
      </c>
      <c r="H329" s="1">
        <v>4.8760000000000003</v>
      </c>
      <c r="I329" t="s">
        <v>10</v>
      </c>
      <c r="J329" t="s">
        <v>4605</v>
      </c>
      <c r="K329" t="s">
        <v>1690</v>
      </c>
    </row>
    <row r="330" spans="1:14" x14ac:dyDescent="0.25">
      <c r="A330" s="41" t="str">
        <f>Table1[[#This Row],[Route]]&amp;TEXT(Table1[[#This Row],[SegmentID]],"00")</f>
        <v>044A15</v>
      </c>
      <c r="B330" t="s">
        <v>590</v>
      </c>
      <c r="D330">
        <f>IFERROR(ROUND(VLOOKUP(Table1[[#This Row],[Route]],SegmentsPerRoute!$C$3:$L$297,8,FALSE)+(Table1[[#This Row],[Sequence]]-1)*VLOOKUP(Table1[[#This Row],[Route]],SegmentsPerRoute!$C$3:$L$297,10,FALSE),0), 0)</f>
        <v>15</v>
      </c>
      <c r="E330">
        <v>1</v>
      </c>
      <c r="F330" s="1">
        <v>0</v>
      </c>
      <c r="G330" t="s">
        <v>591</v>
      </c>
      <c r="H330" s="1">
        <v>1.8</v>
      </c>
      <c r="I330" t="s">
        <v>246</v>
      </c>
      <c r="J330" t="s">
        <v>21</v>
      </c>
      <c r="K330" t="s">
        <v>1709</v>
      </c>
      <c r="N330" t="s">
        <v>22</v>
      </c>
    </row>
    <row r="331" spans="1:14" x14ac:dyDescent="0.25">
      <c r="A331" s="41" t="str">
        <f>Table1[[#This Row],[Route]]&amp;TEXT(Table1[[#This Row],[SegmentID]],"00")</f>
        <v>044A85</v>
      </c>
      <c r="B331" t="s">
        <v>590</v>
      </c>
      <c r="D331">
        <f>IFERROR(ROUND(VLOOKUP(Table1[[#This Row],[Route]],SegmentsPerRoute!$C$3:$L$297,8,FALSE)+(Table1[[#This Row],[Sequence]]-1)*VLOOKUP(Table1[[#This Row],[Route]],SegmentsPerRoute!$C$3:$L$297,10,FALSE),0), 0)</f>
        <v>85</v>
      </c>
      <c r="E331">
        <v>2</v>
      </c>
      <c r="F331" s="1">
        <v>1.8</v>
      </c>
      <c r="G331" t="s">
        <v>246</v>
      </c>
      <c r="H331" s="1">
        <v>4.9580000000000002</v>
      </c>
      <c r="I331" t="s">
        <v>592</v>
      </c>
      <c r="J331" t="s">
        <v>21</v>
      </c>
      <c r="K331" t="s">
        <v>1709</v>
      </c>
      <c r="N331" t="s">
        <v>77</v>
      </c>
    </row>
    <row r="332" spans="1:14" x14ac:dyDescent="0.25">
      <c r="A332" s="41" t="str">
        <f>Table1[[#This Row],[Route]]&amp;TEXT(Table1[[#This Row],[SegmentID]],"00")</f>
        <v>045A15</v>
      </c>
      <c r="B332" t="s">
        <v>593</v>
      </c>
      <c r="C332" s="3" t="s">
        <v>661</v>
      </c>
      <c r="D332">
        <f>IFERROR(ROUND(VLOOKUP(Table1[[#This Row],[Route]],SegmentsPerRoute!$C$3:$L$297,8,FALSE)+(Table1[[#This Row],[Sequence]]-1)*VLOOKUP(Table1[[#This Row],[Route]],SegmentsPerRoute!$C$3:$L$297,10,FALSE),0), 0)</f>
        <v>15</v>
      </c>
      <c r="E332">
        <v>1</v>
      </c>
      <c r="F332" s="1">
        <v>0</v>
      </c>
      <c r="G332" t="s">
        <v>11</v>
      </c>
      <c r="H332" s="1">
        <v>3.141</v>
      </c>
      <c r="I332" t="s">
        <v>594</v>
      </c>
      <c r="K332" t="s">
        <v>1707</v>
      </c>
      <c r="L332" t="s">
        <v>2402</v>
      </c>
      <c r="M332" t="s">
        <v>2405</v>
      </c>
    </row>
    <row r="333" spans="1:14" x14ac:dyDescent="0.25">
      <c r="A333" s="41" t="str">
        <f>Table1[[#This Row],[Route]]&amp;TEXT(Table1[[#This Row],[SegmentID]],"00")</f>
        <v>045A50</v>
      </c>
      <c r="B333" t="s">
        <v>593</v>
      </c>
      <c r="C333" s="3" t="s">
        <v>661</v>
      </c>
      <c r="D333">
        <f>IFERROR(ROUND(VLOOKUP(Table1[[#This Row],[Route]],SegmentsPerRoute!$C$3:$L$297,8,FALSE)+(Table1[[#This Row],[Sequence]]-1)*VLOOKUP(Table1[[#This Row],[Route]],SegmentsPerRoute!$C$3:$L$297,10,FALSE),0), 0)</f>
        <v>50</v>
      </c>
      <c r="E333">
        <v>2</v>
      </c>
      <c r="F333" s="1">
        <v>3.141</v>
      </c>
      <c r="G333" t="s">
        <v>594</v>
      </c>
      <c r="H333" s="1">
        <v>4.734</v>
      </c>
      <c r="I333" t="s">
        <v>595</v>
      </c>
      <c r="K333" t="s">
        <v>1707</v>
      </c>
      <c r="L333" t="s">
        <v>2402</v>
      </c>
      <c r="M333" t="s">
        <v>2405</v>
      </c>
    </row>
    <row r="334" spans="1:14" x14ac:dyDescent="0.25">
      <c r="A334" s="41" t="str">
        <f>Table1[[#This Row],[Route]]&amp;TEXT(Table1[[#This Row],[SegmentID]],"00")</f>
        <v>045A85</v>
      </c>
      <c r="B334" t="s">
        <v>593</v>
      </c>
      <c r="C334" s="3" t="s">
        <v>662</v>
      </c>
      <c r="D334">
        <f>IFERROR(ROUND(VLOOKUP(Table1[[#This Row],[Route]],SegmentsPerRoute!$C$3:$L$297,8,FALSE)+(Table1[[#This Row],[Sequence]]-1)*VLOOKUP(Table1[[#This Row],[Route]],SegmentsPerRoute!$C$3:$L$297,10,FALSE),0), 0)</f>
        <v>85</v>
      </c>
      <c r="E334">
        <v>3</v>
      </c>
      <c r="F334" s="1">
        <v>4.734</v>
      </c>
      <c r="G334" t="s">
        <v>595</v>
      </c>
      <c r="H334" s="1">
        <v>8.734</v>
      </c>
      <c r="I334" t="s">
        <v>157</v>
      </c>
      <c r="K334" t="s">
        <v>1707</v>
      </c>
      <c r="L334" t="s">
        <v>2403</v>
      </c>
      <c r="M334" t="s">
        <v>2404</v>
      </c>
      <c r="N334" t="s">
        <v>269</v>
      </c>
    </row>
    <row r="335" spans="1:14" x14ac:dyDescent="0.25">
      <c r="A335" s="41" t="str">
        <f>Table1[[#This Row],[Route]]&amp;TEXT(Table1[[#This Row],[SegmentID]],"00")</f>
        <v>046A15</v>
      </c>
      <c r="B335" t="s">
        <v>596</v>
      </c>
      <c r="D335">
        <f>IFERROR(ROUND(VLOOKUP(Table1[[#This Row],[Route]],SegmentsPerRoute!$C$3:$L$297,8,FALSE)+(Table1[[#This Row],[Sequence]]-1)*VLOOKUP(Table1[[#This Row],[Route]],SegmentsPerRoute!$C$3:$L$297,10,FALSE),0), 0)</f>
        <v>15</v>
      </c>
      <c r="E335">
        <v>1</v>
      </c>
      <c r="F335" s="1">
        <v>0</v>
      </c>
      <c r="G335" t="s">
        <v>68</v>
      </c>
      <c r="H335" s="1">
        <v>6.61</v>
      </c>
      <c r="I335" t="s">
        <v>597</v>
      </c>
      <c r="J335" t="s">
        <v>21</v>
      </c>
      <c r="K335" t="s">
        <v>1709</v>
      </c>
      <c r="N335" t="s">
        <v>598</v>
      </c>
    </row>
    <row r="336" spans="1:14" x14ac:dyDescent="0.25">
      <c r="A336" s="41" t="str">
        <f>Table1[[#This Row],[Route]]&amp;TEXT(Table1[[#This Row],[SegmentID]],"00")</f>
        <v>047A15</v>
      </c>
      <c r="B336" t="s">
        <v>599</v>
      </c>
      <c r="D336">
        <f>IFERROR(ROUND(VLOOKUP(Table1[[#This Row],[Route]],SegmentsPerRoute!$C$3:$L$297,8,FALSE)+(Table1[[#This Row],[Sequence]]-1)*VLOOKUP(Table1[[#This Row],[Route]],SegmentsPerRoute!$C$3:$L$297,10,FALSE),0), 0)</f>
        <v>15</v>
      </c>
      <c r="E336">
        <v>1</v>
      </c>
      <c r="F336" s="1">
        <v>0</v>
      </c>
      <c r="G336" t="s">
        <v>600</v>
      </c>
      <c r="H336" s="1">
        <v>4.6349999999999998</v>
      </c>
      <c r="I336" t="s">
        <v>601</v>
      </c>
      <c r="K336" t="s">
        <v>1690</v>
      </c>
      <c r="L336" t="s">
        <v>2406</v>
      </c>
      <c r="M336" t="s">
        <v>2407</v>
      </c>
      <c r="N336" t="s">
        <v>229</v>
      </c>
    </row>
    <row r="337" spans="1:14" x14ac:dyDescent="0.25">
      <c r="A337" s="41" t="str">
        <f>Table1[[#This Row],[Route]]&amp;TEXT(Table1[[#This Row],[SegmentID]],"00")</f>
        <v>050A15</v>
      </c>
      <c r="B337" t="s">
        <v>602</v>
      </c>
      <c r="C337" s="3" t="s">
        <v>627</v>
      </c>
      <c r="D337">
        <f>IFERROR(ROUND(VLOOKUP(Table1[[#This Row],[Route]],SegmentsPerRoute!$C$3:$L$297,8,FALSE)+(Table1[[#This Row],[Sequence]]-1)*VLOOKUP(Table1[[#This Row],[Route]],SegmentsPerRoute!$C$3:$L$297,10,FALSE),0), 0)</f>
        <v>15</v>
      </c>
      <c r="E337">
        <v>1</v>
      </c>
      <c r="F337" s="1">
        <v>31.76</v>
      </c>
      <c r="G337" t="s">
        <v>603</v>
      </c>
      <c r="H337" s="1">
        <v>31.827000000000002</v>
      </c>
      <c r="I337" t="s">
        <v>604</v>
      </c>
      <c r="K337" t="s">
        <v>1700</v>
      </c>
      <c r="L337" t="s">
        <v>2408</v>
      </c>
      <c r="M337" t="s">
        <v>2443</v>
      </c>
    </row>
    <row r="338" spans="1:14" x14ac:dyDescent="0.25">
      <c r="A338" s="41" t="str">
        <f>Table1[[#This Row],[Route]]&amp;TEXT(Table1[[#This Row],[SegmentID]],"00")</f>
        <v>050A18</v>
      </c>
      <c r="B338" t="s">
        <v>602</v>
      </c>
      <c r="C338" s="3" t="s">
        <v>627</v>
      </c>
      <c r="D338">
        <f>IFERROR(ROUND(VLOOKUP(Table1[[#This Row],[Route]],SegmentsPerRoute!$C$3:$L$297,8,FALSE)+(Table1[[#This Row],[Sequence]]-1)*VLOOKUP(Table1[[#This Row],[Route]],SegmentsPerRoute!$C$3:$L$297,10,FALSE),0), 0)</f>
        <v>18</v>
      </c>
      <c r="E338">
        <v>2</v>
      </c>
      <c r="F338" s="1">
        <v>31.827000000000002</v>
      </c>
      <c r="G338" t="s">
        <v>604</v>
      </c>
      <c r="H338" s="1">
        <v>38.503999999999998</v>
      </c>
      <c r="I338" t="s">
        <v>605</v>
      </c>
      <c r="K338" t="s">
        <v>1700</v>
      </c>
      <c r="L338" t="s">
        <v>2409</v>
      </c>
      <c r="M338" t="s">
        <v>2442</v>
      </c>
      <c r="N338" t="s">
        <v>632</v>
      </c>
    </row>
    <row r="339" spans="1:14" x14ac:dyDescent="0.25">
      <c r="A339" s="41" t="str">
        <f>Table1[[#This Row],[Route]]&amp;TEXT(Table1[[#This Row],[SegmentID]],"00")</f>
        <v>050A21</v>
      </c>
      <c r="B339" t="s">
        <v>602</v>
      </c>
      <c r="C339" s="3" t="s">
        <v>627</v>
      </c>
      <c r="D339">
        <f>IFERROR(ROUND(VLOOKUP(Table1[[#This Row],[Route]],SegmentsPerRoute!$C$3:$L$297,8,FALSE)+(Table1[[#This Row],[Sequence]]-1)*VLOOKUP(Table1[[#This Row],[Route]],SegmentsPerRoute!$C$3:$L$297,10,FALSE),0), 0)</f>
        <v>21</v>
      </c>
      <c r="E339">
        <v>3</v>
      </c>
      <c r="F339" s="1">
        <v>38.503999999999998</v>
      </c>
      <c r="G339" t="s">
        <v>605</v>
      </c>
      <c r="H339" s="1">
        <v>41.137</v>
      </c>
      <c r="I339" t="s">
        <v>606</v>
      </c>
      <c r="K339" t="s">
        <v>1700</v>
      </c>
      <c r="L339" t="s">
        <v>2410</v>
      </c>
      <c r="M339" t="s">
        <v>2441</v>
      </c>
      <c r="N339" t="s">
        <v>633</v>
      </c>
    </row>
    <row r="340" spans="1:14" x14ac:dyDescent="0.25">
      <c r="A340" s="41" t="str">
        <f>Table1[[#This Row],[Route]]&amp;TEXT(Table1[[#This Row],[SegmentID]],"00")</f>
        <v>050A24</v>
      </c>
      <c r="B340" t="s">
        <v>602</v>
      </c>
      <c r="C340" s="3" t="s">
        <v>627</v>
      </c>
      <c r="D340">
        <f>IFERROR(ROUND(VLOOKUP(Table1[[#This Row],[Route]],SegmentsPerRoute!$C$3:$L$297,8,FALSE)+(Table1[[#This Row],[Sequence]]-1)*VLOOKUP(Table1[[#This Row],[Route]],SegmentsPerRoute!$C$3:$L$297,10,FALSE),0), 0)</f>
        <v>24</v>
      </c>
      <c r="E340">
        <v>4</v>
      </c>
      <c r="F340" s="1">
        <v>41.137</v>
      </c>
      <c r="G340" t="s">
        <v>606</v>
      </c>
      <c r="H340" s="1">
        <v>70.918999999999997</v>
      </c>
      <c r="I340" t="s">
        <v>607</v>
      </c>
      <c r="K340" t="s">
        <v>1700</v>
      </c>
      <c r="L340" t="s">
        <v>2410</v>
      </c>
      <c r="M340" t="s">
        <v>2441</v>
      </c>
      <c r="N340" t="s">
        <v>633</v>
      </c>
    </row>
    <row r="341" spans="1:14" x14ac:dyDescent="0.25">
      <c r="A341" s="41" t="str">
        <f>Table1[[#This Row],[Route]]&amp;TEXT(Table1[[#This Row],[SegmentID]],"00")</f>
        <v>050A27</v>
      </c>
      <c r="B341" t="s">
        <v>602</v>
      </c>
      <c r="C341" s="3" t="s">
        <v>627</v>
      </c>
      <c r="D341">
        <f>IFERROR(ROUND(VLOOKUP(Table1[[#This Row],[Route]],SegmentsPerRoute!$C$3:$L$297,8,FALSE)+(Table1[[#This Row],[Sequence]]-1)*VLOOKUP(Table1[[#This Row],[Route]],SegmentsPerRoute!$C$3:$L$297,10,FALSE),0), 0)</f>
        <v>27</v>
      </c>
      <c r="E341">
        <v>5</v>
      </c>
      <c r="F341" s="1">
        <v>70.918999999999997</v>
      </c>
      <c r="G341" t="s">
        <v>607</v>
      </c>
      <c r="H341" s="1">
        <v>71.427999999999997</v>
      </c>
      <c r="I341" t="s">
        <v>608</v>
      </c>
      <c r="K341" t="s">
        <v>1700</v>
      </c>
      <c r="L341" t="s">
        <v>2411</v>
      </c>
      <c r="M341" t="s">
        <v>2437</v>
      </c>
    </row>
    <row r="342" spans="1:14" x14ac:dyDescent="0.25">
      <c r="A342" s="41" t="str">
        <f>Table1[[#This Row],[Route]]&amp;TEXT(Table1[[#This Row],[SegmentID]],"00")</f>
        <v>050A30</v>
      </c>
      <c r="B342" t="s">
        <v>602</v>
      </c>
      <c r="C342" s="3" t="s">
        <v>627</v>
      </c>
      <c r="D342">
        <f>IFERROR(ROUND(VLOOKUP(Table1[[#This Row],[Route]],SegmentsPerRoute!$C$3:$L$297,8,FALSE)+(Table1[[#This Row],[Sequence]]-1)*VLOOKUP(Table1[[#This Row],[Route]],SegmentsPerRoute!$C$3:$L$297,10,FALSE),0), 0)</f>
        <v>30</v>
      </c>
      <c r="E342">
        <v>6</v>
      </c>
      <c r="F342" s="1">
        <v>71.427999999999997</v>
      </c>
      <c r="G342" t="s">
        <v>608</v>
      </c>
      <c r="H342" s="1">
        <v>81.471999999999994</v>
      </c>
      <c r="I342" t="s">
        <v>609</v>
      </c>
      <c r="K342" t="s">
        <v>1700</v>
      </c>
      <c r="L342" t="s">
        <v>2412</v>
      </c>
      <c r="M342" t="s">
        <v>2440</v>
      </c>
      <c r="N342" t="s">
        <v>634</v>
      </c>
    </row>
    <row r="343" spans="1:14" x14ac:dyDescent="0.25">
      <c r="A343" s="41" t="str">
        <f>Table1[[#This Row],[Route]]&amp;TEXT(Table1[[#This Row],[SegmentID]],"00")</f>
        <v>050A32</v>
      </c>
      <c r="B343" t="s">
        <v>602</v>
      </c>
      <c r="C343" s="3" t="s">
        <v>627</v>
      </c>
      <c r="D343">
        <f>IFERROR(ROUND(VLOOKUP(Table1[[#This Row],[Route]],SegmentsPerRoute!$C$3:$L$297,8,FALSE)+(Table1[[#This Row],[Sequence]]-1)*VLOOKUP(Table1[[#This Row],[Route]],SegmentsPerRoute!$C$3:$L$297,10,FALSE),0), 0)</f>
        <v>32</v>
      </c>
      <c r="E343">
        <v>7</v>
      </c>
      <c r="F343" s="1">
        <v>81.471999999999994</v>
      </c>
      <c r="G343" t="s">
        <v>609</v>
      </c>
      <c r="H343" s="1">
        <v>82.613</v>
      </c>
      <c r="I343" t="s">
        <v>610</v>
      </c>
      <c r="K343" t="s">
        <v>1700</v>
      </c>
      <c r="L343" t="s">
        <v>2413</v>
      </c>
      <c r="M343" t="s">
        <v>2439</v>
      </c>
    </row>
    <row r="344" spans="1:14" x14ac:dyDescent="0.25">
      <c r="A344" s="41" t="str">
        <f>Table1[[#This Row],[Route]]&amp;TEXT(Table1[[#This Row],[SegmentID]],"00")</f>
        <v>050A35</v>
      </c>
      <c r="B344" t="s">
        <v>602</v>
      </c>
      <c r="C344" s="3" t="s">
        <v>627</v>
      </c>
      <c r="D344">
        <f>IFERROR(ROUND(VLOOKUP(Table1[[#This Row],[Route]],SegmentsPerRoute!$C$3:$L$297,8,FALSE)+(Table1[[#This Row],[Sequence]]-1)*VLOOKUP(Table1[[#This Row],[Route]],SegmentsPerRoute!$C$3:$L$297,10,FALSE),0), 0)</f>
        <v>35</v>
      </c>
      <c r="E344">
        <v>8</v>
      </c>
      <c r="F344" s="1">
        <v>82.613</v>
      </c>
      <c r="G344" t="s">
        <v>610</v>
      </c>
      <c r="H344" s="1">
        <v>83.144999999999996</v>
      </c>
      <c r="I344" t="s">
        <v>609</v>
      </c>
      <c r="K344" t="s">
        <v>1700</v>
      </c>
      <c r="L344" t="s">
        <v>2414</v>
      </c>
      <c r="M344" t="s">
        <v>2438</v>
      </c>
    </row>
    <row r="345" spans="1:14" x14ac:dyDescent="0.25">
      <c r="A345" s="41" t="str">
        <f>Table1[[#This Row],[Route]]&amp;TEXT(Table1[[#This Row],[SegmentID]],"00")</f>
        <v>050A38</v>
      </c>
      <c r="B345" t="s">
        <v>602</v>
      </c>
      <c r="C345" s="3" t="s">
        <v>627</v>
      </c>
      <c r="D345">
        <f>IFERROR(ROUND(VLOOKUP(Table1[[#This Row],[Route]],SegmentsPerRoute!$C$3:$L$297,8,FALSE)+(Table1[[#This Row],[Sequence]]-1)*VLOOKUP(Table1[[#This Row],[Route]],SegmentsPerRoute!$C$3:$L$297,10,FALSE),0), 0)</f>
        <v>38</v>
      </c>
      <c r="E345">
        <v>9</v>
      </c>
      <c r="F345" s="1">
        <v>83.144999999999996</v>
      </c>
      <c r="G345" t="s">
        <v>609</v>
      </c>
      <c r="H345" s="1">
        <v>91.878</v>
      </c>
      <c r="I345" t="s">
        <v>611</v>
      </c>
      <c r="K345" t="s">
        <v>1700</v>
      </c>
      <c r="L345" t="s">
        <v>2411</v>
      </c>
      <c r="M345" t="s">
        <v>2437</v>
      </c>
      <c r="N345" t="s">
        <v>634</v>
      </c>
    </row>
    <row r="346" spans="1:14" ht="30" x14ac:dyDescent="0.25">
      <c r="A346" s="41" t="str">
        <f>Table1[[#This Row],[Route]]&amp;TEXT(Table1[[#This Row],[SegmentID]],"00")</f>
        <v>050A41</v>
      </c>
      <c r="B346" t="s">
        <v>602</v>
      </c>
      <c r="C346" s="3" t="s">
        <v>628</v>
      </c>
      <c r="D346">
        <f>IFERROR(ROUND(VLOOKUP(Table1[[#This Row],[Route]],SegmentsPerRoute!$C$3:$L$297,8,FALSE)+(Table1[[#This Row],[Sequence]]-1)*VLOOKUP(Table1[[#This Row],[Route]],SegmentsPerRoute!$C$3:$L$297,10,FALSE),0), 0)</f>
        <v>41</v>
      </c>
      <c r="E346">
        <v>10</v>
      </c>
      <c r="F346" s="1">
        <v>91.878</v>
      </c>
      <c r="G346" t="s">
        <v>611</v>
      </c>
      <c r="H346" s="1">
        <v>100.545</v>
      </c>
      <c r="I346" s="4" t="s">
        <v>612</v>
      </c>
      <c r="K346" t="s">
        <v>1700</v>
      </c>
      <c r="L346" t="s">
        <v>2415</v>
      </c>
      <c r="M346" t="s">
        <v>2436</v>
      </c>
      <c r="N346" t="s">
        <v>636</v>
      </c>
    </row>
    <row r="347" spans="1:14" ht="30" x14ac:dyDescent="0.25">
      <c r="A347" s="41" t="str">
        <f>Table1[[#This Row],[Route]]&amp;TEXT(Table1[[#This Row],[SegmentID]],"00")</f>
        <v>050A44</v>
      </c>
      <c r="B347" t="s">
        <v>602</v>
      </c>
      <c r="C347" s="3" t="s">
        <v>628</v>
      </c>
      <c r="D347">
        <f>IFERROR(ROUND(VLOOKUP(Table1[[#This Row],[Route]],SegmentsPerRoute!$C$3:$L$297,8,FALSE)+(Table1[[#This Row],[Sequence]]-1)*VLOOKUP(Table1[[#This Row],[Route]],SegmentsPerRoute!$C$3:$L$297,10,FALSE),0), 0)</f>
        <v>44</v>
      </c>
      <c r="E347">
        <v>11</v>
      </c>
      <c r="F347" s="1">
        <v>100.545</v>
      </c>
      <c r="G347" s="4" t="s">
        <v>612</v>
      </c>
      <c r="H347" s="1">
        <v>131.12899999999999</v>
      </c>
      <c r="I347" t="s">
        <v>613</v>
      </c>
      <c r="K347" t="s">
        <v>1700</v>
      </c>
      <c r="L347" t="s">
        <v>2415</v>
      </c>
      <c r="M347" t="s">
        <v>2436</v>
      </c>
      <c r="N347" t="s">
        <v>635</v>
      </c>
    </row>
    <row r="348" spans="1:14" x14ac:dyDescent="0.25">
      <c r="A348" s="41" t="str">
        <f>Table1[[#This Row],[Route]]&amp;TEXT(Table1[[#This Row],[SegmentID]],"00")</f>
        <v>050A47</v>
      </c>
      <c r="B348" t="s">
        <v>602</v>
      </c>
      <c r="C348" s="3" t="s">
        <v>628</v>
      </c>
      <c r="D348">
        <f>IFERROR(ROUND(VLOOKUP(Table1[[#This Row],[Route]],SegmentsPerRoute!$C$3:$L$297,8,FALSE)+(Table1[[#This Row],[Sequence]]-1)*VLOOKUP(Table1[[#This Row],[Route]],SegmentsPerRoute!$C$3:$L$297,10,FALSE),0), 0)</f>
        <v>47</v>
      </c>
      <c r="E348">
        <v>12</v>
      </c>
      <c r="F348" s="1">
        <v>131.12899999999999</v>
      </c>
      <c r="G348" t="s">
        <v>613</v>
      </c>
      <c r="H348" s="1">
        <v>148.05199999999999</v>
      </c>
      <c r="I348" t="s">
        <v>614</v>
      </c>
      <c r="K348" t="s">
        <v>1700</v>
      </c>
      <c r="L348" t="s">
        <v>2416</v>
      </c>
      <c r="M348" t="s">
        <v>2435</v>
      </c>
      <c r="N348" t="s">
        <v>633</v>
      </c>
    </row>
    <row r="349" spans="1:14" x14ac:dyDescent="0.25">
      <c r="A349" s="41" t="str">
        <f>Table1[[#This Row],[Route]]&amp;TEXT(Table1[[#This Row],[SegmentID]],"00")</f>
        <v>050A50</v>
      </c>
      <c r="B349" t="s">
        <v>602</v>
      </c>
      <c r="C349" s="3" t="s">
        <v>628</v>
      </c>
      <c r="D349">
        <f>IFERROR(ROUND(VLOOKUP(Table1[[#This Row],[Route]],SegmentsPerRoute!$C$3:$L$297,8,FALSE)+(Table1[[#This Row],[Sequence]]-1)*VLOOKUP(Table1[[#This Row],[Route]],SegmentsPerRoute!$C$3:$L$297,10,FALSE),0), 0)</f>
        <v>50</v>
      </c>
      <c r="E349">
        <v>13</v>
      </c>
      <c r="F349" s="1">
        <v>148.05199999999999</v>
      </c>
      <c r="G349" t="s">
        <v>614</v>
      </c>
      <c r="H349" s="1">
        <v>157.39400000000001</v>
      </c>
      <c r="I349" t="s">
        <v>615</v>
      </c>
      <c r="K349" t="s">
        <v>1700</v>
      </c>
      <c r="L349" t="s">
        <v>2416</v>
      </c>
      <c r="M349" t="s">
        <v>2435</v>
      </c>
      <c r="N349" t="s">
        <v>633</v>
      </c>
    </row>
    <row r="350" spans="1:14" x14ac:dyDescent="0.25">
      <c r="A350" s="41" t="str">
        <f>Table1[[#This Row],[Route]]&amp;TEXT(Table1[[#This Row],[SegmentID]],"00")</f>
        <v>050A53</v>
      </c>
      <c r="B350" t="s">
        <v>602</v>
      </c>
      <c r="C350" s="3" t="s">
        <v>628</v>
      </c>
      <c r="D350">
        <f>IFERROR(ROUND(VLOOKUP(Table1[[#This Row],[Route]],SegmentsPerRoute!$C$3:$L$297,8,FALSE)+(Table1[[#This Row],[Sequence]]-1)*VLOOKUP(Table1[[#This Row],[Route]],SegmentsPerRoute!$C$3:$L$297,10,FALSE),0), 0)</f>
        <v>53</v>
      </c>
      <c r="E350">
        <v>14</v>
      </c>
      <c r="F350" s="1">
        <v>157.39400000000001</v>
      </c>
      <c r="G350" t="s">
        <v>615</v>
      </c>
      <c r="H350" s="1">
        <v>165.601</v>
      </c>
      <c r="I350" t="s">
        <v>616</v>
      </c>
      <c r="K350" t="s">
        <v>1700</v>
      </c>
      <c r="L350" t="s">
        <v>2416</v>
      </c>
      <c r="M350" t="s">
        <v>2435</v>
      </c>
      <c r="N350" t="s">
        <v>637</v>
      </c>
    </row>
    <row r="351" spans="1:14" x14ac:dyDescent="0.25">
      <c r="A351" s="41" t="str">
        <f>Table1[[#This Row],[Route]]&amp;TEXT(Table1[[#This Row],[SegmentID]],"00")</f>
        <v>050A56</v>
      </c>
      <c r="B351" t="s">
        <v>602</v>
      </c>
      <c r="C351" s="3" t="s">
        <v>628</v>
      </c>
      <c r="D351">
        <f>IFERROR(ROUND(VLOOKUP(Table1[[#This Row],[Route]],SegmentsPerRoute!$C$3:$L$297,8,FALSE)+(Table1[[#This Row],[Sequence]]-1)*VLOOKUP(Table1[[#This Row],[Route]],SegmentsPerRoute!$C$3:$L$297,10,FALSE),0), 0)</f>
        <v>56</v>
      </c>
      <c r="E351">
        <v>15</v>
      </c>
      <c r="F351" s="1">
        <v>165.601</v>
      </c>
      <c r="G351" t="s">
        <v>616</v>
      </c>
      <c r="H351" s="1">
        <v>216.77</v>
      </c>
      <c r="I351" t="s">
        <v>617</v>
      </c>
      <c r="K351" t="s">
        <v>1700</v>
      </c>
      <c r="L351" t="s">
        <v>2417</v>
      </c>
      <c r="M351" t="s">
        <v>2434</v>
      </c>
      <c r="N351" t="s">
        <v>638</v>
      </c>
    </row>
    <row r="352" spans="1:14" x14ac:dyDescent="0.25">
      <c r="A352" s="41" t="str">
        <f>Table1[[#This Row],[Route]]&amp;TEXT(Table1[[#This Row],[SegmentID]],"00")</f>
        <v>050A59</v>
      </c>
      <c r="B352" t="s">
        <v>602</v>
      </c>
      <c r="C352" s="3" t="s">
        <v>628</v>
      </c>
      <c r="D352">
        <f>IFERROR(ROUND(VLOOKUP(Table1[[#This Row],[Route]],SegmentsPerRoute!$C$3:$L$297,8,FALSE)+(Table1[[#This Row],[Sequence]]-1)*VLOOKUP(Table1[[#This Row],[Route]],SegmentsPerRoute!$C$3:$L$297,10,FALSE),0), 0)</f>
        <v>59</v>
      </c>
      <c r="E352">
        <v>16</v>
      </c>
      <c r="F352" s="1">
        <v>216.77</v>
      </c>
      <c r="G352" t="s">
        <v>617</v>
      </c>
      <c r="H352" s="1">
        <v>217.345</v>
      </c>
      <c r="I352" t="s">
        <v>618</v>
      </c>
      <c r="K352" t="s">
        <v>1700</v>
      </c>
      <c r="L352" t="s">
        <v>2418</v>
      </c>
      <c r="M352" t="s">
        <v>2433</v>
      </c>
      <c r="N352" t="s">
        <v>639</v>
      </c>
    </row>
    <row r="353" spans="1:14" x14ac:dyDescent="0.25">
      <c r="A353" s="41" t="str">
        <f>Table1[[#This Row],[Route]]&amp;TEXT(Table1[[#This Row],[SegmentID]],"00")</f>
        <v>050A61</v>
      </c>
      <c r="B353" t="s">
        <v>602</v>
      </c>
      <c r="C353" s="3" t="s">
        <v>629</v>
      </c>
      <c r="D353">
        <f>IFERROR(ROUND(VLOOKUP(Table1[[#This Row],[Route]],SegmentsPerRoute!$C$3:$L$297,8,FALSE)+(Table1[[#This Row],[Sequence]]-1)*VLOOKUP(Table1[[#This Row],[Route]],SegmentsPerRoute!$C$3:$L$297,10,FALSE),0), 0)</f>
        <v>61</v>
      </c>
      <c r="E353">
        <v>17</v>
      </c>
      <c r="F353" s="1">
        <v>217.345</v>
      </c>
      <c r="G353" t="s">
        <v>618</v>
      </c>
      <c r="H353" s="1">
        <v>222.399</v>
      </c>
      <c r="I353" t="s">
        <v>626</v>
      </c>
      <c r="K353" t="s">
        <v>1700</v>
      </c>
      <c r="L353" t="s">
        <v>2419</v>
      </c>
      <c r="M353" t="s">
        <v>2432</v>
      </c>
      <c r="N353" t="s">
        <v>639</v>
      </c>
    </row>
    <row r="354" spans="1:14" x14ac:dyDescent="0.25">
      <c r="A354" s="41" t="str">
        <f>Table1[[#This Row],[Route]]&amp;TEXT(Table1[[#This Row],[SegmentID]],"00")</f>
        <v>050A64</v>
      </c>
      <c r="B354" t="s">
        <v>602</v>
      </c>
      <c r="C354" s="3" t="s">
        <v>629</v>
      </c>
      <c r="D354">
        <f>IFERROR(ROUND(VLOOKUP(Table1[[#This Row],[Route]],SegmentsPerRoute!$C$3:$L$297,8,FALSE)+(Table1[[#This Row],[Sequence]]-1)*VLOOKUP(Table1[[#This Row],[Route]],SegmentsPerRoute!$C$3:$L$297,10,FALSE),0), 0)</f>
        <v>64</v>
      </c>
      <c r="E354">
        <v>18</v>
      </c>
      <c r="F354" s="1">
        <v>222.399</v>
      </c>
      <c r="G354" t="s">
        <v>626</v>
      </c>
      <c r="H354" s="1">
        <v>252.66300000000001</v>
      </c>
      <c r="I354" t="s">
        <v>619</v>
      </c>
      <c r="K354" t="s">
        <v>1700</v>
      </c>
      <c r="L354" t="s">
        <v>2420</v>
      </c>
      <c r="M354" t="s">
        <v>2431</v>
      </c>
      <c r="N354" t="s">
        <v>269</v>
      </c>
    </row>
    <row r="355" spans="1:14" x14ac:dyDescent="0.25">
      <c r="A355" s="41" t="str">
        <f>Table1[[#This Row],[Route]]&amp;TEXT(Table1[[#This Row],[SegmentID]],"00")</f>
        <v>050A67</v>
      </c>
      <c r="B355" t="s">
        <v>602</v>
      </c>
      <c r="C355" s="3" t="s">
        <v>629</v>
      </c>
      <c r="D355">
        <f>IFERROR(ROUND(VLOOKUP(Table1[[#This Row],[Route]],SegmentsPerRoute!$C$3:$L$297,8,FALSE)+(Table1[[#This Row],[Sequence]]-1)*VLOOKUP(Table1[[#This Row],[Route]],SegmentsPerRoute!$C$3:$L$297,10,FALSE),0), 0)</f>
        <v>67</v>
      </c>
      <c r="E355">
        <v>19</v>
      </c>
      <c r="F355" s="1">
        <v>252.66300000000001</v>
      </c>
      <c r="G355" t="s">
        <v>619</v>
      </c>
      <c r="H355" s="1">
        <v>269.13</v>
      </c>
      <c r="I355" t="s">
        <v>620</v>
      </c>
      <c r="K355" t="s">
        <v>1700</v>
      </c>
      <c r="L355" t="s">
        <v>2421</v>
      </c>
      <c r="M355" t="s">
        <v>2427</v>
      </c>
      <c r="N355" t="s">
        <v>269</v>
      </c>
    </row>
    <row r="356" spans="1:14" x14ac:dyDescent="0.25">
      <c r="A356" s="41" t="str">
        <f>Table1[[#This Row],[Route]]&amp;TEXT(Table1[[#This Row],[SegmentID]],"00")</f>
        <v>050A70</v>
      </c>
      <c r="B356" t="s">
        <v>602</v>
      </c>
      <c r="C356" s="3" t="s">
        <v>629</v>
      </c>
      <c r="D356">
        <f>IFERROR(ROUND(VLOOKUP(Table1[[#This Row],[Route]],SegmentsPerRoute!$C$3:$L$297,8,FALSE)+(Table1[[#This Row],[Sequence]]-1)*VLOOKUP(Table1[[#This Row],[Route]],SegmentsPerRoute!$C$3:$L$297,10,FALSE),0), 0)</f>
        <v>70</v>
      </c>
      <c r="E356">
        <v>20</v>
      </c>
      <c r="F356" s="1">
        <v>269.13</v>
      </c>
      <c r="G356" t="s">
        <v>620</v>
      </c>
      <c r="H356" s="1">
        <v>278.70400000000001</v>
      </c>
      <c r="I356" t="s">
        <v>621</v>
      </c>
      <c r="K356" t="s">
        <v>1700</v>
      </c>
      <c r="L356" t="s">
        <v>2421</v>
      </c>
      <c r="M356" t="s">
        <v>2427</v>
      </c>
      <c r="N356" t="s">
        <v>269</v>
      </c>
    </row>
    <row r="357" spans="1:14" x14ac:dyDescent="0.25">
      <c r="A357" s="41" t="str">
        <f>Table1[[#This Row],[Route]]&amp;TEXT(Table1[[#This Row],[SegmentID]],"00")</f>
        <v>050A73</v>
      </c>
      <c r="B357" t="s">
        <v>602</v>
      </c>
      <c r="C357" s="3" t="s">
        <v>629</v>
      </c>
      <c r="D357">
        <f>IFERROR(ROUND(VLOOKUP(Table1[[#This Row],[Route]],SegmentsPerRoute!$C$3:$L$297,8,FALSE)+(Table1[[#This Row],[Sequence]]-1)*VLOOKUP(Table1[[#This Row],[Route]],SegmentsPerRoute!$C$3:$L$297,10,FALSE),0), 0)</f>
        <v>73</v>
      </c>
      <c r="E357">
        <v>21</v>
      </c>
      <c r="F357" s="1">
        <v>278.70400000000001</v>
      </c>
      <c r="G357" t="s">
        <v>621</v>
      </c>
      <c r="H357" s="1">
        <v>285.63299999999998</v>
      </c>
      <c r="I357" t="s">
        <v>622</v>
      </c>
      <c r="K357" t="s">
        <v>1700</v>
      </c>
      <c r="L357" t="s">
        <v>2422</v>
      </c>
      <c r="M357" t="s">
        <v>2430</v>
      </c>
    </row>
    <row r="358" spans="1:14" x14ac:dyDescent="0.25">
      <c r="A358" s="41" t="str">
        <f>Table1[[#This Row],[Route]]&amp;TEXT(Table1[[#This Row],[SegmentID]],"00")</f>
        <v>050A76</v>
      </c>
      <c r="B358" t="s">
        <v>602</v>
      </c>
      <c r="C358" s="3" t="s">
        <v>629</v>
      </c>
      <c r="D358">
        <f>IFERROR(ROUND(VLOOKUP(Table1[[#This Row],[Route]],SegmentsPerRoute!$C$3:$L$297,8,FALSE)+(Table1[[#This Row],[Sequence]]-1)*VLOOKUP(Table1[[#This Row],[Route]],SegmentsPerRoute!$C$3:$L$297,10,FALSE),0), 0)</f>
        <v>76</v>
      </c>
      <c r="E358">
        <v>22</v>
      </c>
      <c r="F358" s="1">
        <v>285.63299999999998</v>
      </c>
      <c r="G358" t="s">
        <v>622</v>
      </c>
      <c r="H358" s="1">
        <v>289.76900000000001</v>
      </c>
      <c r="I358" t="s">
        <v>623</v>
      </c>
      <c r="K358" t="s">
        <v>1700</v>
      </c>
      <c r="L358" t="s">
        <v>2423</v>
      </c>
      <c r="M358" t="s">
        <v>2429</v>
      </c>
    </row>
    <row r="359" spans="1:14" x14ac:dyDescent="0.25">
      <c r="A359" s="41" t="str">
        <f>Table1[[#This Row],[Route]]&amp;TEXT(Table1[[#This Row],[SegmentID]],"00")</f>
        <v>050A79</v>
      </c>
      <c r="B359" t="s">
        <v>602</v>
      </c>
      <c r="C359" s="3" t="s">
        <v>629</v>
      </c>
      <c r="D359">
        <f>IFERROR(ROUND(VLOOKUP(Table1[[#This Row],[Route]],SegmentsPerRoute!$C$3:$L$297,8,FALSE)+(Table1[[#This Row],[Sequence]]-1)*VLOOKUP(Table1[[#This Row],[Route]],SegmentsPerRoute!$C$3:$L$297,10,FALSE),0), 0)</f>
        <v>79</v>
      </c>
      <c r="E359">
        <v>23</v>
      </c>
      <c r="F359" s="1">
        <v>289.76900000000001</v>
      </c>
      <c r="G359" t="s">
        <v>623</v>
      </c>
      <c r="H359" s="1">
        <v>294.339</v>
      </c>
      <c r="I359" t="s">
        <v>624</v>
      </c>
      <c r="K359" t="s">
        <v>1700</v>
      </c>
      <c r="L359" t="s">
        <v>2424</v>
      </c>
      <c r="M359" t="s">
        <v>2428</v>
      </c>
    </row>
    <row r="360" spans="1:14" x14ac:dyDescent="0.25">
      <c r="A360" s="41" t="str">
        <f>Table1[[#This Row],[Route]]&amp;TEXT(Table1[[#This Row],[SegmentID]],"00")</f>
        <v>050A82</v>
      </c>
      <c r="B360" t="s">
        <v>602</v>
      </c>
      <c r="C360" s="3" t="s">
        <v>629</v>
      </c>
      <c r="D360">
        <f>IFERROR(ROUND(VLOOKUP(Table1[[#This Row],[Route]],SegmentsPerRoute!$C$3:$L$297,8,FALSE)+(Table1[[#This Row],[Sequence]]-1)*VLOOKUP(Table1[[#This Row],[Route]],SegmentsPerRoute!$C$3:$L$297,10,FALSE),0), 0)</f>
        <v>82</v>
      </c>
      <c r="E360">
        <v>24</v>
      </c>
      <c r="F360" s="1">
        <v>294.339</v>
      </c>
      <c r="G360" t="s">
        <v>624</v>
      </c>
      <c r="H360" s="1">
        <v>312.08800000000002</v>
      </c>
      <c r="I360" t="s">
        <v>317</v>
      </c>
      <c r="K360" t="s">
        <v>1700</v>
      </c>
      <c r="L360" t="s">
        <v>2421</v>
      </c>
      <c r="M360" t="s">
        <v>2427</v>
      </c>
    </row>
    <row r="361" spans="1:14" x14ac:dyDescent="0.25">
      <c r="A361" s="41" t="str">
        <f>Table1[[#This Row],[Route]]&amp;TEXT(Table1[[#This Row],[SegmentID]],"00")</f>
        <v>050A85</v>
      </c>
      <c r="B361" t="s">
        <v>602</v>
      </c>
      <c r="C361" s="3" t="s">
        <v>629</v>
      </c>
      <c r="D361">
        <f>IFERROR(ROUND(VLOOKUP(Table1[[#This Row],[Route]],SegmentsPerRoute!$C$3:$L$297,8,FALSE)+(Table1[[#This Row],[Sequence]]-1)*VLOOKUP(Table1[[#This Row],[Route]],SegmentsPerRoute!$C$3:$L$297,10,FALSE),0), 0)</f>
        <v>85</v>
      </c>
      <c r="E361">
        <v>25</v>
      </c>
      <c r="F361" s="1">
        <v>312.08800000000002</v>
      </c>
      <c r="G361" t="s">
        <v>317</v>
      </c>
      <c r="H361" s="1">
        <v>314.59800000000001</v>
      </c>
      <c r="I361" t="s">
        <v>625</v>
      </c>
      <c r="K361" t="s">
        <v>1700</v>
      </c>
      <c r="L361" t="s">
        <v>2425</v>
      </c>
      <c r="M361" t="s">
        <v>2426</v>
      </c>
    </row>
    <row r="362" spans="1:14" x14ac:dyDescent="0.25">
      <c r="A362" s="41" t="str">
        <f>Table1[[#This Row],[Route]]&amp;TEXT(Table1[[#This Row],[SegmentID]],"00")</f>
        <v>050B15</v>
      </c>
      <c r="B362" t="s">
        <v>640</v>
      </c>
      <c r="D362">
        <f>IFERROR(ROUND(VLOOKUP(Table1[[#This Row],[Route]],SegmentsPerRoute!$C$3:$L$297,8,FALSE)+(Table1[[#This Row],[Sequence]]-1)*VLOOKUP(Table1[[#This Row],[Route]],SegmentsPerRoute!$C$3:$L$297,10,FALSE),0), 0)</f>
        <v>15</v>
      </c>
      <c r="E362">
        <v>1</v>
      </c>
      <c r="F362" s="1">
        <v>315.709</v>
      </c>
      <c r="G362" t="s">
        <v>11</v>
      </c>
      <c r="H362" s="1">
        <v>318.70699999999999</v>
      </c>
      <c r="I362" t="s">
        <v>641</v>
      </c>
      <c r="K362" t="s">
        <v>1694</v>
      </c>
      <c r="L362" t="s">
        <v>2445</v>
      </c>
      <c r="M362" t="s">
        <v>2472</v>
      </c>
      <c r="N362" t="s">
        <v>229</v>
      </c>
    </row>
    <row r="363" spans="1:14" x14ac:dyDescent="0.25">
      <c r="A363" s="41" t="str">
        <f>Table1[[#This Row],[Route]]&amp;TEXT(Table1[[#This Row],[SegmentID]],"00")</f>
        <v>050B19</v>
      </c>
      <c r="B363" t="s">
        <v>640</v>
      </c>
      <c r="D363">
        <f>IFERROR(ROUND(VLOOKUP(Table1[[#This Row],[Route]],SegmentsPerRoute!$C$3:$L$297,8,FALSE)+(Table1[[#This Row],[Sequence]]-1)*VLOOKUP(Table1[[#This Row],[Route]],SegmentsPerRoute!$C$3:$L$297,10,FALSE),0), 0)</f>
        <v>19</v>
      </c>
      <c r="E363">
        <v>2</v>
      </c>
      <c r="F363" s="1">
        <v>318.70699999999999</v>
      </c>
      <c r="G363" t="s">
        <v>641</v>
      </c>
      <c r="H363" s="1">
        <v>324.22899999999998</v>
      </c>
      <c r="I363" t="s">
        <v>663</v>
      </c>
      <c r="K363" t="s">
        <v>1694</v>
      </c>
      <c r="L363" t="s">
        <v>2446</v>
      </c>
      <c r="M363" t="s">
        <v>2471</v>
      </c>
      <c r="N363" t="s">
        <v>269</v>
      </c>
    </row>
    <row r="364" spans="1:14" x14ac:dyDescent="0.25">
      <c r="A364" s="41" t="str">
        <f>Table1[[#This Row],[Route]]&amp;TEXT(Table1[[#This Row],[SegmentID]],"00")</f>
        <v>050B22</v>
      </c>
      <c r="B364" t="s">
        <v>640</v>
      </c>
      <c r="D364">
        <f>IFERROR(ROUND(VLOOKUP(Table1[[#This Row],[Route]],SegmentsPerRoute!$C$3:$L$297,8,FALSE)+(Table1[[#This Row],[Sequence]]-1)*VLOOKUP(Table1[[#This Row],[Route]],SegmentsPerRoute!$C$3:$L$297,10,FALSE),0), 0)</f>
        <v>22</v>
      </c>
      <c r="E364">
        <v>3</v>
      </c>
      <c r="F364" s="1">
        <v>324.22899999999998</v>
      </c>
      <c r="G364" t="s">
        <v>663</v>
      </c>
      <c r="H364" s="1">
        <v>329.334</v>
      </c>
      <c r="I364" t="s">
        <v>642</v>
      </c>
      <c r="K364" t="s">
        <v>1694</v>
      </c>
      <c r="L364" t="s">
        <v>2447</v>
      </c>
      <c r="M364" t="s">
        <v>2470</v>
      </c>
      <c r="N364" t="s">
        <v>269</v>
      </c>
    </row>
    <row r="365" spans="1:14" x14ac:dyDescent="0.25">
      <c r="A365" s="41" t="str">
        <f>Table1[[#This Row],[Route]]&amp;TEXT(Table1[[#This Row],[SegmentID]],"00")</f>
        <v>050B26</v>
      </c>
      <c r="B365" t="s">
        <v>640</v>
      </c>
      <c r="D365">
        <f>IFERROR(ROUND(VLOOKUP(Table1[[#This Row],[Route]],SegmentsPerRoute!$C$3:$L$297,8,FALSE)+(Table1[[#This Row],[Sequence]]-1)*VLOOKUP(Table1[[#This Row],[Route]],SegmentsPerRoute!$C$3:$L$297,10,FALSE),0), 0)</f>
        <v>26</v>
      </c>
      <c r="E365">
        <v>4</v>
      </c>
      <c r="F365" s="1">
        <v>329.334</v>
      </c>
      <c r="G365" t="s">
        <v>642</v>
      </c>
      <c r="H365" s="1">
        <v>332.21100000000001</v>
      </c>
      <c r="I365" t="s">
        <v>643</v>
      </c>
      <c r="K365" t="s">
        <v>1694</v>
      </c>
      <c r="L365" t="s">
        <v>2448</v>
      </c>
      <c r="M365" t="s">
        <v>2469</v>
      </c>
      <c r="N365" t="s">
        <v>269</v>
      </c>
    </row>
    <row r="366" spans="1:14" x14ac:dyDescent="0.25">
      <c r="A366" s="41" t="str">
        <f>Table1[[#This Row],[Route]]&amp;TEXT(Table1[[#This Row],[SegmentID]],"00")</f>
        <v>050B30</v>
      </c>
      <c r="B366" t="s">
        <v>640</v>
      </c>
      <c r="D366">
        <f>IFERROR(ROUND(VLOOKUP(Table1[[#This Row],[Route]],SegmentsPerRoute!$C$3:$L$297,8,FALSE)+(Table1[[#This Row],[Sequence]]-1)*VLOOKUP(Table1[[#This Row],[Route]],SegmentsPerRoute!$C$3:$L$297,10,FALSE),0), 0)</f>
        <v>30</v>
      </c>
      <c r="E366">
        <v>5</v>
      </c>
      <c r="F366" s="1">
        <v>332.21100000000001</v>
      </c>
      <c r="G366" t="s">
        <v>643</v>
      </c>
      <c r="H366" s="1">
        <v>335.76400000000001</v>
      </c>
      <c r="I366" t="s">
        <v>644</v>
      </c>
      <c r="K366" t="s">
        <v>1694</v>
      </c>
      <c r="L366" t="s">
        <v>2448</v>
      </c>
      <c r="M366" t="s">
        <v>2469</v>
      </c>
      <c r="N366" t="s">
        <v>269</v>
      </c>
    </row>
    <row r="367" spans="1:14" x14ac:dyDescent="0.25">
      <c r="A367" s="41" t="str">
        <f>Table1[[#This Row],[Route]]&amp;TEXT(Table1[[#This Row],[SegmentID]],"00")</f>
        <v>050B34</v>
      </c>
      <c r="B367" t="s">
        <v>640</v>
      </c>
      <c r="D367">
        <f>IFERROR(ROUND(VLOOKUP(Table1[[#This Row],[Route]],SegmentsPerRoute!$C$3:$L$297,8,FALSE)+(Table1[[#This Row],[Sequence]]-1)*VLOOKUP(Table1[[#This Row],[Route]],SegmentsPerRoute!$C$3:$L$297,10,FALSE),0), 0)</f>
        <v>34</v>
      </c>
      <c r="E367">
        <v>6</v>
      </c>
      <c r="F367" s="1">
        <v>335.76400000000001</v>
      </c>
      <c r="G367" t="s">
        <v>644</v>
      </c>
      <c r="H367" s="1">
        <v>350.90899999999999</v>
      </c>
      <c r="I367" t="s">
        <v>645</v>
      </c>
      <c r="K367" t="s">
        <v>1694</v>
      </c>
      <c r="L367" t="s">
        <v>2449</v>
      </c>
      <c r="M367" t="s">
        <v>2468</v>
      </c>
      <c r="N367" t="s">
        <v>269</v>
      </c>
    </row>
    <row r="368" spans="1:14" x14ac:dyDescent="0.25">
      <c r="A368" s="41" t="str">
        <f>Table1[[#This Row],[Route]]&amp;TEXT(Table1[[#This Row],[SegmentID]],"00")</f>
        <v>050B37</v>
      </c>
      <c r="B368" t="s">
        <v>640</v>
      </c>
      <c r="D368">
        <f>IFERROR(ROUND(VLOOKUP(Table1[[#This Row],[Route]],SegmentsPerRoute!$C$3:$L$297,8,FALSE)+(Table1[[#This Row],[Sequence]]-1)*VLOOKUP(Table1[[#This Row],[Route]],SegmentsPerRoute!$C$3:$L$297,10,FALSE),0), 0)</f>
        <v>37</v>
      </c>
      <c r="E368">
        <v>7</v>
      </c>
      <c r="F368" s="1">
        <v>350.90899999999999</v>
      </c>
      <c r="G368" t="s">
        <v>645</v>
      </c>
      <c r="H368" s="1">
        <v>359.71199999999999</v>
      </c>
      <c r="I368" t="s">
        <v>646</v>
      </c>
      <c r="K368" t="s">
        <v>1694</v>
      </c>
      <c r="L368" t="s">
        <v>2450</v>
      </c>
      <c r="M368" t="s">
        <v>2467</v>
      </c>
      <c r="N368" t="s">
        <v>269</v>
      </c>
    </row>
    <row r="369" spans="1:14" x14ac:dyDescent="0.25">
      <c r="A369" s="41" t="str">
        <f>Table1[[#This Row],[Route]]&amp;TEXT(Table1[[#This Row],[SegmentID]],"00")</f>
        <v>050B41</v>
      </c>
      <c r="B369" t="s">
        <v>640</v>
      </c>
      <c r="D369">
        <f>IFERROR(ROUND(VLOOKUP(Table1[[#This Row],[Route]],SegmentsPerRoute!$C$3:$L$297,8,FALSE)+(Table1[[#This Row],[Sequence]]-1)*VLOOKUP(Table1[[#This Row],[Route]],SegmentsPerRoute!$C$3:$L$297,10,FALSE),0), 0)</f>
        <v>41</v>
      </c>
      <c r="E369">
        <v>8</v>
      </c>
      <c r="F369" s="1">
        <v>359.71199999999999</v>
      </c>
      <c r="G369" t="s">
        <v>646</v>
      </c>
      <c r="H369" s="1">
        <v>366.97</v>
      </c>
      <c r="I369" t="s">
        <v>647</v>
      </c>
      <c r="K369" t="s">
        <v>1694</v>
      </c>
      <c r="L369" t="s">
        <v>2451</v>
      </c>
      <c r="M369" t="s">
        <v>2466</v>
      </c>
      <c r="N369" t="s">
        <v>269</v>
      </c>
    </row>
    <row r="370" spans="1:14" x14ac:dyDescent="0.25">
      <c r="A370" s="41" t="str">
        <f>Table1[[#This Row],[Route]]&amp;TEXT(Table1[[#This Row],[SegmentID]],"00")</f>
        <v>050B45</v>
      </c>
      <c r="B370" t="s">
        <v>640</v>
      </c>
      <c r="D370">
        <f>IFERROR(ROUND(VLOOKUP(Table1[[#This Row],[Route]],SegmentsPerRoute!$C$3:$L$297,8,FALSE)+(Table1[[#This Row],[Sequence]]-1)*VLOOKUP(Table1[[#This Row],[Route]],SegmentsPerRoute!$C$3:$L$297,10,FALSE),0), 0)</f>
        <v>45</v>
      </c>
      <c r="E370">
        <v>9</v>
      </c>
      <c r="F370" s="1">
        <v>366.97</v>
      </c>
      <c r="G370" t="s">
        <v>647</v>
      </c>
      <c r="H370" s="1">
        <v>368.10899999999998</v>
      </c>
      <c r="I370" t="s">
        <v>648</v>
      </c>
      <c r="K370" t="s">
        <v>1694</v>
      </c>
      <c r="L370" t="s">
        <v>2452</v>
      </c>
      <c r="M370" t="s">
        <v>2444</v>
      </c>
      <c r="N370" t="s">
        <v>269</v>
      </c>
    </row>
    <row r="371" spans="1:14" x14ac:dyDescent="0.25">
      <c r="A371" s="41" t="str">
        <f>Table1[[#This Row],[Route]]&amp;TEXT(Table1[[#This Row],[SegmentID]],"00")</f>
        <v>050B48</v>
      </c>
      <c r="B371" t="s">
        <v>640</v>
      </c>
      <c r="D371">
        <f>IFERROR(ROUND(VLOOKUP(Table1[[#This Row],[Route]],SegmentsPerRoute!$C$3:$L$297,8,FALSE)+(Table1[[#This Row],[Sequence]]-1)*VLOOKUP(Table1[[#This Row],[Route]],SegmentsPerRoute!$C$3:$L$297,10,FALSE),0), 0)</f>
        <v>48</v>
      </c>
      <c r="E371">
        <v>10</v>
      </c>
      <c r="F371" s="1">
        <v>368.10899999999998</v>
      </c>
      <c r="G371" t="s">
        <v>648</v>
      </c>
      <c r="H371" s="1">
        <v>368.93</v>
      </c>
      <c r="I371" t="s">
        <v>649</v>
      </c>
      <c r="K371" t="s">
        <v>1694</v>
      </c>
      <c r="L371" t="s">
        <v>2452</v>
      </c>
      <c r="M371" t="s">
        <v>2444</v>
      </c>
      <c r="N371" t="s">
        <v>269</v>
      </c>
    </row>
    <row r="372" spans="1:14" x14ac:dyDescent="0.25">
      <c r="A372" s="41" t="str">
        <f>Table1[[#This Row],[Route]]&amp;TEXT(Table1[[#This Row],[SegmentID]],"00")</f>
        <v>050B52</v>
      </c>
      <c r="B372" t="s">
        <v>640</v>
      </c>
      <c r="D372">
        <f>IFERROR(ROUND(VLOOKUP(Table1[[#This Row],[Route]],SegmentsPerRoute!$C$3:$L$297,8,FALSE)+(Table1[[#This Row],[Sequence]]-1)*VLOOKUP(Table1[[#This Row],[Route]],SegmentsPerRoute!$C$3:$L$297,10,FALSE),0), 0)</f>
        <v>52</v>
      </c>
      <c r="E372">
        <v>11</v>
      </c>
      <c r="F372" s="1">
        <v>368.93</v>
      </c>
      <c r="G372" t="s">
        <v>649</v>
      </c>
      <c r="H372" s="1">
        <v>369.42</v>
      </c>
      <c r="I372" t="s">
        <v>650</v>
      </c>
      <c r="K372" t="s">
        <v>1694</v>
      </c>
      <c r="L372" t="s">
        <v>2453</v>
      </c>
      <c r="M372" t="s">
        <v>2444</v>
      </c>
      <c r="N372" t="s">
        <v>269</v>
      </c>
    </row>
    <row r="373" spans="1:14" x14ac:dyDescent="0.25">
      <c r="A373" s="41" t="str">
        <f>Table1[[#This Row],[Route]]&amp;TEXT(Table1[[#This Row],[SegmentID]],"00")</f>
        <v>050B56</v>
      </c>
      <c r="B373" t="s">
        <v>640</v>
      </c>
      <c r="D373">
        <f>IFERROR(ROUND(VLOOKUP(Table1[[#This Row],[Route]],SegmentsPerRoute!$C$3:$L$297,8,FALSE)+(Table1[[#This Row],[Sequence]]-1)*VLOOKUP(Table1[[#This Row],[Route]],SegmentsPerRoute!$C$3:$L$297,10,FALSE),0), 0)</f>
        <v>56</v>
      </c>
      <c r="E373">
        <v>12</v>
      </c>
      <c r="F373" s="1">
        <v>369.42</v>
      </c>
      <c r="G373" t="s">
        <v>650</v>
      </c>
      <c r="H373" s="1">
        <v>378.41899999999998</v>
      </c>
      <c r="I373" t="s">
        <v>651</v>
      </c>
      <c r="K373" t="s">
        <v>1694</v>
      </c>
      <c r="L373" t="s">
        <v>2453</v>
      </c>
      <c r="M373" t="s">
        <v>2465</v>
      </c>
      <c r="N373" t="s">
        <v>269</v>
      </c>
    </row>
    <row r="374" spans="1:14" x14ac:dyDescent="0.25">
      <c r="A374" s="41" t="str">
        <f>Table1[[#This Row],[Route]]&amp;TEXT(Table1[[#This Row],[SegmentID]],"00")</f>
        <v>050B59</v>
      </c>
      <c r="B374" t="s">
        <v>640</v>
      </c>
      <c r="D374">
        <f>IFERROR(ROUND(VLOOKUP(Table1[[#This Row],[Route]],SegmentsPerRoute!$C$3:$L$297,8,FALSE)+(Table1[[#This Row],[Sequence]]-1)*VLOOKUP(Table1[[#This Row],[Route]],SegmentsPerRoute!$C$3:$L$297,10,FALSE),0), 0)</f>
        <v>59</v>
      </c>
      <c r="E374">
        <v>13</v>
      </c>
      <c r="F374" s="1">
        <v>378.41899999999998</v>
      </c>
      <c r="G374" t="s">
        <v>651</v>
      </c>
      <c r="H374" s="1">
        <v>378.81599999999997</v>
      </c>
      <c r="I374" t="s">
        <v>664</v>
      </c>
      <c r="K374" t="s">
        <v>1694</v>
      </c>
      <c r="L374" t="s">
        <v>2454</v>
      </c>
      <c r="M374" t="s">
        <v>2462</v>
      </c>
      <c r="N374" t="s">
        <v>269</v>
      </c>
    </row>
    <row r="375" spans="1:14" ht="30" x14ac:dyDescent="0.25">
      <c r="A375" s="41" t="str">
        <f>Table1[[#This Row],[Route]]&amp;TEXT(Table1[[#This Row],[SegmentID]],"00")</f>
        <v>050B63</v>
      </c>
      <c r="B375" t="s">
        <v>640</v>
      </c>
      <c r="D375">
        <f>IFERROR(ROUND(VLOOKUP(Table1[[#This Row],[Route]],SegmentsPerRoute!$C$3:$L$297,8,FALSE)+(Table1[[#This Row],[Sequence]]-1)*VLOOKUP(Table1[[#This Row],[Route]],SegmentsPerRoute!$C$3:$L$297,10,FALSE),0), 0)</f>
        <v>63</v>
      </c>
      <c r="E375">
        <v>14</v>
      </c>
      <c r="F375" s="1">
        <v>378.81599999999997</v>
      </c>
      <c r="G375" t="s">
        <v>664</v>
      </c>
      <c r="H375" s="1">
        <v>379</v>
      </c>
      <c r="I375" s="4" t="s">
        <v>2463</v>
      </c>
      <c r="K375" t="s">
        <v>1694</v>
      </c>
      <c r="L375" t="s">
        <v>2455</v>
      </c>
      <c r="M375" t="s">
        <v>2464</v>
      </c>
      <c r="N375" t="s">
        <v>269</v>
      </c>
    </row>
    <row r="376" spans="1:14" ht="30" x14ac:dyDescent="0.25">
      <c r="A376" s="41" t="str">
        <f>Table1[[#This Row],[Route]]&amp;TEXT(Table1[[#This Row],[SegmentID]],"00")</f>
        <v>050B67</v>
      </c>
      <c r="B376" t="s">
        <v>640</v>
      </c>
      <c r="D376">
        <f>IFERROR(ROUND(VLOOKUP(Table1[[#This Row],[Route]],SegmentsPerRoute!$C$3:$L$297,8,FALSE)+(Table1[[#This Row],[Sequence]]-1)*VLOOKUP(Table1[[#This Row],[Route]],SegmentsPerRoute!$C$3:$L$297,10,FALSE),0), 0)</f>
        <v>67</v>
      </c>
      <c r="E376">
        <f>E375+1</f>
        <v>15</v>
      </c>
      <c r="F376" s="1">
        <v>379</v>
      </c>
      <c r="G376" s="4" t="s">
        <v>2463</v>
      </c>
      <c r="H376" s="1">
        <v>380.23099999999999</v>
      </c>
      <c r="I376" t="s">
        <v>652</v>
      </c>
      <c r="K376" t="s">
        <v>1694</v>
      </c>
      <c r="L376" t="s">
        <v>2454</v>
      </c>
      <c r="M376" t="s">
        <v>2462</v>
      </c>
      <c r="N376" t="s">
        <v>269</v>
      </c>
    </row>
    <row r="377" spans="1:14" x14ac:dyDescent="0.25">
      <c r="A377" s="41" t="str">
        <f>Table1[[#This Row],[Route]]&amp;TEXT(Table1[[#This Row],[SegmentID]],"00")</f>
        <v>050B71</v>
      </c>
      <c r="B377" t="s">
        <v>640</v>
      </c>
      <c r="D377">
        <f>IFERROR(ROUND(VLOOKUP(Table1[[#This Row],[Route]],SegmentsPerRoute!$C$3:$L$297,8,FALSE)+(Table1[[#This Row],[Sequence]]-1)*VLOOKUP(Table1[[#This Row],[Route]],SegmentsPerRoute!$C$3:$L$297,10,FALSE),0), 0)</f>
        <v>71</v>
      </c>
      <c r="E377">
        <f t="shared" ref="E377:E385" si="2">E376+1</f>
        <v>16</v>
      </c>
      <c r="F377" s="1">
        <v>380.23099999999999</v>
      </c>
      <c r="G377" t="s">
        <v>652</v>
      </c>
      <c r="H377" s="1">
        <v>398.76900000000001</v>
      </c>
      <c r="I377" t="s">
        <v>653</v>
      </c>
      <c r="K377" t="s">
        <v>1694</v>
      </c>
      <c r="L377" t="s">
        <v>2452</v>
      </c>
      <c r="M377" t="s">
        <v>2461</v>
      </c>
      <c r="N377" t="s">
        <v>269</v>
      </c>
    </row>
    <row r="378" spans="1:14" x14ac:dyDescent="0.25">
      <c r="A378" s="41" t="str">
        <f>Table1[[#This Row],[Route]]&amp;TEXT(Table1[[#This Row],[SegmentID]],"00")</f>
        <v>050B74</v>
      </c>
      <c r="B378" t="s">
        <v>640</v>
      </c>
      <c r="D378">
        <f>IFERROR(ROUND(VLOOKUP(Table1[[#This Row],[Route]],SegmentsPerRoute!$C$3:$L$297,8,FALSE)+(Table1[[#This Row],[Sequence]]-1)*VLOOKUP(Table1[[#This Row],[Route]],SegmentsPerRoute!$C$3:$L$297,10,FALSE),0), 0)</f>
        <v>74</v>
      </c>
      <c r="E378">
        <f t="shared" si="2"/>
        <v>17</v>
      </c>
      <c r="F378" s="1">
        <v>398.76900000000001</v>
      </c>
      <c r="G378" t="s">
        <v>653</v>
      </c>
      <c r="H378" s="1">
        <v>400.16</v>
      </c>
      <c r="I378" t="s">
        <v>654</v>
      </c>
      <c r="K378" t="s">
        <v>1694</v>
      </c>
      <c r="L378" t="s">
        <v>2452</v>
      </c>
      <c r="M378" t="s">
        <v>2461</v>
      </c>
      <c r="N378" t="s">
        <v>269</v>
      </c>
    </row>
    <row r="379" spans="1:14" x14ac:dyDescent="0.25">
      <c r="A379" s="41" t="str">
        <f>Table1[[#This Row],[Route]]&amp;TEXT(Table1[[#This Row],[SegmentID]],"00")</f>
        <v>050B78</v>
      </c>
      <c r="B379" t="s">
        <v>640</v>
      </c>
      <c r="D379">
        <f>IFERROR(ROUND(VLOOKUP(Table1[[#This Row],[Route]],SegmentsPerRoute!$C$3:$L$297,8,FALSE)+(Table1[[#This Row],[Sequence]]-1)*VLOOKUP(Table1[[#This Row],[Route]],SegmentsPerRoute!$C$3:$L$297,10,FALSE),0), 0)</f>
        <v>78</v>
      </c>
      <c r="E379">
        <f t="shared" si="2"/>
        <v>18</v>
      </c>
      <c r="F379" s="1">
        <v>400.16</v>
      </c>
      <c r="G379" t="s">
        <v>654</v>
      </c>
      <c r="H379" s="1">
        <v>404.62700000000001</v>
      </c>
      <c r="I379" t="s">
        <v>655</v>
      </c>
      <c r="K379" t="s">
        <v>1694</v>
      </c>
      <c r="L379" t="s">
        <v>2452</v>
      </c>
      <c r="M379" t="s">
        <v>2460</v>
      </c>
    </row>
    <row r="380" spans="1:14" x14ac:dyDescent="0.25">
      <c r="A380" s="41" t="str">
        <f>Table1[[#This Row],[Route]]&amp;TEXT(Table1[[#This Row],[SegmentID]],"00")</f>
        <v>050B82</v>
      </c>
      <c r="B380" t="s">
        <v>640</v>
      </c>
      <c r="D380">
        <f>IFERROR(ROUND(VLOOKUP(Table1[[#This Row],[Route]],SegmentsPerRoute!$C$3:$L$297,8,FALSE)+(Table1[[#This Row],[Sequence]]-1)*VLOOKUP(Table1[[#This Row],[Route]],SegmentsPerRoute!$C$3:$L$297,10,FALSE),0), 0)</f>
        <v>82</v>
      </c>
      <c r="E380">
        <f t="shared" si="2"/>
        <v>19</v>
      </c>
      <c r="F380" s="1">
        <v>404.62700000000001</v>
      </c>
      <c r="G380" t="s">
        <v>655</v>
      </c>
      <c r="H380" s="1">
        <v>420.74400000000003</v>
      </c>
      <c r="I380" t="s">
        <v>656</v>
      </c>
      <c r="K380" t="s">
        <v>1694</v>
      </c>
      <c r="L380" t="s">
        <v>2452</v>
      </c>
      <c r="M380" t="s">
        <v>2460</v>
      </c>
    </row>
    <row r="381" spans="1:14" x14ac:dyDescent="0.25">
      <c r="A381" s="41" t="str">
        <f>Table1[[#This Row],[Route]]&amp;TEXT(Table1[[#This Row],[SegmentID]],"00")</f>
        <v>050B85</v>
      </c>
      <c r="B381" t="s">
        <v>640</v>
      </c>
      <c r="D381">
        <f>IFERROR(ROUND(VLOOKUP(Table1[[#This Row],[Route]],SegmentsPerRoute!$C$3:$L$297,8,FALSE)+(Table1[[#This Row],[Sequence]]-1)*VLOOKUP(Table1[[#This Row],[Route]],SegmentsPerRoute!$C$3:$L$297,10,FALSE),0), 0)</f>
        <v>85</v>
      </c>
      <c r="E381">
        <f t="shared" si="2"/>
        <v>20</v>
      </c>
      <c r="F381" s="1">
        <v>420.74400000000003</v>
      </c>
      <c r="G381" t="s">
        <v>656</v>
      </c>
      <c r="H381" s="1">
        <v>427.73700000000002</v>
      </c>
      <c r="I381" t="s">
        <v>657</v>
      </c>
      <c r="K381" t="s">
        <v>1694</v>
      </c>
      <c r="L381" t="s">
        <v>2456</v>
      </c>
      <c r="M381" t="s">
        <v>2459</v>
      </c>
    </row>
    <row r="382" spans="1:14" x14ac:dyDescent="0.25">
      <c r="A382" s="41" t="str">
        <f>Table1[[#This Row],[Route]]&amp;TEXT(Table1[[#This Row],[SegmentID]],"00")</f>
        <v>050B89</v>
      </c>
      <c r="B382" t="s">
        <v>640</v>
      </c>
      <c r="D382">
        <f>IFERROR(ROUND(VLOOKUP(Table1[[#This Row],[Route]],SegmentsPerRoute!$C$3:$L$297,8,FALSE)+(Table1[[#This Row],[Sequence]]-1)*VLOOKUP(Table1[[#This Row],[Route]],SegmentsPerRoute!$C$3:$L$297,10,FALSE),0), 0)</f>
        <v>89</v>
      </c>
      <c r="E382">
        <f t="shared" si="2"/>
        <v>21</v>
      </c>
      <c r="F382" s="1">
        <v>427.73700000000002</v>
      </c>
      <c r="G382" t="s">
        <v>657</v>
      </c>
      <c r="H382" s="1">
        <v>435.39</v>
      </c>
      <c r="I382" t="s">
        <v>658</v>
      </c>
      <c r="K382" t="s">
        <v>1694</v>
      </c>
      <c r="L382" t="s">
        <v>2457</v>
      </c>
      <c r="M382" t="s">
        <v>2458</v>
      </c>
      <c r="N382" t="s">
        <v>269</v>
      </c>
    </row>
    <row r="383" spans="1:14" x14ac:dyDescent="0.25">
      <c r="A383" s="41" t="str">
        <f>Table1[[#This Row],[Route]]&amp;TEXT(Table1[[#This Row],[SegmentID]],"00")</f>
        <v>050B93</v>
      </c>
      <c r="B383" t="s">
        <v>640</v>
      </c>
      <c r="D383">
        <f>IFERROR(ROUND(VLOOKUP(Table1[[#This Row],[Route]],SegmentsPerRoute!$C$3:$L$297,8,FALSE)+(Table1[[#This Row],[Sequence]]-1)*VLOOKUP(Table1[[#This Row],[Route]],SegmentsPerRoute!$C$3:$L$297,10,FALSE),0), 0)</f>
        <v>93</v>
      </c>
      <c r="E383">
        <f t="shared" si="2"/>
        <v>22</v>
      </c>
      <c r="F383" s="1">
        <v>435.39</v>
      </c>
      <c r="G383" t="s">
        <v>658</v>
      </c>
      <c r="H383" s="1">
        <v>452.76900000000001</v>
      </c>
      <c r="I383" t="s">
        <v>659</v>
      </c>
      <c r="K383" t="s">
        <v>1694</v>
      </c>
      <c r="L383" t="s">
        <v>2457</v>
      </c>
      <c r="M383" t="s">
        <v>2458</v>
      </c>
      <c r="N383" t="s">
        <v>269</v>
      </c>
    </row>
    <row r="384" spans="1:14" x14ac:dyDescent="0.25">
      <c r="A384" s="41" t="str">
        <f>Table1[[#This Row],[Route]]&amp;TEXT(Table1[[#This Row],[SegmentID]],"00")</f>
        <v>050B96</v>
      </c>
      <c r="B384" t="s">
        <v>640</v>
      </c>
      <c r="D384">
        <f>IFERROR(ROUND(VLOOKUP(Table1[[#This Row],[Route]],SegmentsPerRoute!$C$3:$L$297,8,FALSE)+(Table1[[#This Row],[Sequence]]-1)*VLOOKUP(Table1[[#This Row],[Route]],SegmentsPerRoute!$C$3:$L$297,10,FALSE),0), 0)</f>
        <v>96</v>
      </c>
      <c r="E384">
        <f t="shared" si="2"/>
        <v>23</v>
      </c>
      <c r="F384" s="1">
        <v>452.76900000000001</v>
      </c>
      <c r="G384" t="s">
        <v>659</v>
      </c>
      <c r="H384" s="1">
        <v>463.50599999999997</v>
      </c>
      <c r="I384" t="s">
        <v>660</v>
      </c>
      <c r="K384" t="s">
        <v>1694</v>
      </c>
      <c r="L384" t="s">
        <v>2457</v>
      </c>
      <c r="M384" t="s">
        <v>2458</v>
      </c>
      <c r="N384" t="s">
        <v>269</v>
      </c>
    </row>
    <row r="385" spans="1:14" x14ac:dyDescent="0.25">
      <c r="A385" s="41" t="str">
        <f>Table1[[#This Row],[Route]]&amp;TEXT(Table1[[#This Row],[SegmentID]],"00")</f>
        <v>050B99</v>
      </c>
      <c r="B385" t="s">
        <v>640</v>
      </c>
      <c r="D385">
        <v>99</v>
      </c>
      <c r="E385">
        <f t="shared" si="2"/>
        <v>24</v>
      </c>
      <c r="F385" s="1">
        <v>463.50599999999997</v>
      </c>
      <c r="G385" t="s">
        <v>660</v>
      </c>
      <c r="H385" s="1">
        <v>467.58300000000003</v>
      </c>
      <c r="I385" t="s">
        <v>250</v>
      </c>
      <c r="K385" t="s">
        <v>1694</v>
      </c>
      <c r="L385" t="s">
        <v>2457</v>
      </c>
      <c r="M385" t="s">
        <v>2458</v>
      </c>
    </row>
    <row r="386" spans="1:14" ht="30" x14ac:dyDescent="0.25">
      <c r="A386" s="41" t="str">
        <f>Table1[[#This Row],[Route]]&amp;TEXT(Table1[[#This Row],[SegmentID]],"00")</f>
        <v>050C15</v>
      </c>
      <c r="B386" t="s">
        <v>665</v>
      </c>
      <c r="C386" s="3" t="s">
        <v>671</v>
      </c>
      <c r="D386">
        <f>IFERROR(ROUND(VLOOKUP(Table1[[#This Row],[Route]],SegmentsPerRoute!$C$3:$L$297,8,FALSE)+(Table1[[#This Row],[Sequence]]-1)*VLOOKUP(Table1[[#This Row],[Route]],SegmentsPerRoute!$C$3:$L$297,10,FALSE),0), 0)</f>
        <v>15</v>
      </c>
      <c r="E386">
        <v>1</v>
      </c>
      <c r="F386" s="1">
        <v>0</v>
      </c>
      <c r="G386" t="s">
        <v>666</v>
      </c>
      <c r="H386" s="1">
        <v>0.82399999999999995</v>
      </c>
      <c r="I386" t="s">
        <v>667</v>
      </c>
      <c r="K386" t="s">
        <v>1700</v>
      </c>
      <c r="L386" t="s">
        <v>2473</v>
      </c>
      <c r="M386" t="s">
        <v>2478</v>
      </c>
      <c r="N386" s="4" t="s">
        <v>674</v>
      </c>
    </row>
    <row r="387" spans="1:14" x14ac:dyDescent="0.25">
      <c r="A387" s="41" t="str">
        <f>Table1[[#This Row],[Route]]&amp;TEXT(Table1[[#This Row],[SegmentID]],"00")</f>
        <v>050C38</v>
      </c>
      <c r="B387" t="s">
        <v>665</v>
      </c>
      <c r="C387" s="3" t="s">
        <v>672</v>
      </c>
      <c r="D387">
        <f>IFERROR(ROUND(VLOOKUP(Table1[[#This Row],[Route]],SegmentsPerRoute!$C$3:$L$297,8,FALSE)+(Table1[[#This Row],[Sequence]]-1)*VLOOKUP(Table1[[#This Row],[Route]],SegmentsPerRoute!$C$3:$L$297,10,FALSE),0), 0)</f>
        <v>38</v>
      </c>
      <c r="E387">
        <v>2</v>
      </c>
      <c r="F387" s="1">
        <v>0.82399999999999995</v>
      </c>
      <c r="G387" t="s">
        <v>667</v>
      </c>
      <c r="H387" s="1">
        <v>2.3380000000000001</v>
      </c>
      <c r="I387" t="s">
        <v>668</v>
      </c>
      <c r="K387" t="s">
        <v>1700</v>
      </c>
      <c r="L387" t="s">
        <v>2474</v>
      </c>
      <c r="M387" t="s">
        <v>2477</v>
      </c>
      <c r="N387" t="s">
        <v>269</v>
      </c>
    </row>
    <row r="388" spans="1:14" x14ac:dyDescent="0.25">
      <c r="A388" s="41" t="str">
        <f>Table1[[#This Row],[Route]]&amp;TEXT(Table1[[#This Row],[SegmentID]],"00")</f>
        <v>050C62</v>
      </c>
      <c r="B388" t="s">
        <v>665</v>
      </c>
      <c r="C388" s="3" t="s">
        <v>672</v>
      </c>
      <c r="D388">
        <f>IFERROR(ROUND(VLOOKUP(Table1[[#This Row],[Route]],SegmentsPerRoute!$C$3:$L$297,8,FALSE)+(Table1[[#This Row],[Sequence]]-1)*VLOOKUP(Table1[[#This Row],[Route]],SegmentsPerRoute!$C$3:$L$297,10,FALSE),0), 0)</f>
        <v>62</v>
      </c>
      <c r="E388">
        <v>3</v>
      </c>
      <c r="F388" s="1">
        <v>2.3380000000000001</v>
      </c>
      <c r="G388" t="s">
        <v>668</v>
      </c>
      <c r="H388" s="1">
        <v>9.4489999999999998</v>
      </c>
      <c r="I388" t="s">
        <v>669</v>
      </c>
      <c r="K388" t="s">
        <v>1700</v>
      </c>
      <c r="L388" t="s">
        <v>2474</v>
      </c>
      <c r="M388" t="s">
        <v>2477</v>
      </c>
      <c r="N388" t="s">
        <v>675</v>
      </c>
    </row>
    <row r="389" spans="1:14" x14ac:dyDescent="0.25">
      <c r="A389" s="41" t="str">
        <f>Table1[[#This Row],[Route]]&amp;TEXT(Table1[[#This Row],[SegmentID]],"00")</f>
        <v>050C85</v>
      </c>
      <c r="B389" t="s">
        <v>665</v>
      </c>
      <c r="C389" s="3" t="s">
        <v>673</v>
      </c>
      <c r="D389">
        <f>IFERROR(ROUND(VLOOKUP(Table1[[#This Row],[Route]],SegmentsPerRoute!$C$3:$L$297,8,FALSE)+(Table1[[#This Row],[Sequence]]-1)*VLOOKUP(Table1[[#This Row],[Route]],SegmentsPerRoute!$C$3:$L$297,10,FALSE),0), 0)</f>
        <v>85</v>
      </c>
      <c r="E389">
        <v>4</v>
      </c>
      <c r="F389" s="1">
        <v>9.4489999999999998</v>
      </c>
      <c r="G389" t="s">
        <v>669</v>
      </c>
      <c r="H389" s="1">
        <v>16.948</v>
      </c>
      <c r="I389" t="s">
        <v>670</v>
      </c>
      <c r="K389" t="s">
        <v>1700</v>
      </c>
      <c r="L389" t="s">
        <v>2475</v>
      </c>
      <c r="M389" t="s">
        <v>2476</v>
      </c>
      <c r="N389" t="s">
        <v>269</v>
      </c>
    </row>
    <row r="390" spans="1:14" x14ac:dyDescent="0.25">
      <c r="A390" s="41" t="str">
        <f>Table1[[#This Row],[Route]]&amp;TEXT(Table1[[#This Row],[SegmentID]],"00")</f>
        <v>050D15</v>
      </c>
      <c r="B390" t="s">
        <v>630</v>
      </c>
      <c r="C390" s="3" t="s">
        <v>631</v>
      </c>
      <c r="D390">
        <f>IFERROR(ROUND(VLOOKUP(Table1[[#This Row],[Route]],SegmentsPerRoute!$C$3:$L$297,8,FALSE)+(Table1[[#This Row],[Sequence]]-1)*VLOOKUP(Table1[[#This Row],[Route]],SegmentsPerRoute!$C$3:$L$297,10,FALSE),0), 0)</f>
        <v>15</v>
      </c>
      <c r="E390">
        <v>1</v>
      </c>
      <c r="F390" s="1">
        <v>0</v>
      </c>
      <c r="G390" t="s">
        <v>676</v>
      </c>
      <c r="H390" s="1">
        <v>0.93100000000000005</v>
      </c>
      <c r="I390" t="s">
        <v>677</v>
      </c>
      <c r="J390" t="s">
        <v>4606</v>
      </c>
      <c r="K390" t="s">
        <v>1707</v>
      </c>
    </row>
    <row r="391" spans="1:14" x14ac:dyDescent="0.25">
      <c r="A391" s="41" t="str">
        <f>Table1[[#This Row],[Route]]&amp;TEXT(Table1[[#This Row],[SegmentID]],"00")</f>
        <v>050D85</v>
      </c>
      <c r="B391" t="s">
        <v>630</v>
      </c>
      <c r="C391" s="3" t="s">
        <v>679</v>
      </c>
      <c r="D391">
        <f>IFERROR(ROUND(VLOOKUP(Table1[[#This Row],[Route]],SegmentsPerRoute!$C$3:$L$297,8,FALSE)+(Table1[[#This Row],[Sequence]]-1)*VLOOKUP(Table1[[#This Row],[Route]],SegmentsPerRoute!$C$3:$L$297,10,FALSE),0), 0)</f>
        <v>85</v>
      </c>
      <c r="E391">
        <v>2</v>
      </c>
      <c r="F391" s="1">
        <v>0.93100000000000005</v>
      </c>
      <c r="G391" t="s">
        <v>677</v>
      </c>
      <c r="H391" s="1">
        <v>1.5389999999999999</v>
      </c>
      <c r="I391" t="s">
        <v>678</v>
      </c>
      <c r="J391" t="s">
        <v>4606</v>
      </c>
      <c r="K391" t="s">
        <v>1707</v>
      </c>
    </row>
    <row r="392" spans="1:14" x14ac:dyDescent="0.25">
      <c r="A392" s="41" t="str">
        <f>Table1[[#This Row],[Route]]&amp;TEXT(Table1[[#This Row],[SegmentID]],"00")</f>
        <v>050Z15</v>
      </c>
      <c r="B392" t="s">
        <v>680</v>
      </c>
      <c r="D392">
        <f>IFERROR(ROUND(VLOOKUP(Table1[[#This Row],[Route]],SegmentsPerRoute!$C$3:$L$297,8,FALSE)+(Table1[[#This Row],[Sequence]]-1)*VLOOKUP(Table1[[#This Row],[Route]],SegmentsPerRoute!$C$3:$L$297,10,FALSE),0), 0)</f>
        <v>15</v>
      </c>
      <c r="E392">
        <v>1</v>
      </c>
      <c r="F392" s="1">
        <v>0</v>
      </c>
      <c r="G392" t="s">
        <v>683</v>
      </c>
      <c r="H392" s="1">
        <v>0.61299999999999999</v>
      </c>
      <c r="I392" t="s">
        <v>681</v>
      </c>
      <c r="K392" t="s">
        <v>1694</v>
      </c>
      <c r="L392" t="s">
        <v>2465</v>
      </c>
      <c r="M392" t="s">
        <v>2095</v>
      </c>
    </row>
    <row r="393" spans="1:14" x14ac:dyDescent="0.25">
      <c r="A393" s="41" t="str">
        <f>Table1[[#This Row],[Route]]&amp;TEXT(Table1[[#This Row],[SegmentID]],"00")</f>
        <v>050Z50</v>
      </c>
      <c r="B393" t="s">
        <v>680</v>
      </c>
      <c r="D393">
        <f>IFERROR(ROUND(VLOOKUP(Table1[[#This Row],[Route]],SegmentsPerRoute!$C$3:$L$297,8,FALSE)+(Table1[[#This Row],[Sequence]]-1)*VLOOKUP(Table1[[#This Row],[Route]],SegmentsPerRoute!$C$3:$L$297,10,FALSE),0), 0)</f>
        <v>50</v>
      </c>
      <c r="E393">
        <v>2</v>
      </c>
      <c r="F393" s="1">
        <v>0.61299999999999999</v>
      </c>
      <c r="G393" t="s">
        <v>681</v>
      </c>
      <c r="H393" s="1">
        <v>1.4330000000000001</v>
      </c>
      <c r="I393" t="s">
        <v>648</v>
      </c>
      <c r="K393" t="s">
        <v>1694</v>
      </c>
      <c r="L393" t="s">
        <v>2460</v>
      </c>
      <c r="M393" t="s">
        <v>2095</v>
      </c>
      <c r="N393" t="s">
        <v>269</v>
      </c>
    </row>
    <row r="394" spans="1:14" x14ac:dyDescent="0.25">
      <c r="A394" s="41" t="str">
        <f>Table1[[#This Row],[Route]]&amp;TEXT(Table1[[#This Row],[SegmentID]],"00")</f>
        <v>050Z85</v>
      </c>
      <c r="B394" t="s">
        <v>680</v>
      </c>
      <c r="D394">
        <f>IFERROR(ROUND(VLOOKUP(Table1[[#This Row],[Route]],SegmentsPerRoute!$C$3:$L$297,8,FALSE)+(Table1[[#This Row],[Sequence]]-1)*VLOOKUP(Table1[[#This Row],[Route]],SegmentsPerRoute!$C$3:$L$297,10,FALSE),0), 0)</f>
        <v>85</v>
      </c>
      <c r="E394">
        <v>3</v>
      </c>
      <c r="F394" s="1">
        <v>1.4330000000000001</v>
      </c>
      <c r="G394" t="s">
        <v>648</v>
      </c>
      <c r="H394" s="1">
        <v>2.6030000000000002</v>
      </c>
      <c r="I394" t="s">
        <v>682</v>
      </c>
      <c r="K394" t="s">
        <v>1694</v>
      </c>
      <c r="L394" t="s">
        <v>2460</v>
      </c>
      <c r="M394" t="s">
        <v>2095</v>
      </c>
      <c r="N394" t="s">
        <v>269</v>
      </c>
    </row>
    <row r="395" spans="1:14" x14ac:dyDescent="0.25">
      <c r="A395" s="41" t="str">
        <f>Table1[[#This Row],[Route]]&amp;TEXT(Table1[[#This Row],[SegmentID]],"00")</f>
        <v>052A15</v>
      </c>
      <c r="B395" t="s">
        <v>684</v>
      </c>
      <c r="C395" s="3" t="s">
        <v>690</v>
      </c>
      <c r="D395">
        <f>IFERROR(ROUND(VLOOKUP(Table1[[#This Row],[Route]],SegmentsPerRoute!$C$3:$L$297,8,FALSE)+(Table1[[#This Row],[Sequence]]-1)*VLOOKUP(Table1[[#This Row],[Route]],SegmentsPerRoute!$C$3:$L$297,10,FALSE),0), 0)</f>
        <v>15</v>
      </c>
      <c r="E395">
        <v>1</v>
      </c>
      <c r="F395" s="1">
        <v>0</v>
      </c>
      <c r="G395" t="s">
        <v>685</v>
      </c>
      <c r="H395" s="1">
        <v>4.673</v>
      </c>
      <c r="I395" t="s">
        <v>10</v>
      </c>
      <c r="K395" t="s">
        <v>1702</v>
      </c>
      <c r="L395" t="s">
        <v>2479</v>
      </c>
      <c r="M395" t="s">
        <v>2488</v>
      </c>
    </row>
    <row r="396" spans="1:14" x14ac:dyDescent="0.25">
      <c r="A396" s="41" t="str">
        <f>Table1[[#This Row],[Route]]&amp;TEXT(Table1[[#This Row],[SegmentID]],"00")</f>
        <v>052A27</v>
      </c>
      <c r="B396" t="s">
        <v>684</v>
      </c>
      <c r="C396" s="3" t="s">
        <v>690</v>
      </c>
      <c r="D396">
        <f>IFERROR(ROUND(VLOOKUP(Table1[[#This Row],[Route]],SegmentsPerRoute!$C$3:$L$297,8,FALSE)+(Table1[[#This Row],[Sequence]]-1)*VLOOKUP(Table1[[#This Row],[Route]],SegmentsPerRoute!$C$3:$L$297,10,FALSE),0), 0)</f>
        <v>27</v>
      </c>
      <c r="E396">
        <v>2</v>
      </c>
      <c r="F396" s="1">
        <v>4.673</v>
      </c>
      <c r="G396" t="s">
        <v>10</v>
      </c>
      <c r="H396" s="1">
        <v>11.167</v>
      </c>
      <c r="I396" t="s">
        <v>11</v>
      </c>
      <c r="K396" t="s">
        <v>1702</v>
      </c>
      <c r="L396" t="s">
        <v>2479</v>
      </c>
      <c r="M396" t="s">
        <v>2488</v>
      </c>
      <c r="N396" t="s">
        <v>475</v>
      </c>
    </row>
    <row r="397" spans="1:14" x14ac:dyDescent="0.25">
      <c r="A397" s="41" t="str">
        <f>Table1[[#This Row],[Route]]&amp;TEXT(Table1[[#This Row],[SegmentID]],"00")</f>
        <v>052A38</v>
      </c>
      <c r="B397" t="s">
        <v>684</v>
      </c>
      <c r="C397" s="3" t="s">
        <v>690</v>
      </c>
      <c r="D397">
        <f>IFERROR(ROUND(VLOOKUP(Table1[[#This Row],[Route]],SegmentsPerRoute!$C$3:$L$297,8,FALSE)+(Table1[[#This Row],[Sequence]]-1)*VLOOKUP(Table1[[#This Row],[Route]],SegmentsPerRoute!$C$3:$L$297,10,FALSE),0), 0)</f>
        <v>38</v>
      </c>
      <c r="E397">
        <v>3</v>
      </c>
      <c r="F397" s="1">
        <v>11.167</v>
      </c>
      <c r="G397" t="s">
        <v>11</v>
      </c>
      <c r="H397" s="1">
        <v>19.962</v>
      </c>
      <c r="I397" t="s">
        <v>686</v>
      </c>
      <c r="K397" t="s">
        <v>1702</v>
      </c>
      <c r="L397" t="s">
        <v>2480</v>
      </c>
      <c r="M397" t="s">
        <v>2486</v>
      </c>
      <c r="N397" t="s">
        <v>77</v>
      </c>
    </row>
    <row r="398" spans="1:14" x14ac:dyDescent="0.25">
      <c r="A398" s="41" t="str">
        <f>Table1[[#This Row],[Route]]&amp;TEXT(Table1[[#This Row],[SegmentID]],"00")</f>
        <v>052A50</v>
      </c>
      <c r="B398" t="s">
        <v>684</v>
      </c>
      <c r="C398" s="3" t="s">
        <v>690</v>
      </c>
      <c r="D398">
        <f>IFERROR(ROUND(VLOOKUP(Table1[[#This Row],[Route]],SegmentsPerRoute!$C$3:$L$297,8,FALSE)+(Table1[[#This Row],[Sequence]]-1)*VLOOKUP(Table1[[#This Row],[Route]],SegmentsPerRoute!$C$3:$L$297,10,FALSE),0), 0)</f>
        <v>50</v>
      </c>
      <c r="E398">
        <v>4</v>
      </c>
      <c r="F398" s="1">
        <v>19.962</v>
      </c>
      <c r="G398" t="s">
        <v>686</v>
      </c>
      <c r="H398" s="1">
        <v>20.452000000000002</v>
      </c>
      <c r="I398" t="s">
        <v>692</v>
      </c>
      <c r="K398" t="s">
        <v>1702</v>
      </c>
      <c r="L398" t="s">
        <v>2481</v>
      </c>
      <c r="M398" t="s">
        <v>2487</v>
      </c>
    </row>
    <row r="399" spans="1:14" x14ac:dyDescent="0.25">
      <c r="A399" s="41" t="str">
        <f>Table1[[#This Row],[Route]]&amp;TEXT(Table1[[#This Row],[SegmentID]],"00")</f>
        <v>052A62</v>
      </c>
      <c r="B399" t="s">
        <v>684</v>
      </c>
      <c r="C399" s="3" t="s">
        <v>690</v>
      </c>
      <c r="D399">
        <f>IFERROR(ROUND(VLOOKUP(Table1[[#This Row],[Route]],SegmentsPerRoute!$C$3:$L$297,8,FALSE)+(Table1[[#This Row],[Sequence]]-1)*VLOOKUP(Table1[[#This Row],[Route]],SegmentsPerRoute!$C$3:$L$297,10,FALSE),0), 0)</f>
        <v>62</v>
      </c>
      <c r="E399">
        <v>5</v>
      </c>
      <c r="F399" s="1">
        <v>20.452000000000002</v>
      </c>
      <c r="G399" t="s">
        <v>692</v>
      </c>
      <c r="H399" s="1">
        <v>29.277000000000001</v>
      </c>
      <c r="I399" t="s">
        <v>687</v>
      </c>
      <c r="K399" t="s">
        <v>1702</v>
      </c>
      <c r="L399" t="s">
        <v>2480</v>
      </c>
      <c r="M399" t="s">
        <v>2486</v>
      </c>
    </row>
    <row r="400" spans="1:14" x14ac:dyDescent="0.25">
      <c r="A400" s="41" t="str">
        <f>Table1[[#This Row],[Route]]&amp;TEXT(Table1[[#This Row],[SegmentID]],"00")</f>
        <v>052A74</v>
      </c>
      <c r="B400" t="s">
        <v>684</v>
      </c>
      <c r="C400" s="3" t="s">
        <v>690</v>
      </c>
      <c r="D400">
        <f>IFERROR(ROUND(VLOOKUP(Table1[[#This Row],[Route]],SegmentsPerRoute!$C$3:$L$297,8,FALSE)+(Table1[[#This Row],[Sequence]]-1)*VLOOKUP(Table1[[#This Row],[Route]],SegmentsPerRoute!$C$3:$L$297,10,FALSE),0), 0)</f>
        <v>74</v>
      </c>
      <c r="E400">
        <v>6</v>
      </c>
      <c r="F400" s="1">
        <v>29.277000000000001</v>
      </c>
      <c r="G400" t="s">
        <v>687</v>
      </c>
      <c r="H400" s="1">
        <v>41.939</v>
      </c>
      <c r="I400" t="s">
        <v>688</v>
      </c>
      <c r="K400" t="s">
        <v>1702</v>
      </c>
      <c r="L400" t="s">
        <v>2482</v>
      </c>
      <c r="M400" t="s">
        <v>2485</v>
      </c>
    </row>
    <row r="401" spans="1:14" x14ac:dyDescent="0.25">
      <c r="A401" s="41" t="str">
        <f>Table1[[#This Row],[Route]]&amp;TEXT(Table1[[#This Row],[SegmentID]],"00")</f>
        <v>052A85</v>
      </c>
      <c r="B401" t="s">
        <v>684</v>
      </c>
      <c r="C401" s="3" t="s">
        <v>691</v>
      </c>
      <c r="D401">
        <f>IFERROR(ROUND(VLOOKUP(Table1[[#This Row],[Route]],SegmentsPerRoute!$C$3:$L$297,8,FALSE)+(Table1[[#This Row],[Sequence]]-1)*VLOOKUP(Table1[[#This Row],[Route]],SegmentsPerRoute!$C$3:$L$297,10,FALSE),0), 0)</f>
        <v>85</v>
      </c>
      <c r="E401">
        <v>7</v>
      </c>
      <c r="F401" s="1">
        <v>41.939</v>
      </c>
      <c r="G401" t="s">
        <v>688</v>
      </c>
      <c r="H401" s="1">
        <v>72.581000000000003</v>
      </c>
      <c r="I401" t="s">
        <v>689</v>
      </c>
      <c r="K401" t="s">
        <v>1702</v>
      </c>
      <c r="L401" t="s">
        <v>2483</v>
      </c>
      <c r="M401" t="s">
        <v>2484</v>
      </c>
      <c r="N401" t="s">
        <v>488</v>
      </c>
    </row>
    <row r="402" spans="1:14" x14ac:dyDescent="0.25">
      <c r="A402" s="41" t="str">
        <f>Table1[[#This Row],[Route]]&amp;TEXT(Table1[[#This Row],[SegmentID]],"00")</f>
        <v>052B15</v>
      </c>
      <c r="B402" t="s">
        <v>693</v>
      </c>
      <c r="D402">
        <f>IFERROR(ROUND(VLOOKUP(Table1[[#This Row],[Route]],SegmentsPerRoute!$C$3:$L$297,8,FALSE)+(Table1[[#This Row],[Sequence]]-1)*VLOOKUP(Table1[[#This Row],[Route]],SegmentsPerRoute!$C$3:$L$297,10,FALSE),0), 0)</f>
        <v>15</v>
      </c>
      <c r="E402">
        <v>1</v>
      </c>
      <c r="F402" s="1">
        <v>86.480999999999995</v>
      </c>
      <c r="G402" t="s">
        <v>694</v>
      </c>
      <c r="H402" s="1">
        <v>86.98</v>
      </c>
      <c r="I402" t="s">
        <v>404</v>
      </c>
      <c r="K402" t="s">
        <v>1690</v>
      </c>
      <c r="L402" t="s">
        <v>2489</v>
      </c>
      <c r="M402" t="s">
        <v>2494</v>
      </c>
    </row>
    <row r="403" spans="1:14" x14ac:dyDescent="0.25">
      <c r="A403" s="41" t="str">
        <f>Table1[[#This Row],[Route]]&amp;TEXT(Table1[[#This Row],[SegmentID]],"00")</f>
        <v>052B50</v>
      </c>
      <c r="B403" t="s">
        <v>693</v>
      </c>
      <c r="D403">
        <f>IFERROR(ROUND(VLOOKUP(Table1[[#This Row],[Route]],SegmentsPerRoute!$C$3:$L$297,8,FALSE)+(Table1[[#This Row],[Sequence]]-1)*VLOOKUP(Table1[[#This Row],[Route]],SegmentsPerRoute!$C$3:$L$297,10,FALSE),0), 0)</f>
        <v>50</v>
      </c>
      <c r="E403">
        <v>2</v>
      </c>
      <c r="F403" s="1">
        <v>86.98</v>
      </c>
      <c r="G403" t="s">
        <v>404</v>
      </c>
      <c r="H403" s="1">
        <v>87.161000000000001</v>
      </c>
      <c r="I403" t="s">
        <v>695</v>
      </c>
      <c r="K403" t="s">
        <v>1690</v>
      </c>
      <c r="L403" t="s">
        <v>2490</v>
      </c>
      <c r="M403" t="s">
        <v>2493</v>
      </c>
    </row>
    <row r="404" spans="1:14" x14ac:dyDescent="0.25">
      <c r="A404" s="41" t="str">
        <f>Table1[[#This Row],[Route]]&amp;TEXT(Table1[[#This Row],[SegmentID]],"00")</f>
        <v>052B85</v>
      </c>
      <c r="B404" t="s">
        <v>693</v>
      </c>
      <c r="D404">
        <f>IFERROR(ROUND(VLOOKUP(Table1[[#This Row],[Route]],SegmentsPerRoute!$C$3:$L$297,8,FALSE)+(Table1[[#This Row],[Sequence]]-1)*VLOOKUP(Table1[[#This Row],[Route]],SegmentsPerRoute!$C$3:$L$297,10,FALSE),0), 0)</f>
        <v>85</v>
      </c>
      <c r="E404">
        <v>3</v>
      </c>
      <c r="F404" s="1">
        <v>87.161000000000001</v>
      </c>
      <c r="G404" t="s">
        <v>695</v>
      </c>
      <c r="H404" s="1">
        <v>111.569</v>
      </c>
      <c r="I404" t="s">
        <v>696</v>
      </c>
      <c r="K404" t="s">
        <v>1690</v>
      </c>
      <c r="L404" t="s">
        <v>2491</v>
      </c>
      <c r="M404" t="s">
        <v>2492</v>
      </c>
      <c r="N404" t="s">
        <v>77</v>
      </c>
    </row>
    <row r="405" spans="1:14" x14ac:dyDescent="0.25">
      <c r="A405" s="41" t="str">
        <f>Table1[[#This Row],[Route]]&amp;TEXT(Table1[[#This Row],[SegmentID]],"00")</f>
        <v>053A15</v>
      </c>
      <c r="B405" t="s">
        <v>697</v>
      </c>
      <c r="D405">
        <f>IFERROR(ROUND(VLOOKUP(Table1[[#This Row],[Route]],SegmentsPerRoute!$C$3:$L$297,8,FALSE)+(Table1[[#This Row],[Sequence]]-1)*VLOOKUP(Table1[[#This Row],[Route]],SegmentsPerRoute!$C$3:$L$297,10,FALSE),0), 0)</f>
        <v>15</v>
      </c>
      <c r="E405">
        <v>1</v>
      </c>
      <c r="F405" s="1">
        <v>0</v>
      </c>
      <c r="G405" t="s">
        <v>698</v>
      </c>
      <c r="H405" s="1">
        <v>1.663</v>
      </c>
      <c r="I405" t="s">
        <v>699</v>
      </c>
      <c r="J405" t="s">
        <v>4607</v>
      </c>
      <c r="K405" t="s">
        <v>1690</v>
      </c>
    </row>
    <row r="406" spans="1:14" x14ac:dyDescent="0.25">
      <c r="A406" s="41" t="str">
        <f>Table1[[#This Row],[Route]]&amp;TEXT(Table1[[#This Row],[SegmentID]],"00")</f>
        <v>055A15</v>
      </c>
      <c r="B406" t="s">
        <v>700</v>
      </c>
      <c r="D406">
        <f>IFERROR(ROUND(VLOOKUP(Table1[[#This Row],[Route]],SegmentsPerRoute!$C$3:$L$297,8,FALSE)+(Table1[[#This Row],[Sequence]]-1)*VLOOKUP(Table1[[#This Row],[Route]],SegmentsPerRoute!$C$3:$L$297,10,FALSE),0), 0)</f>
        <v>15</v>
      </c>
      <c r="E406">
        <v>1</v>
      </c>
      <c r="F406" s="1">
        <v>0</v>
      </c>
      <c r="G406" t="s">
        <v>701</v>
      </c>
      <c r="H406" s="1">
        <v>2.4169999999999998</v>
      </c>
      <c r="I406" t="s">
        <v>87</v>
      </c>
      <c r="K406" t="s">
        <v>1690</v>
      </c>
      <c r="L406" t="s">
        <v>2495</v>
      </c>
      <c r="M406" t="s">
        <v>2496</v>
      </c>
      <c r="N406" t="s">
        <v>77</v>
      </c>
    </row>
    <row r="407" spans="1:14" x14ac:dyDescent="0.25">
      <c r="A407" s="41" t="str">
        <f>Table1[[#This Row],[Route]]&amp;TEXT(Table1[[#This Row],[SegmentID]],"00")</f>
        <v>055A85</v>
      </c>
      <c r="B407" t="s">
        <v>700</v>
      </c>
      <c r="D407">
        <f>IFERROR(ROUND(VLOOKUP(Table1[[#This Row],[Route]],SegmentsPerRoute!$C$3:$L$297,8,FALSE)+(Table1[[#This Row],[Sequence]]-1)*VLOOKUP(Table1[[#This Row],[Route]],SegmentsPerRoute!$C$3:$L$297,10,FALSE),0), 0)</f>
        <v>85</v>
      </c>
      <c r="E407">
        <v>2</v>
      </c>
      <c r="F407" s="1">
        <v>2.4169999999999998</v>
      </c>
      <c r="G407" t="s">
        <v>87</v>
      </c>
      <c r="H407" s="1">
        <v>5.6589999999999998</v>
      </c>
      <c r="I407" t="s">
        <v>702</v>
      </c>
      <c r="J407" t="s">
        <v>21</v>
      </c>
      <c r="K407" t="s">
        <v>1690</v>
      </c>
    </row>
    <row r="408" spans="1:14" x14ac:dyDescent="0.25">
      <c r="A408" s="41" t="str">
        <f>Table1[[#This Row],[Route]]&amp;TEXT(Table1[[#This Row],[SegmentID]],"00")</f>
        <v>056B15</v>
      </c>
      <c r="B408" t="s">
        <v>703</v>
      </c>
      <c r="D408">
        <f>IFERROR(ROUND(VLOOKUP(Table1[[#This Row],[Route]],SegmentsPerRoute!$C$3:$L$297,8,FALSE)+(Table1[[#This Row],[Sequence]]-1)*VLOOKUP(Table1[[#This Row],[Route]],SegmentsPerRoute!$C$3:$L$297,10,FALSE),0), 0)</f>
        <v>15</v>
      </c>
      <c r="E408">
        <v>1</v>
      </c>
      <c r="F408" s="1">
        <v>2.8210000000000002</v>
      </c>
      <c r="G408" t="s">
        <v>704</v>
      </c>
      <c r="H408" s="1">
        <v>9.5289999999999999</v>
      </c>
      <c r="I408" t="s">
        <v>11</v>
      </c>
      <c r="K408" t="s">
        <v>1690</v>
      </c>
      <c r="L408" t="s">
        <v>2497</v>
      </c>
      <c r="M408" t="s">
        <v>2498</v>
      </c>
    </row>
    <row r="409" spans="1:14" x14ac:dyDescent="0.25">
      <c r="A409" s="41" t="str">
        <f>Table1[[#This Row],[Route]]&amp;TEXT(Table1[[#This Row],[SegmentID]],"00")</f>
        <v>057A15</v>
      </c>
      <c r="B409" t="s">
        <v>705</v>
      </c>
      <c r="D409">
        <f>IFERROR(ROUND(VLOOKUP(Table1[[#This Row],[Route]],SegmentsPerRoute!$C$3:$L$297,8,FALSE)+(Table1[[#This Row],[Sequence]]-1)*VLOOKUP(Table1[[#This Row],[Route]],SegmentsPerRoute!$C$3:$L$297,10,FALSE),0), 0)</f>
        <v>15</v>
      </c>
      <c r="E409">
        <v>1</v>
      </c>
      <c r="F409" s="1">
        <v>0</v>
      </c>
      <c r="G409" t="s">
        <v>16</v>
      </c>
      <c r="H409" s="1">
        <v>0.53400000000000003</v>
      </c>
      <c r="I409" t="s">
        <v>706</v>
      </c>
      <c r="K409" t="s">
        <v>1690</v>
      </c>
      <c r="L409" t="s">
        <v>2499</v>
      </c>
      <c r="M409" t="s">
        <v>2500</v>
      </c>
    </row>
    <row r="410" spans="1:14" x14ac:dyDescent="0.25">
      <c r="A410" s="41" t="str">
        <f>Table1[[#This Row],[Route]]&amp;TEXT(Table1[[#This Row],[SegmentID]],"00")</f>
        <v>058A15</v>
      </c>
      <c r="B410" t="s">
        <v>707</v>
      </c>
      <c r="D410">
        <f>IFERROR(ROUND(VLOOKUP(Table1[[#This Row],[Route]],SegmentsPerRoute!$C$3:$L$297,8,FALSE)+(Table1[[#This Row],[Sequence]]-1)*VLOOKUP(Table1[[#This Row],[Route]],SegmentsPerRoute!$C$3:$L$297,10,FALSE),0), 0)</f>
        <v>15</v>
      </c>
      <c r="E410">
        <v>1</v>
      </c>
      <c r="F410" s="1">
        <v>0</v>
      </c>
      <c r="G410" t="s">
        <v>708</v>
      </c>
      <c r="H410" s="1">
        <v>5.6269999999999998</v>
      </c>
      <c r="I410" t="s">
        <v>16</v>
      </c>
      <c r="K410" t="s">
        <v>1699</v>
      </c>
      <c r="L410" t="s">
        <v>2501</v>
      </c>
      <c r="M410" t="s">
        <v>2502</v>
      </c>
      <c r="N410" t="s">
        <v>76</v>
      </c>
    </row>
    <row r="411" spans="1:14" x14ac:dyDescent="0.25">
      <c r="A411" s="41" t="str">
        <f>Table1[[#This Row],[Route]]&amp;TEXT(Table1[[#This Row],[SegmentID]],"00")</f>
        <v>059A15</v>
      </c>
      <c r="B411" t="s">
        <v>709</v>
      </c>
      <c r="D411">
        <f>IFERROR(ROUND(VLOOKUP(Table1[[#This Row],[Route]],SegmentsPerRoute!$C$3:$L$297,8,FALSE)+(Table1[[#This Row],[Sequence]]-1)*VLOOKUP(Table1[[#This Row],[Route]],SegmentsPerRoute!$C$3:$L$297,10,FALSE),0), 0)</f>
        <v>15</v>
      </c>
      <c r="E411">
        <v>1</v>
      </c>
      <c r="F411" s="1">
        <v>0</v>
      </c>
      <c r="G411" t="s">
        <v>710</v>
      </c>
      <c r="H411" s="1">
        <v>41.027999999999999</v>
      </c>
      <c r="I411" t="s">
        <v>711</v>
      </c>
      <c r="K411" t="s">
        <v>1699</v>
      </c>
      <c r="L411" t="s">
        <v>2503</v>
      </c>
      <c r="M411" t="s">
        <v>2508</v>
      </c>
    </row>
    <row r="412" spans="1:14" x14ac:dyDescent="0.25">
      <c r="A412" s="41" t="str">
        <f>Table1[[#This Row],[Route]]&amp;TEXT(Table1[[#This Row],[SegmentID]],"00")</f>
        <v>059A50</v>
      </c>
      <c r="B412" t="s">
        <v>709</v>
      </c>
      <c r="D412">
        <f>IFERROR(ROUND(VLOOKUP(Table1[[#This Row],[Route]],SegmentsPerRoute!$C$3:$L$297,8,FALSE)+(Table1[[#This Row],[Sequence]]-1)*VLOOKUP(Table1[[#This Row],[Route]],SegmentsPerRoute!$C$3:$L$297,10,FALSE),0), 0)</f>
        <v>50</v>
      </c>
      <c r="E412">
        <v>2</v>
      </c>
      <c r="F412" s="1">
        <v>41.027999999999999</v>
      </c>
      <c r="G412" t="s">
        <v>711</v>
      </c>
      <c r="H412" s="1">
        <v>41.478999999999999</v>
      </c>
      <c r="I412" t="s">
        <v>712</v>
      </c>
      <c r="K412" t="s">
        <v>1699</v>
      </c>
      <c r="L412" t="s">
        <v>2504</v>
      </c>
      <c r="M412" t="s">
        <v>2507</v>
      </c>
    </row>
    <row r="413" spans="1:14" x14ac:dyDescent="0.25">
      <c r="A413" s="41" t="str">
        <f>Table1[[#This Row],[Route]]&amp;TEXT(Table1[[#This Row],[SegmentID]],"00")</f>
        <v>059A85</v>
      </c>
      <c r="B413" t="s">
        <v>709</v>
      </c>
      <c r="D413">
        <f>IFERROR(ROUND(VLOOKUP(Table1[[#This Row],[Route]],SegmentsPerRoute!$C$3:$L$297,8,FALSE)+(Table1[[#This Row],[Sequence]]-1)*VLOOKUP(Table1[[#This Row],[Route]],SegmentsPerRoute!$C$3:$L$297,10,FALSE),0), 0)</f>
        <v>85</v>
      </c>
      <c r="E413">
        <v>3</v>
      </c>
      <c r="F413" s="1">
        <v>41.478999999999999</v>
      </c>
      <c r="G413" t="s">
        <v>712</v>
      </c>
      <c r="H413" s="1">
        <v>67.141999999999996</v>
      </c>
      <c r="I413" t="s">
        <v>713</v>
      </c>
      <c r="K413" t="s">
        <v>1699</v>
      </c>
      <c r="L413" t="s">
        <v>2505</v>
      </c>
      <c r="M413" t="s">
        <v>2506</v>
      </c>
    </row>
    <row r="414" spans="1:14" x14ac:dyDescent="0.25">
      <c r="A414" s="41" t="str">
        <f>Table1[[#This Row],[Route]]&amp;TEXT(Table1[[#This Row],[SegmentID]],"00")</f>
        <v>059B15</v>
      </c>
      <c r="B414" t="s">
        <v>714</v>
      </c>
      <c r="D414">
        <f>IFERROR(ROUND(VLOOKUP(Table1[[#This Row],[Route]],SegmentsPerRoute!$C$3:$L$297,8,FALSE)+(Table1[[#This Row],[Sequence]]-1)*VLOOKUP(Table1[[#This Row],[Route]],SegmentsPerRoute!$C$3:$L$297,10,FALSE),0), 0)</f>
        <v>15</v>
      </c>
      <c r="E414">
        <v>1</v>
      </c>
      <c r="F414" s="1">
        <v>74.474000000000004</v>
      </c>
      <c r="G414" t="s">
        <v>715</v>
      </c>
      <c r="H414" s="1">
        <v>106.29</v>
      </c>
      <c r="I414" t="s">
        <v>716</v>
      </c>
      <c r="K414" t="s">
        <v>1699</v>
      </c>
      <c r="L414" t="s">
        <v>2509</v>
      </c>
      <c r="M414" t="s">
        <v>2512</v>
      </c>
      <c r="N414" t="s">
        <v>498</v>
      </c>
    </row>
    <row r="415" spans="1:14" x14ac:dyDescent="0.25">
      <c r="A415" s="41" t="str">
        <f>Table1[[#This Row],[Route]]&amp;TEXT(Table1[[#This Row],[SegmentID]],"00")</f>
        <v>059B38</v>
      </c>
      <c r="B415" t="s">
        <v>714</v>
      </c>
      <c r="D415">
        <f>IFERROR(ROUND(VLOOKUP(Table1[[#This Row],[Route]],SegmentsPerRoute!$C$3:$L$297,8,FALSE)+(Table1[[#This Row],[Sequence]]-1)*VLOOKUP(Table1[[#This Row],[Route]],SegmentsPerRoute!$C$3:$L$297,10,FALSE),0), 0)</f>
        <v>38</v>
      </c>
      <c r="E415">
        <v>2</v>
      </c>
      <c r="F415" s="1">
        <v>106.29</v>
      </c>
      <c r="G415" t="s">
        <v>716</v>
      </c>
      <c r="H415" s="1">
        <v>147.21799999999999</v>
      </c>
      <c r="I415" t="s">
        <v>717</v>
      </c>
      <c r="K415" t="s">
        <v>1699</v>
      </c>
      <c r="L415" t="s">
        <v>2509</v>
      </c>
      <c r="M415" t="s">
        <v>2512</v>
      </c>
    </row>
    <row r="416" spans="1:14" x14ac:dyDescent="0.25">
      <c r="A416" s="41" t="str">
        <f>Table1[[#This Row],[Route]]&amp;TEXT(Table1[[#This Row],[SegmentID]],"00")</f>
        <v>059B62</v>
      </c>
      <c r="B416" t="s">
        <v>714</v>
      </c>
      <c r="D416">
        <f>IFERROR(ROUND(VLOOKUP(Table1[[#This Row],[Route]],SegmentsPerRoute!$C$3:$L$297,8,FALSE)+(Table1[[#This Row],[Sequence]]-1)*VLOOKUP(Table1[[#This Row],[Route]],SegmentsPerRoute!$C$3:$L$297,10,FALSE),0), 0)</f>
        <v>62</v>
      </c>
      <c r="E416">
        <v>3</v>
      </c>
      <c r="F416" s="1">
        <v>147.21799999999999</v>
      </c>
      <c r="G416" t="s">
        <v>717</v>
      </c>
      <c r="H416" s="1">
        <v>171.07</v>
      </c>
      <c r="I416" t="s">
        <v>87</v>
      </c>
      <c r="K416" t="s">
        <v>1699</v>
      </c>
      <c r="L416" t="s">
        <v>2509</v>
      </c>
      <c r="M416" t="s">
        <v>2512</v>
      </c>
    </row>
    <row r="417" spans="1:14" x14ac:dyDescent="0.25">
      <c r="A417" s="41" t="str">
        <f>Table1[[#This Row],[Route]]&amp;TEXT(Table1[[#This Row],[SegmentID]],"00")</f>
        <v>059B85</v>
      </c>
      <c r="B417" t="s">
        <v>714</v>
      </c>
      <c r="D417">
        <f>IFERROR(ROUND(VLOOKUP(Table1[[#This Row],[Route]],SegmentsPerRoute!$C$3:$L$297,8,FALSE)+(Table1[[#This Row],[Sequence]]-1)*VLOOKUP(Table1[[#This Row],[Route]],SegmentsPerRoute!$C$3:$L$297,10,FALSE),0), 0)</f>
        <v>85</v>
      </c>
      <c r="E417">
        <v>4</v>
      </c>
      <c r="F417" s="1">
        <v>171.07</v>
      </c>
      <c r="G417" t="s">
        <v>87</v>
      </c>
      <c r="H417" s="1">
        <v>173.33699999999999</v>
      </c>
      <c r="I417" t="s">
        <v>718</v>
      </c>
      <c r="K417" t="s">
        <v>1699</v>
      </c>
      <c r="L417" t="s">
        <v>2510</v>
      </c>
      <c r="M417" t="s">
        <v>2511</v>
      </c>
      <c r="N417" t="s">
        <v>77</v>
      </c>
    </row>
    <row r="418" spans="1:14" x14ac:dyDescent="0.25">
      <c r="A418" s="41" t="str">
        <f>Table1[[#This Row],[Route]]&amp;TEXT(Table1[[#This Row],[SegmentID]],"00")</f>
        <v>060A15</v>
      </c>
      <c r="B418" t="s">
        <v>719</v>
      </c>
      <c r="D418">
        <f>IFERROR(ROUND(VLOOKUP(Table1[[#This Row],[Route]],SegmentsPerRoute!$C$3:$L$297,8,FALSE)+(Table1[[#This Row],[Sequence]]-1)*VLOOKUP(Table1[[#This Row],[Route]],SegmentsPerRoute!$C$3:$L$297,10,FALSE),0), 0)</f>
        <v>15</v>
      </c>
      <c r="E418">
        <v>1</v>
      </c>
      <c r="F418" s="1">
        <v>0</v>
      </c>
      <c r="G418" t="s">
        <v>720</v>
      </c>
      <c r="H418" s="1">
        <v>4.968</v>
      </c>
      <c r="I418" t="s">
        <v>721</v>
      </c>
      <c r="K418" t="s">
        <v>1699</v>
      </c>
      <c r="L418" t="s">
        <v>2513</v>
      </c>
      <c r="M418" t="s">
        <v>2514</v>
      </c>
    </row>
    <row r="419" spans="1:14" x14ac:dyDescent="0.25">
      <c r="A419" s="41" t="str">
        <f>Table1[[#This Row],[Route]]&amp;TEXT(Table1[[#This Row],[SegmentID]],"00")</f>
        <v>060B15</v>
      </c>
      <c r="B419" t="s">
        <v>722</v>
      </c>
      <c r="D419">
        <f>IFERROR(ROUND(VLOOKUP(Table1[[#This Row],[Route]],SegmentsPerRoute!$C$3:$L$297,8,FALSE)+(Table1[[#This Row],[Sequence]]-1)*VLOOKUP(Table1[[#This Row],[Route]],SegmentsPerRoute!$C$3:$L$297,10,FALSE),0), 0)</f>
        <v>15</v>
      </c>
      <c r="E419">
        <v>1</v>
      </c>
      <c r="F419" s="1">
        <v>5.8230000000000004</v>
      </c>
      <c r="G419" t="s">
        <v>11</v>
      </c>
      <c r="H419" s="1">
        <v>11.853</v>
      </c>
      <c r="I419" t="s">
        <v>723</v>
      </c>
      <c r="K419" t="s">
        <v>1699</v>
      </c>
      <c r="L419" t="s">
        <v>2515</v>
      </c>
      <c r="M419" t="s">
        <v>2517</v>
      </c>
      <c r="N419" t="s">
        <v>372</v>
      </c>
    </row>
    <row r="420" spans="1:14" x14ac:dyDescent="0.25">
      <c r="A420" s="41" t="str">
        <f>Table1[[#This Row],[Route]]&amp;TEXT(Table1[[#This Row],[SegmentID]],"00")</f>
        <v>060B85</v>
      </c>
      <c r="B420" t="s">
        <v>722</v>
      </c>
      <c r="D420">
        <f>IFERROR(ROUND(VLOOKUP(Table1[[#This Row],[Route]],SegmentsPerRoute!$C$3:$L$297,8,FALSE)+(Table1[[#This Row],[Sequence]]-1)*VLOOKUP(Table1[[#This Row],[Route]],SegmentsPerRoute!$C$3:$L$297,10,FALSE),0), 0)</f>
        <v>85</v>
      </c>
      <c r="E420">
        <v>2</v>
      </c>
      <c r="F420" s="1">
        <v>11.853</v>
      </c>
      <c r="G420" t="s">
        <v>723</v>
      </c>
      <c r="H420" s="1">
        <v>20.202999999999999</v>
      </c>
      <c r="I420" t="s">
        <v>724</v>
      </c>
      <c r="K420" t="s">
        <v>1699</v>
      </c>
      <c r="L420" t="s">
        <v>2516</v>
      </c>
      <c r="M420" t="s">
        <v>2517</v>
      </c>
      <c r="N420" t="s">
        <v>77</v>
      </c>
    </row>
    <row r="421" spans="1:14" x14ac:dyDescent="0.25">
      <c r="A421" s="41" t="str">
        <f>Table1[[#This Row],[Route]]&amp;TEXT(Table1[[#This Row],[SegmentID]],"00")</f>
        <v>061A15</v>
      </c>
      <c r="B421" t="s">
        <v>725</v>
      </c>
      <c r="D421">
        <f>IFERROR(ROUND(VLOOKUP(Table1[[#This Row],[Route]],SegmentsPerRoute!$C$3:$L$297,8,FALSE)+(Table1[[#This Row],[Sequence]]-1)*VLOOKUP(Table1[[#This Row],[Route]],SegmentsPerRoute!$C$3:$L$297,10,FALSE),0), 0)</f>
        <v>15</v>
      </c>
      <c r="E421">
        <v>1</v>
      </c>
      <c r="F421" s="1">
        <v>0</v>
      </c>
      <c r="G421" t="s">
        <v>726</v>
      </c>
      <c r="H421" s="1">
        <v>40.993000000000002</v>
      </c>
      <c r="I421" t="s">
        <v>727</v>
      </c>
      <c r="J421" t="s">
        <v>4608</v>
      </c>
      <c r="K421" t="s">
        <v>1699</v>
      </c>
    </row>
    <row r="422" spans="1:14" ht="30" x14ac:dyDescent="0.25">
      <c r="A422" s="41" t="str">
        <f>Table1[[#This Row],[Route]]&amp;TEXT(Table1[[#This Row],[SegmentID]],"00")</f>
        <v>062A15</v>
      </c>
      <c r="B422" t="s">
        <v>728</v>
      </c>
      <c r="D422">
        <f>IFERROR(ROUND(VLOOKUP(Table1[[#This Row],[Route]],SegmentsPerRoute!$C$3:$L$297,8,FALSE)+(Table1[[#This Row],[Sequence]]-1)*VLOOKUP(Table1[[#This Row],[Route]],SegmentsPerRoute!$C$3:$L$297,10,FALSE),0), 0)</f>
        <v>15</v>
      </c>
      <c r="E422">
        <v>1</v>
      </c>
      <c r="F422" s="1">
        <v>0</v>
      </c>
      <c r="G422" t="s">
        <v>729</v>
      </c>
      <c r="H422" s="1">
        <v>23.414000000000001</v>
      </c>
      <c r="I422" t="s">
        <v>730</v>
      </c>
      <c r="K422" t="s">
        <v>1699</v>
      </c>
      <c r="L422" t="s">
        <v>2518</v>
      </c>
      <c r="M422" t="s">
        <v>2519</v>
      </c>
      <c r="N422" s="4" t="s">
        <v>731</v>
      </c>
    </row>
    <row r="423" spans="1:14" x14ac:dyDescent="0.25">
      <c r="A423" s="41" t="str">
        <f>Table1[[#This Row],[Route]]&amp;TEXT(Table1[[#This Row],[SegmentID]],"00")</f>
        <v>063A15</v>
      </c>
      <c r="B423" t="s">
        <v>732</v>
      </c>
      <c r="C423" s="11" t="s">
        <v>1725</v>
      </c>
      <c r="D423">
        <f>IFERROR(ROUND(VLOOKUP(Table1[[#This Row],[Route]],SegmentsPerRoute!$C$3:$L$297,8,FALSE)+(Table1[[#This Row],[Sequence]]-1)*VLOOKUP(Table1[[#This Row],[Route]],SegmentsPerRoute!$C$3:$L$297,10,FALSE),0), 0)</f>
        <v>15</v>
      </c>
      <c r="E423">
        <v>1</v>
      </c>
      <c r="F423" s="1">
        <v>0</v>
      </c>
      <c r="G423" t="s">
        <v>733</v>
      </c>
      <c r="H423" s="1">
        <v>29.006</v>
      </c>
      <c r="I423" t="s">
        <v>734</v>
      </c>
      <c r="K423" t="s">
        <v>1724</v>
      </c>
      <c r="L423" t="s">
        <v>2520</v>
      </c>
      <c r="M423" t="s">
        <v>2525</v>
      </c>
    </row>
    <row r="424" spans="1:14" x14ac:dyDescent="0.25">
      <c r="A424" s="41" t="str">
        <f>Table1[[#This Row],[Route]]&amp;TEXT(Table1[[#This Row],[SegmentID]],"00")</f>
        <v>063A50</v>
      </c>
      <c r="B424" t="s">
        <v>732</v>
      </c>
      <c r="C424" s="11" t="s">
        <v>1726</v>
      </c>
      <c r="D424">
        <f>IFERROR(ROUND(VLOOKUP(Table1[[#This Row],[Route]],SegmentsPerRoute!$C$3:$L$297,8,FALSE)+(Table1[[#This Row],[Sequence]]-1)*VLOOKUP(Table1[[#This Row],[Route]],SegmentsPerRoute!$C$3:$L$297,10,FALSE),0), 0)</f>
        <v>50</v>
      </c>
      <c r="E424">
        <v>2</v>
      </c>
      <c r="F424" s="1">
        <v>29.006</v>
      </c>
      <c r="G424" t="s">
        <v>734</v>
      </c>
      <c r="H424" s="1">
        <v>53.29</v>
      </c>
      <c r="I424" t="s">
        <v>87</v>
      </c>
      <c r="K424" t="s">
        <v>1724</v>
      </c>
      <c r="L424" t="s">
        <v>2521</v>
      </c>
      <c r="M424" t="s">
        <v>2524</v>
      </c>
    </row>
    <row r="425" spans="1:14" x14ac:dyDescent="0.25">
      <c r="A425" s="41" t="str">
        <f>Table1[[#This Row],[Route]]&amp;TEXT(Table1[[#This Row],[SegmentID]],"00")</f>
        <v>063A85</v>
      </c>
      <c r="B425" t="s">
        <v>732</v>
      </c>
      <c r="C425" s="11" t="s">
        <v>1727</v>
      </c>
      <c r="D425">
        <f>IFERROR(ROUND(VLOOKUP(Table1[[#This Row],[Route]],SegmentsPerRoute!$C$3:$L$297,8,FALSE)+(Table1[[#This Row],[Sequence]]-1)*VLOOKUP(Table1[[#This Row],[Route]],SegmentsPerRoute!$C$3:$L$297,10,FALSE),0), 0)</f>
        <v>85</v>
      </c>
      <c r="E425">
        <v>3</v>
      </c>
      <c r="F425" s="1">
        <v>53.29</v>
      </c>
      <c r="G425" t="s">
        <v>87</v>
      </c>
      <c r="H425" s="1">
        <v>56.411999999999999</v>
      </c>
      <c r="I425" t="s">
        <v>735</v>
      </c>
      <c r="K425" t="s">
        <v>2040</v>
      </c>
      <c r="L425" t="s">
        <v>2522</v>
      </c>
      <c r="M425" t="s">
        <v>2523</v>
      </c>
      <c r="N425" t="s">
        <v>77</v>
      </c>
    </row>
    <row r="426" spans="1:14" x14ac:dyDescent="0.25">
      <c r="A426" s="41" t="str">
        <f>Table1[[#This Row],[Route]]&amp;TEXT(Table1[[#This Row],[SegmentID]],"00")</f>
        <v>064A15</v>
      </c>
      <c r="B426" t="s">
        <v>736</v>
      </c>
      <c r="D426">
        <f>IFERROR(ROUND(VLOOKUP(Table1[[#This Row],[Route]],SegmentsPerRoute!$C$3:$L$297,8,FALSE)+(Table1[[#This Row],[Sequence]]-1)*VLOOKUP(Table1[[#This Row],[Route]],SegmentsPerRoute!$C$3:$L$297,10,FALSE),0), 0)</f>
        <v>15</v>
      </c>
      <c r="E426">
        <v>1</v>
      </c>
      <c r="F426" s="1">
        <v>0</v>
      </c>
      <c r="G426" t="s">
        <v>737</v>
      </c>
      <c r="H426" s="1">
        <v>19.792000000000002</v>
      </c>
      <c r="I426" t="s">
        <v>738</v>
      </c>
      <c r="K426" t="s">
        <v>1699</v>
      </c>
      <c r="L426" t="s">
        <v>2526</v>
      </c>
      <c r="M426" t="s">
        <v>2527</v>
      </c>
      <c r="N426" t="s">
        <v>190</v>
      </c>
    </row>
    <row r="427" spans="1:14" x14ac:dyDescent="0.25">
      <c r="A427" s="41" t="str">
        <f>Table1[[#This Row],[Route]]&amp;TEXT(Table1[[#This Row],[SegmentID]],"00")</f>
        <v>064A85</v>
      </c>
      <c r="B427" t="s">
        <v>736</v>
      </c>
      <c r="D427">
        <f>IFERROR(ROUND(VLOOKUP(Table1[[#This Row],[Route]],SegmentsPerRoute!$C$3:$L$297,8,FALSE)+(Table1[[#This Row],[Sequence]]-1)*VLOOKUP(Table1[[#This Row],[Route]],SegmentsPerRoute!$C$3:$L$297,10,FALSE),0), 0)</f>
        <v>85</v>
      </c>
      <c r="E427">
        <v>2</v>
      </c>
      <c r="F427" s="1">
        <v>19.792000000000002</v>
      </c>
      <c r="G427" t="s">
        <v>738</v>
      </c>
      <c r="H427" s="1">
        <v>73.704999999999998</v>
      </c>
      <c r="I427" t="s">
        <v>739</v>
      </c>
      <c r="K427" t="s">
        <v>1699</v>
      </c>
      <c r="L427" t="s">
        <v>2526</v>
      </c>
      <c r="M427" t="s">
        <v>2527</v>
      </c>
      <c r="N427" t="s">
        <v>190</v>
      </c>
    </row>
    <row r="428" spans="1:14" x14ac:dyDescent="0.25">
      <c r="A428" s="41" t="str">
        <f>Table1[[#This Row],[Route]]&amp;TEXT(Table1[[#This Row],[SegmentID]],"00")</f>
        <v>065A15</v>
      </c>
      <c r="B428" t="s">
        <v>740</v>
      </c>
      <c r="C428" s="11" t="s">
        <v>1728</v>
      </c>
      <c r="D428">
        <f>IFERROR(ROUND(VLOOKUP(Table1[[#This Row],[Route]],SegmentsPerRoute!$C$3:$L$297,8,FALSE)+(Table1[[#This Row],[Sequence]]-1)*VLOOKUP(Table1[[#This Row],[Route]],SegmentsPerRoute!$C$3:$L$297,10,FALSE),0), 0)</f>
        <v>15</v>
      </c>
      <c r="E428">
        <v>1</v>
      </c>
      <c r="F428" s="1">
        <v>0</v>
      </c>
      <c r="G428" t="s">
        <v>741</v>
      </c>
      <c r="H428" s="1">
        <v>51.168999999999997</v>
      </c>
      <c r="I428" t="s">
        <v>742</v>
      </c>
      <c r="K428" t="s">
        <v>1724</v>
      </c>
      <c r="L428" t="s">
        <v>2528</v>
      </c>
      <c r="M428" t="s">
        <v>2531</v>
      </c>
      <c r="N428" t="s">
        <v>743</v>
      </c>
    </row>
    <row r="429" spans="1:14" x14ac:dyDescent="0.25">
      <c r="A429" s="41" t="str">
        <f>Table1[[#This Row],[Route]]&amp;TEXT(Table1[[#This Row],[SegmentID]],"00")</f>
        <v>065A85</v>
      </c>
      <c r="B429" t="s">
        <v>740</v>
      </c>
      <c r="C429" s="11" t="s">
        <v>1729</v>
      </c>
      <c r="D429">
        <f>IFERROR(ROUND(VLOOKUP(Table1[[#This Row],[Route]],SegmentsPerRoute!$C$3:$L$297,8,FALSE)+(Table1[[#This Row],[Sequence]]-1)*VLOOKUP(Table1[[#This Row],[Route]],SegmentsPerRoute!$C$3:$L$297,10,FALSE),0), 0)</f>
        <v>85</v>
      </c>
      <c r="E429">
        <v>2</v>
      </c>
      <c r="F429" s="1">
        <v>51.168999999999997</v>
      </c>
      <c r="G429" t="s">
        <v>742</v>
      </c>
      <c r="H429" s="1">
        <v>61.377000000000002</v>
      </c>
      <c r="I429" t="s">
        <v>16</v>
      </c>
      <c r="K429" t="s">
        <v>1724</v>
      </c>
      <c r="L429" t="s">
        <v>2529</v>
      </c>
      <c r="M429" t="s">
        <v>2530</v>
      </c>
      <c r="N429" t="s">
        <v>744</v>
      </c>
    </row>
    <row r="430" spans="1:14" x14ac:dyDescent="0.25">
      <c r="A430" s="41" t="str">
        <f>Table1[[#This Row],[Route]]&amp;TEXT(Table1[[#This Row],[SegmentID]],"00")</f>
        <v>066B15</v>
      </c>
      <c r="B430" t="s">
        <v>745</v>
      </c>
      <c r="D430">
        <f>IFERROR(ROUND(VLOOKUP(Table1[[#This Row],[Route]],SegmentsPerRoute!$C$3:$L$297,8,FALSE)+(Table1[[#This Row],[Sequence]]-1)*VLOOKUP(Table1[[#This Row],[Route]],SegmentsPerRoute!$C$3:$L$297,10,FALSE),0), 0)</f>
        <v>15</v>
      </c>
      <c r="E430">
        <v>1</v>
      </c>
      <c r="F430" s="1">
        <v>28.693000000000001</v>
      </c>
      <c r="G430" t="s">
        <v>746</v>
      </c>
      <c r="H430" s="1">
        <v>36.622</v>
      </c>
      <c r="I430" t="s">
        <v>747</v>
      </c>
      <c r="K430" t="s">
        <v>1693</v>
      </c>
      <c r="L430" t="s">
        <v>2532</v>
      </c>
      <c r="M430" t="s">
        <v>2539</v>
      </c>
      <c r="N430" t="s">
        <v>371</v>
      </c>
    </row>
    <row r="431" spans="1:14" x14ac:dyDescent="0.25">
      <c r="A431" s="41" t="str">
        <f>Table1[[#This Row],[Route]]&amp;TEXT(Table1[[#This Row],[SegmentID]],"00")</f>
        <v>066B38</v>
      </c>
      <c r="B431" t="s">
        <v>745</v>
      </c>
      <c r="D431">
        <f>IFERROR(ROUND(VLOOKUP(Table1[[#This Row],[Route]],SegmentsPerRoute!$C$3:$L$297,8,FALSE)+(Table1[[#This Row],[Sequence]]-1)*VLOOKUP(Table1[[#This Row],[Route]],SegmentsPerRoute!$C$3:$L$297,10,FALSE),0), 0)</f>
        <v>38</v>
      </c>
      <c r="E431">
        <v>2</v>
      </c>
      <c r="F431" s="1">
        <v>36.622</v>
      </c>
      <c r="G431" t="s">
        <v>747</v>
      </c>
      <c r="H431" s="1">
        <v>42.737000000000002</v>
      </c>
      <c r="I431" t="s">
        <v>11</v>
      </c>
      <c r="K431" t="s">
        <v>1693</v>
      </c>
      <c r="L431" t="s">
        <v>2533</v>
      </c>
      <c r="M431" t="s">
        <v>2538</v>
      </c>
    </row>
    <row r="432" spans="1:14" x14ac:dyDescent="0.25">
      <c r="A432" s="41" t="str">
        <f>Table1[[#This Row],[Route]]&amp;TEXT(Table1[[#This Row],[SegmentID]],"00")</f>
        <v>066B62</v>
      </c>
      <c r="B432" t="s">
        <v>745</v>
      </c>
      <c r="D432">
        <f>IFERROR(ROUND(VLOOKUP(Table1[[#This Row],[Route]],SegmentsPerRoute!$C$3:$L$297,8,FALSE)+(Table1[[#This Row],[Sequence]]-1)*VLOOKUP(Table1[[#This Row],[Route]],SegmentsPerRoute!$C$3:$L$297,10,FALSE),0), 0)</f>
        <v>62</v>
      </c>
      <c r="E432">
        <v>3</v>
      </c>
      <c r="F432" s="1">
        <v>42.737000000000002</v>
      </c>
      <c r="G432" t="s">
        <v>11</v>
      </c>
      <c r="H432" s="1">
        <v>51.235999999999997</v>
      </c>
      <c r="I432" t="s">
        <v>748</v>
      </c>
      <c r="K432" t="s">
        <v>1693</v>
      </c>
      <c r="L432" t="s">
        <v>2534</v>
      </c>
      <c r="M432" t="s">
        <v>2537</v>
      </c>
      <c r="N432" t="s">
        <v>750</v>
      </c>
    </row>
    <row r="433" spans="1:14" x14ac:dyDescent="0.25">
      <c r="A433" s="41" t="str">
        <f>Table1[[#This Row],[Route]]&amp;TEXT(Table1[[#This Row],[SegmentID]],"00")</f>
        <v>066B85</v>
      </c>
      <c r="B433" t="s">
        <v>745</v>
      </c>
      <c r="D433">
        <f>IFERROR(ROUND(VLOOKUP(Table1[[#This Row],[Route]],SegmentsPerRoute!$C$3:$L$297,8,FALSE)+(Table1[[#This Row],[Sequence]]-1)*VLOOKUP(Table1[[#This Row],[Route]],SegmentsPerRoute!$C$3:$L$297,10,FALSE),0), 0)</f>
        <v>85</v>
      </c>
      <c r="E433">
        <v>4</v>
      </c>
      <c r="F433" s="1">
        <v>51.235999999999997</v>
      </c>
      <c r="G433" t="s">
        <v>748</v>
      </c>
      <c r="H433" s="1">
        <v>51.386000000000003</v>
      </c>
      <c r="I433" t="s">
        <v>749</v>
      </c>
      <c r="K433" t="s">
        <v>1693</v>
      </c>
      <c r="L433" t="s">
        <v>2535</v>
      </c>
      <c r="M433" t="s">
        <v>2536</v>
      </c>
    </row>
    <row r="434" spans="1:14" x14ac:dyDescent="0.25">
      <c r="A434" s="41" t="str">
        <f>Table1[[#This Row],[Route]]&amp;TEXT(Table1[[#This Row],[SegmentID]],"00")</f>
        <v>067A15</v>
      </c>
      <c r="B434" t="s">
        <v>751</v>
      </c>
      <c r="D434">
        <f>IFERROR(ROUND(VLOOKUP(Table1[[#This Row],[Route]],SegmentsPerRoute!$C$3:$L$297,8,FALSE)+(Table1[[#This Row],[Sequence]]-1)*VLOOKUP(Table1[[#This Row],[Route]],SegmentsPerRoute!$C$3:$L$297,10,FALSE),0), 0)</f>
        <v>15</v>
      </c>
      <c r="E434">
        <v>1</v>
      </c>
      <c r="F434" s="1">
        <v>0</v>
      </c>
      <c r="G434" t="s">
        <v>752</v>
      </c>
      <c r="H434" s="1">
        <v>11.047000000000001</v>
      </c>
      <c r="I434" t="s">
        <v>753</v>
      </c>
      <c r="K434" t="s">
        <v>1699</v>
      </c>
      <c r="L434" t="s">
        <v>2540</v>
      </c>
      <c r="M434" t="s">
        <v>2541</v>
      </c>
    </row>
    <row r="435" spans="1:14" x14ac:dyDescent="0.25">
      <c r="A435" s="41" t="str">
        <f>Table1[[#This Row],[Route]]&amp;TEXT(Table1[[#This Row],[SegmentID]],"00")</f>
        <v>067B15</v>
      </c>
      <c r="B435" t="s">
        <v>754</v>
      </c>
      <c r="D435">
        <f>IFERROR(ROUND(VLOOKUP(Table1[[#This Row],[Route]],SegmentsPerRoute!$C$3:$L$297,8,FALSE)+(Table1[[#This Row],[Sequence]]-1)*VLOOKUP(Table1[[#This Row],[Route]],SegmentsPerRoute!$C$3:$L$297,10,FALSE),0), 0)</f>
        <v>15</v>
      </c>
      <c r="E435">
        <v>1</v>
      </c>
      <c r="F435" s="1">
        <v>11.561999999999999</v>
      </c>
      <c r="G435" t="s">
        <v>753</v>
      </c>
      <c r="H435" s="1">
        <v>15.074</v>
      </c>
      <c r="I435" t="s">
        <v>755</v>
      </c>
      <c r="K435" t="s">
        <v>1699</v>
      </c>
      <c r="L435" t="s">
        <v>2542</v>
      </c>
      <c r="M435" t="s">
        <v>2543</v>
      </c>
      <c r="N435" t="s">
        <v>269</v>
      </c>
    </row>
    <row r="436" spans="1:14" ht="30" x14ac:dyDescent="0.25">
      <c r="A436" s="41" t="str">
        <f>Table1[[#This Row],[Route]]&amp;TEXT(Table1[[#This Row],[SegmentID]],"00")</f>
        <v>067C15</v>
      </c>
      <c r="B436" t="s">
        <v>756</v>
      </c>
      <c r="D436">
        <f>IFERROR(ROUND(VLOOKUP(Table1[[#This Row],[Route]],SegmentsPerRoute!$C$3:$L$297,8,FALSE)+(Table1[[#This Row],[Sequence]]-1)*VLOOKUP(Table1[[#This Row],[Route]],SegmentsPerRoute!$C$3:$L$297,10,FALSE),0), 0)</f>
        <v>15</v>
      </c>
      <c r="E436">
        <v>1</v>
      </c>
      <c r="F436" s="1">
        <v>45.866999999999997</v>
      </c>
      <c r="G436" t="s">
        <v>757</v>
      </c>
      <c r="H436" s="1">
        <v>50.73</v>
      </c>
      <c r="I436" t="s">
        <v>758</v>
      </c>
      <c r="J436" s="4" t="s">
        <v>759</v>
      </c>
      <c r="K436" t="s">
        <v>1709</v>
      </c>
    </row>
    <row r="437" spans="1:14" x14ac:dyDescent="0.25">
      <c r="A437" s="41" t="str">
        <f>Table1[[#This Row],[Route]]&amp;TEXT(Table1[[#This Row],[SegmentID]],"00")</f>
        <v>067D15</v>
      </c>
      <c r="B437" t="s">
        <v>760</v>
      </c>
      <c r="D437">
        <f>IFERROR(ROUND(VLOOKUP(Table1[[#This Row],[Route]],SegmentsPerRoute!$C$3:$L$297,8,FALSE)+(Table1[[#This Row],[Sequence]]-1)*VLOOKUP(Table1[[#This Row],[Route]],SegmentsPerRoute!$C$3:$L$297,10,FALSE),0), 0)</f>
        <v>15</v>
      </c>
      <c r="E437">
        <v>1</v>
      </c>
      <c r="F437" s="1">
        <v>76.92</v>
      </c>
      <c r="G437" t="s">
        <v>761</v>
      </c>
      <c r="H437" s="1">
        <v>100.036</v>
      </c>
      <c r="I437" t="s">
        <v>762</v>
      </c>
      <c r="J437" t="s">
        <v>21</v>
      </c>
      <c r="K437" t="s">
        <v>1709</v>
      </c>
      <c r="N437" t="s">
        <v>763</v>
      </c>
    </row>
    <row r="438" spans="1:14" x14ac:dyDescent="0.25">
      <c r="A438" s="41" t="str">
        <f>Table1[[#This Row],[Route]]&amp;TEXT(Table1[[#This Row],[SegmentID]],"00")</f>
        <v>067E15</v>
      </c>
      <c r="B438" t="s">
        <v>764</v>
      </c>
      <c r="D438">
        <f>IFERROR(ROUND(VLOOKUP(Table1[[#This Row],[Route]],SegmentsPerRoute!$C$3:$L$297,8,FALSE)+(Table1[[#This Row],[Sequence]]-1)*VLOOKUP(Table1[[#This Row],[Route]],SegmentsPerRoute!$C$3:$L$297,10,FALSE),0), 0)</f>
        <v>15</v>
      </c>
      <c r="E438">
        <v>1</v>
      </c>
      <c r="F438" s="1">
        <v>117.349</v>
      </c>
      <c r="G438" t="s">
        <v>765</v>
      </c>
      <c r="H438" s="1">
        <v>126.738</v>
      </c>
      <c r="I438" t="s">
        <v>766</v>
      </c>
      <c r="J438" t="s">
        <v>21</v>
      </c>
      <c r="K438" t="s">
        <v>1709</v>
      </c>
      <c r="N438" t="s">
        <v>767</v>
      </c>
    </row>
    <row r="439" spans="1:14" x14ac:dyDescent="0.25">
      <c r="A439" s="41" t="str">
        <f>Table1[[#This Row],[Route]]&amp;TEXT(Table1[[#This Row],[SegmentID]],"00")</f>
        <v>067E85</v>
      </c>
      <c r="B439" t="s">
        <v>764</v>
      </c>
      <c r="D439">
        <f>IFERROR(ROUND(VLOOKUP(Table1[[#This Row],[Route]],SegmentsPerRoute!$C$3:$L$297,8,FALSE)+(Table1[[#This Row],[Sequence]]-1)*VLOOKUP(Table1[[#This Row],[Route]],SegmentsPerRoute!$C$3:$L$297,10,FALSE),0), 0)</f>
        <v>85</v>
      </c>
      <c r="E439">
        <v>2</v>
      </c>
      <c r="F439" s="1">
        <v>126.738</v>
      </c>
      <c r="G439" t="s">
        <v>766</v>
      </c>
      <c r="H439" s="1">
        <v>127.449</v>
      </c>
      <c r="I439" t="s">
        <v>768</v>
      </c>
      <c r="J439" t="s">
        <v>21</v>
      </c>
      <c r="K439" t="s">
        <v>1709</v>
      </c>
      <c r="N439" t="s">
        <v>368</v>
      </c>
    </row>
    <row r="440" spans="1:14" x14ac:dyDescent="0.25">
      <c r="A440" s="41" t="str">
        <f>Table1[[#This Row],[Route]]&amp;TEXT(Table1[[#This Row],[SegmentID]],"00")</f>
        <v>067F15</v>
      </c>
      <c r="B440" t="s">
        <v>769</v>
      </c>
      <c r="D440">
        <f>IFERROR(ROUND(VLOOKUP(Table1[[#This Row],[Route]],SegmentsPerRoute!$C$3:$L$297,8,FALSE)+(Table1[[#This Row],[Sequence]]-1)*VLOOKUP(Table1[[#This Row],[Route]],SegmentsPerRoute!$C$3:$L$297,10,FALSE),0), 0)</f>
        <v>15</v>
      </c>
      <c r="E440">
        <v>1</v>
      </c>
      <c r="F440" s="1">
        <v>52.304000000000002</v>
      </c>
      <c r="G440" t="s">
        <v>770</v>
      </c>
      <c r="H440" s="1">
        <v>69.652000000000001</v>
      </c>
      <c r="I440" t="s">
        <v>771</v>
      </c>
      <c r="J440" t="s">
        <v>21</v>
      </c>
      <c r="K440" t="s">
        <v>1709</v>
      </c>
    </row>
    <row r="441" spans="1:14" x14ac:dyDescent="0.25">
      <c r="A441" s="41" t="str">
        <f>Table1[[#This Row],[Route]]&amp;TEXT(Table1[[#This Row],[SegmentID]],"00")</f>
        <v>069A15</v>
      </c>
      <c r="B441" t="s">
        <v>772</v>
      </c>
      <c r="D441">
        <f>IFERROR(ROUND(VLOOKUP(Table1[[#This Row],[Route]],SegmentsPerRoute!$C$3:$L$297,8,FALSE)+(Table1[[#This Row],[Sequence]]-1)*VLOOKUP(Table1[[#This Row],[Route]],SegmentsPerRoute!$C$3:$L$297,10,FALSE),0), 0)</f>
        <v>15</v>
      </c>
      <c r="E441">
        <v>1</v>
      </c>
      <c r="F441" s="1">
        <v>0</v>
      </c>
      <c r="G441" t="s">
        <v>316</v>
      </c>
      <c r="H441" s="1">
        <v>58.704999999999998</v>
      </c>
      <c r="I441" t="s">
        <v>773</v>
      </c>
      <c r="K441" t="s">
        <v>1699</v>
      </c>
      <c r="L441" t="s">
        <v>2544</v>
      </c>
      <c r="M441" t="s">
        <v>2545</v>
      </c>
      <c r="N441" t="s">
        <v>365</v>
      </c>
    </row>
    <row r="442" spans="1:14" x14ac:dyDescent="0.25">
      <c r="A442" s="41" t="str">
        <f>Table1[[#This Row],[Route]]&amp;TEXT(Table1[[#This Row],[SegmentID]],"00")</f>
        <v>069A85</v>
      </c>
      <c r="B442" t="s">
        <v>772</v>
      </c>
      <c r="D442">
        <f>IFERROR(ROUND(VLOOKUP(Table1[[#This Row],[Route]],SegmentsPerRoute!$C$3:$L$297,8,FALSE)+(Table1[[#This Row],[Sequence]]-1)*VLOOKUP(Table1[[#This Row],[Route]],SegmentsPerRoute!$C$3:$L$297,10,FALSE),0), 0)</f>
        <v>85</v>
      </c>
      <c r="E442">
        <v>2</v>
      </c>
      <c r="F442" s="1">
        <v>58.704999999999998</v>
      </c>
      <c r="G442" t="s">
        <v>773</v>
      </c>
      <c r="H442" s="1">
        <v>82.664000000000001</v>
      </c>
      <c r="I442" t="s">
        <v>774</v>
      </c>
      <c r="K442" t="s">
        <v>1699</v>
      </c>
      <c r="L442" t="s">
        <v>2544</v>
      </c>
      <c r="M442" t="s">
        <v>2545</v>
      </c>
      <c r="N442" t="s">
        <v>775</v>
      </c>
    </row>
    <row r="443" spans="1:14" x14ac:dyDescent="0.25">
      <c r="A443" s="41" t="str">
        <f>Table1[[#This Row],[Route]]&amp;TEXT(Table1[[#This Row],[SegmentID]],"00")</f>
        <v>070A00</v>
      </c>
      <c r="B443" t="s">
        <v>776</v>
      </c>
      <c r="D443">
        <f>IFERROR(ROUND(VLOOKUP(Table1[[#This Row],[Route]],SegmentsPerRoute!$C$3:$L$297,8,FALSE)+(Table1[[#This Row],[Sequence]]-1)*VLOOKUP(Table1[[#This Row],[Route]],SegmentsPerRoute!$C$3:$L$297,10,FALSE),0), 0)</f>
        <v>0</v>
      </c>
      <c r="E443">
        <v>1</v>
      </c>
      <c r="F443" s="1">
        <v>0</v>
      </c>
      <c r="G443" t="s">
        <v>514</v>
      </c>
      <c r="H443" s="1">
        <v>11.106</v>
      </c>
      <c r="I443" t="s">
        <v>777</v>
      </c>
      <c r="K443" t="s">
        <v>1694</v>
      </c>
      <c r="L443" t="s">
        <v>2546</v>
      </c>
      <c r="M443" t="s">
        <v>2653</v>
      </c>
    </row>
    <row r="444" spans="1:14" x14ac:dyDescent="0.25">
      <c r="A444" s="41" t="str">
        <f>Table1[[#This Row],[Route]]&amp;TEXT(Table1[[#This Row],[SegmentID]],"00")</f>
        <v>070A01</v>
      </c>
      <c r="B444" t="s">
        <v>776</v>
      </c>
      <c r="D444">
        <f>IFERROR(ROUND(VLOOKUP(Table1[[#This Row],[Route]],SegmentsPerRoute!$C$3:$L$297,8,FALSE)+(Table1[[#This Row],[Sequence]]-1)*VLOOKUP(Table1[[#This Row],[Route]],SegmentsPerRoute!$C$3:$L$297,10,FALSE),0), 0)</f>
        <v>1</v>
      </c>
      <c r="E444">
        <v>2</v>
      </c>
      <c r="F444" s="1">
        <v>11.106</v>
      </c>
      <c r="G444" t="s">
        <v>777</v>
      </c>
      <c r="H444" s="1">
        <v>15</v>
      </c>
      <c r="I444" t="s">
        <v>778</v>
      </c>
      <c r="K444" t="s">
        <v>1694</v>
      </c>
      <c r="L444" t="s">
        <v>2547</v>
      </c>
      <c r="M444" t="s">
        <v>2652</v>
      </c>
    </row>
    <row r="445" spans="1:14" x14ac:dyDescent="0.25">
      <c r="A445" s="41" t="str">
        <f>Table1[[#This Row],[Route]]&amp;TEXT(Table1[[#This Row],[SegmentID]],"00")</f>
        <v>070A02</v>
      </c>
      <c r="B445" t="s">
        <v>776</v>
      </c>
      <c r="D445">
        <f>IFERROR(ROUND(VLOOKUP(Table1[[#This Row],[Route]],SegmentsPerRoute!$C$3:$L$297,8,FALSE)+(Table1[[#This Row],[Sequence]]-1)*VLOOKUP(Table1[[#This Row],[Route]],SegmentsPerRoute!$C$3:$L$297,10,FALSE),0), 0)</f>
        <v>2</v>
      </c>
      <c r="E445">
        <v>3</v>
      </c>
      <c r="F445" s="1">
        <v>15</v>
      </c>
      <c r="G445" t="s">
        <v>778</v>
      </c>
      <c r="H445" s="1">
        <v>19.443999999999999</v>
      </c>
      <c r="I445" t="s">
        <v>779</v>
      </c>
      <c r="K445" t="s">
        <v>1694</v>
      </c>
      <c r="L445" t="s">
        <v>2548</v>
      </c>
      <c r="M445" t="s">
        <v>2651</v>
      </c>
      <c r="N445" t="s">
        <v>48</v>
      </c>
    </row>
    <row r="446" spans="1:14" x14ac:dyDescent="0.25">
      <c r="A446" s="41" t="str">
        <f>Table1[[#This Row],[Route]]&amp;TEXT(Table1[[#This Row],[SegmentID]],"00")</f>
        <v>070A03</v>
      </c>
      <c r="B446" t="s">
        <v>776</v>
      </c>
      <c r="D446">
        <f>IFERROR(ROUND(VLOOKUP(Table1[[#This Row],[Route]],SegmentsPerRoute!$C$3:$L$297,8,FALSE)+(Table1[[#This Row],[Sequence]]-1)*VLOOKUP(Table1[[#This Row],[Route]],SegmentsPerRoute!$C$3:$L$297,10,FALSE),0), 0)</f>
        <v>3</v>
      </c>
      <c r="E446">
        <v>4</v>
      </c>
      <c r="F446" s="1">
        <v>19.443999999999999</v>
      </c>
      <c r="G446" t="s">
        <v>779</v>
      </c>
      <c r="H446" s="1">
        <v>25.562999999999999</v>
      </c>
      <c r="I446" t="s">
        <v>780</v>
      </c>
      <c r="K446" t="s">
        <v>1694</v>
      </c>
      <c r="L446" t="s">
        <v>2549</v>
      </c>
      <c r="M446" t="s">
        <v>2650</v>
      </c>
      <c r="N446" t="s">
        <v>48</v>
      </c>
    </row>
    <row r="447" spans="1:14" x14ac:dyDescent="0.25">
      <c r="A447" s="41" t="str">
        <f>Table1[[#This Row],[Route]]&amp;TEXT(Table1[[#This Row],[SegmentID]],"00")</f>
        <v>070A06</v>
      </c>
      <c r="B447" t="s">
        <v>776</v>
      </c>
      <c r="D447">
        <f>IFERROR(ROUND(VLOOKUP(Table1[[#This Row],[Route]],SegmentsPerRoute!$C$3:$L$297,8,FALSE)+(Table1[[#This Row],[Sequence]]-1)*VLOOKUP(Table1[[#This Row],[Route]],SegmentsPerRoute!$C$3:$L$297,10,FALSE),0), 0)</f>
        <v>6</v>
      </c>
      <c r="E447">
        <v>6</v>
      </c>
      <c r="F447" s="1">
        <v>25.562999999999999</v>
      </c>
      <c r="G447" t="s">
        <v>780</v>
      </c>
      <c r="H447" s="1">
        <v>36.643999999999998</v>
      </c>
      <c r="I447" t="s">
        <v>40</v>
      </c>
      <c r="K447" t="s">
        <v>1694</v>
      </c>
      <c r="L447" t="s">
        <v>2550</v>
      </c>
      <c r="M447" t="s">
        <v>2649</v>
      </c>
    </row>
    <row r="448" spans="1:14" x14ac:dyDescent="0.25">
      <c r="A448" s="41" t="str">
        <f>Table1[[#This Row],[Route]]&amp;TEXT(Table1[[#This Row],[SegmentID]],"00")</f>
        <v>070A08</v>
      </c>
      <c r="B448" t="s">
        <v>776</v>
      </c>
      <c r="D448">
        <f>IFERROR(ROUND(VLOOKUP(Table1[[#This Row],[Route]],SegmentsPerRoute!$C$3:$L$297,8,FALSE)+(Table1[[#This Row],[Sequence]]-1)*VLOOKUP(Table1[[#This Row],[Route]],SegmentsPerRoute!$C$3:$L$297,10,FALSE),0), 0)</f>
        <v>8</v>
      </c>
      <c r="E448">
        <v>8</v>
      </c>
      <c r="F448" s="1">
        <v>36.643999999999998</v>
      </c>
      <c r="G448" t="s">
        <v>40</v>
      </c>
      <c r="H448" s="1">
        <v>43.7</v>
      </c>
      <c r="I448" t="s">
        <v>781</v>
      </c>
      <c r="K448" t="s">
        <v>1694</v>
      </c>
      <c r="L448" t="s">
        <v>2551</v>
      </c>
      <c r="M448" t="s">
        <v>2648</v>
      </c>
    </row>
    <row r="449" spans="1:14" x14ac:dyDescent="0.25">
      <c r="A449" s="41" t="str">
        <f>Table1[[#This Row],[Route]]&amp;TEXT(Table1[[#This Row],[SegmentID]],"00")</f>
        <v>070A09</v>
      </c>
      <c r="B449" t="s">
        <v>776</v>
      </c>
      <c r="D449">
        <f>IFERROR(ROUND(VLOOKUP(Table1[[#This Row],[Route]],SegmentsPerRoute!$C$3:$L$297,8,FALSE)+(Table1[[#This Row],[Sequence]]-1)*VLOOKUP(Table1[[#This Row],[Route]],SegmentsPerRoute!$C$3:$L$297,10,FALSE),0), 0)</f>
        <v>9</v>
      </c>
      <c r="E449">
        <v>9</v>
      </c>
      <c r="F449" s="1">
        <v>43.7</v>
      </c>
      <c r="G449" t="s">
        <v>781</v>
      </c>
      <c r="H449" s="1">
        <v>49.015000000000001</v>
      </c>
      <c r="I449" t="s">
        <v>782</v>
      </c>
      <c r="K449" t="s">
        <v>1694</v>
      </c>
      <c r="L449" t="s">
        <v>2552</v>
      </c>
      <c r="M449" t="s">
        <v>2640</v>
      </c>
      <c r="N449" t="s">
        <v>48</v>
      </c>
    </row>
    <row r="450" spans="1:14" x14ac:dyDescent="0.25">
      <c r="A450" s="41" t="str">
        <f>Table1[[#This Row],[Route]]&amp;TEXT(Table1[[#This Row],[SegmentID]],"00")</f>
        <v>070A10</v>
      </c>
      <c r="B450" t="s">
        <v>776</v>
      </c>
      <c r="D450">
        <f>IFERROR(ROUND(VLOOKUP(Table1[[#This Row],[Route]],SegmentsPerRoute!$C$3:$L$297,8,FALSE)+(Table1[[#This Row],[Sequence]]-1)*VLOOKUP(Table1[[#This Row],[Route]],SegmentsPerRoute!$C$3:$L$297,10,FALSE),0), 0)</f>
        <v>10</v>
      </c>
      <c r="E450">
        <v>10</v>
      </c>
      <c r="F450" s="1">
        <v>49.015000000000001</v>
      </c>
      <c r="G450" t="s">
        <v>782</v>
      </c>
      <c r="H450" s="1">
        <v>61.648000000000003</v>
      </c>
      <c r="I450" t="s">
        <v>783</v>
      </c>
      <c r="K450" t="s">
        <v>1694</v>
      </c>
      <c r="L450" t="s">
        <v>2552</v>
      </c>
      <c r="M450" t="s">
        <v>2640</v>
      </c>
      <c r="N450" t="s">
        <v>48</v>
      </c>
    </row>
    <row r="451" spans="1:14" x14ac:dyDescent="0.25">
      <c r="A451" s="41" t="str">
        <f>Table1[[#This Row],[Route]]&amp;TEXT(Table1[[#This Row],[SegmentID]],"00")</f>
        <v>070A11</v>
      </c>
      <c r="B451" t="s">
        <v>776</v>
      </c>
      <c r="D451">
        <f>IFERROR(ROUND(VLOOKUP(Table1[[#This Row],[Route]],SegmentsPerRoute!$C$3:$L$297,8,FALSE)+(Table1[[#This Row],[Sequence]]-1)*VLOOKUP(Table1[[#This Row],[Route]],SegmentsPerRoute!$C$3:$L$297,10,FALSE),0), 0)</f>
        <v>11</v>
      </c>
      <c r="E451">
        <f>E450+1</f>
        <v>11</v>
      </c>
      <c r="F451" s="1">
        <v>61.648000000000003</v>
      </c>
      <c r="G451" t="s">
        <v>783</v>
      </c>
      <c r="H451" s="1">
        <v>72.323999999999998</v>
      </c>
      <c r="I451" t="s">
        <v>784</v>
      </c>
      <c r="K451" t="s">
        <v>1694</v>
      </c>
      <c r="L451" t="s">
        <v>2553</v>
      </c>
      <c r="M451" t="s">
        <v>2647</v>
      </c>
      <c r="N451" t="s">
        <v>48</v>
      </c>
    </row>
    <row r="452" spans="1:14" x14ac:dyDescent="0.25">
      <c r="A452" s="41" t="str">
        <f>Table1[[#This Row],[Route]]&amp;TEXT(Table1[[#This Row],[SegmentID]],"00")</f>
        <v>070A12</v>
      </c>
      <c r="B452" t="s">
        <v>776</v>
      </c>
      <c r="D452">
        <f>IFERROR(ROUND(VLOOKUP(Table1[[#This Row],[Route]],SegmentsPerRoute!$C$3:$L$297,8,FALSE)+(Table1[[#This Row],[Sequence]]-1)*VLOOKUP(Table1[[#This Row],[Route]],SegmentsPerRoute!$C$3:$L$297,10,FALSE),0), 0)</f>
        <v>12</v>
      </c>
      <c r="E452">
        <f t="shared" ref="E452:E499" si="3">E451+1</f>
        <v>12</v>
      </c>
      <c r="F452" s="1">
        <v>72.323999999999998</v>
      </c>
      <c r="G452" t="s">
        <v>784</v>
      </c>
      <c r="H452" s="1">
        <v>74.661000000000001</v>
      </c>
      <c r="I452" t="s">
        <v>785</v>
      </c>
      <c r="K452" t="s">
        <v>1694</v>
      </c>
      <c r="L452" t="s">
        <v>2553</v>
      </c>
      <c r="M452" t="s">
        <v>2647</v>
      </c>
      <c r="N452" t="s">
        <v>48</v>
      </c>
    </row>
    <row r="453" spans="1:14" x14ac:dyDescent="0.25">
      <c r="A453" s="41" t="str">
        <f>Table1[[#This Row],[Route]]&amp;TEXT(Table1[[#This Row],[SegmentID]],"00")</f>
        <v>070A13</v>
      </c>
      <c r="B453" t="s">
        <v>776</v>
      </c>
      <c r="D453">
        <f>IFERROR(ROUND(VLOOKUP(Table1[[#This Row],[Route]],SegmentsPerRoute!$C$3:$L$297,8,FALSE)+(Table1[[#This Row],[Sequence]]-1)*VLOOKUP(Table1[[#This Row],[Route]],SegmentsPerRoute!$C$3:$L$297,10,FALSE),0), 0)</f>
        <v>13</v>
      </c>
      <c r="E453">
        <f t="shared" si="3"/>
        <v>13</v>
      </c>
      <c r="F453" s="1">
        <v>74.661000000000001</v>
      </c>
      <c r="G453" t="s">
        <v>785</v>
      </c>
      <c r="H453" s="1">
        <v>81.236000000000004</v>
      </c>
      <c r="I453" t="s">
        <v>786</v>
      </c>
      <c r="K453" t="s">
        <v>1694</v>
      </c>
      <c r="L453" t="s">
        <v>2554</v>
      </c>
      <c r="M453" t="s">
        <v>2646</v>
      </c>
      <c r="N453" t="s">
        <v>48</v>
      </c>
    </row>
    <row r="454" spans="1:14" x14ac:dyDescent="0.25">
      <c r="A454" s="41" t="str">
        <f>Table1[[#This Row],[Route]]&amp;TEXT(Table1[[#This Row],[SegmentID]],"00")</f>
        <v>070A14</v>
      </c>
      <c r="B454" t="s">
        <v>776</v>
      </c>
      <c r="D454">
        <f>IFERROR(ROUND(VLOOKUP(Table1[[#This Row],[Route]],SegmentsPerRoute!$C$3:$L$297,8,FALSE)+(Table1[[#This Row],[Sequence]]-1)*VLOOKUP(Table1[[#This Row],[Route]],SegmentsPerRoute!$C$3:$L$297,10,FALSE),0), 0)</f>
        <v>14</v>
      </c>
      <c r="E454">
        <f t="shared" si="3"/>
        <v>14</v>
      </c>
      <c r="F454" s="1">
        <v>81.236000000000004</v>
      </c>
      <c r="G454" t="s">
        <v>786</v>
      </c>
      <c r="H454" s="1">
        <v>86.85</v>
      </c>
      <c r="I454" t="s">
        <v>787</v>
      </c>
      <c r="K454" t="s">
        <v>1694</v>
      </c>
      <c r="L454" t="s">
        <v>2555</v>
      </c>
      <c r="M454" t="s">
        <v>2645</v>
      </c>
      <c r="N454" t="s">
        <v>48</v>
      </c>
    </row>
    <row r="455" spans="1:14" x14ac:dyDescent="0.25">
      <c r="A455" s="41" t="str">
        <f>Table1[[#This Row],[Route]]&amp;TEXT(Table1[[#This Row],[SegmentID]],"00")</f>
        <v>070A15</v>
      </c>
      <c r="B455" t="s">
        <v>776</v>
      </c>
      <c r="D455">
        <f>IFERROR(ROUND(VLOOKUP(Table1[[#This Row],[Route]],SegmentsPerRoute!$C$3:$L$297,8,FALSE)+(Table1[[#This Row],[Sequence]]-1)*VLOOKUP(Table1[[#This Row],[Route]],SegmentsPerRoute!$C$3:$L$297,10,FALSE),0), 0)</f>
        <v>15</v>
      </c>
      <c r="E455">
        <f t="shared" si="3"/>
        <v>15</v>
      </c>
      <c r="F455" s="1">
        <v>86.85</v>
      </c>
      <c r="G455" t="s">
        <v>787</v>
      </c>
      <c r="H455" s="1">
        <v>90.421999999999997</v>
      </c>
      <c r="I455" t="s">
        <v>788</v>
      </c>
      <c r="K455" t="s">
        <v>1694</v>
      </c>
      <c r="L455" t="s">
        <v>2556</v>
      </c>
      <c r="M455" t="s">
        <v>2644</v>
      </c>
      <c r="N455" t="s">
        <v>48</v>
      </c>
    </row>
    <row r="456" spans="1:14" x14ac:dyDescent="0.25">
      <c r="A456" s="41" t="str">
        <f>Table1[[#This Row],[Route]]&amp;TEXT(Table1[[#This Row],[SegmentID]],"00")</f>
        <v>070A17</v>
      </c>
      <c r="B456" t="s">
        <v>776</v>
      </c>
      <c r="D456">
        <f>IFERROR(ROUND(VLOOKUP(Table1[[#This Row],[Route]],SegmentsPerRoute!$C$3:$L$297,8,FALSE)+(Table1[[#This Row],[Sequence]]-1)*VLOOKUP(Table1[[#This Row],[Route]],SegmentsPerRoute!$C$3:$L$297,10,FALSE),0), 0)</f>
        <v>17</v>
      </c>
      <c r="E456">
        <f t="shared" si="3"/>
        <v>16</v>
      </c>
      <c r="F456" s="1">
        <v>90.421999999999997</v>
      </c>
      <c r="G456" t="s">
        <v>788</v>
      </c>
      <c r="H456" s="1">
        <v>97.427000000000007</v>
      </c>
      <c r="I456" t="s">
        <v>56</v>
      </c>
      <c r="K456" t="s">
        <v>1694</v>
      </c>
      <c r="L456" t="s">
        <v>2557</v>
      </c>
      <c r="M456" t="s">
        <v>2643</v>
      </c>
      <c r="N456" t="s">
        <v>48</v>
      </c>
    </row>
    <row r="457" spans="1:14" x14ac:dyDescent="0.25">
      <c r="A457" s="41" t="str">
        <f>Table1[[#This Row],[Route]]&amp;TEXT(Table1[[#This Row],[SegmentID]],"00")</f>
        <v>070A18</v>
      </c>
      <c r="B457" t="s">
        <v>776</v>
      </c>
      <c r="D457">
        <f>IFERROR(ROUND(VLOOKUP(Table1[[#This Row],[Route]],SegmentsPerRoute!$C$3:$L$297,8,FALSE)+(Table1[[#This Row],[Sequence]]-1)*VLOOKUP(Table1[[#This Row],[Route]],SegmentsPerRoute!$C$3:$L$297,10,FALSE),0), 0)</f>
        <v>18</v>
      </c>
      <c r="E457">
        <f t="shared" si="3"/>
        <v>17</v>
      </c>
      <c r="F457" s="1">
        <v>97.427000000000007</v>
      </c>
      <c r="G457" t="s">
        <v>56</v>
      </c>
      <c r="H457" s="1">
        <v>105.26</v>
      </c>
      <c r="I457" t="s">
        <v>790</v>
      </c>
      <c r="K457" t="s">
        <v>1694</v>
      </c>
      <c r="L457" t="s">
        <v>2558</v>
      </c>
      <c r="M457" t="s">
        <v>2642</v>
      </c>
      <c r="N457" t="s">
        <v>48</v>
      </c>
    </row>
    <row r="458" spans="1:14" x14ac:dyDescent="0.25">
      <c r="A458" s="41" t="str">
        <f>Table1[[#This Row],[Route]]&amp;TEXT(Table1[[#This Row],[SegmentID]],"00")</f>
        <v>070A19</v>
      </c>
      <c r="B458" t="s">
        <v>776</v>
      </c>
      <c r="D458">
        <f>IFERROR(ROUND(VLOOKUP(Table1[[#This Row],[Route]],SegmentsPerRoute!$C$3:$L$297,8,FALSE)+(Table1[[#This Row],[Sequence]]-1)*VLOOKUP(Table1[[#This Row],[Route]],SegmentsPerRoute!$C$3:$L$297,10,FALSE),0), 0)</f>
        <v>19</v>
      </c>
      <c r="E458">
        <f t="shared" si="3"/>
        <v>18</v>
      </c>
      <c r="F458" s="1">
        <v>105.26</v>
      </c>
      <c r="G458" t="s">
        <v>790</v>
      </c>
      <c r="H458" s="1">
        <v>109</v>
      </c>
      <c r="I458" t="s">
        <v>791</v>
      </c>
      <c r="K458" t="s">
        <v>1694</v>
      </c>
      <c r="L458" t="s">
        <v>2559</v>
      </c>
      <c r="M458" t="s">
        <v>2641</v>
      </c>
      <c r="N458" t="s">
        <v>48</v>
      </c>
    </row>
    <row r="459" spans="1:14" x14ac:dyDescent="0.25">
      <c r="A459" s="41" t="str">
        <f>Table1[[#This Row],[Route]]&amp;TEXT(Table1[[#This Row],[SegmentID]],"00")</f>
        <v>070A20</v>
      </c>
      <c r="B459" t="s">
        <v>776</v>
      </c>
      <c r="D459">
        <f>IFERROR(ROUND(VLOOKUP(Table1[[#This Row],[Route]],SegmentsPerRoute!$C$3:$L$297,8,FALSE)+(Table1[[#This Row],[Sequence]]-1)*VLOOKUP(Table1[[#This Row],[Route]],SegmentsPerRoute!$C$3:$L$297,10,FALSE),0), 0)</f>
        <v>20</v>
      </c>
      <c r="E459">
        <f t="shared" si="3"/>
        <v>19</v>
      </c>
      <c r="F459" s="1">
        <v>109</v>
      </c>
      <c r="G459" t="s">
        <v>791</v>
      </c>
      <c r="H459" s="1">
        <v>116.38</v>
      </c>
      <c r="I459" t="s">
        <v>792</v>
      </c>
      <c r="K459" t="s">
        <v>1694</v>
      </c>
      <c r="L459" t="s">
        <v>2552</v>
      </c>
      <c r="M459" t="s">
        <v>2640</v>
      </c>
      <c r="N459" t="s">
        <v>48</v>
      </c>
    </row>
    <row r="460" spans="1:14" x14ac:dyDescent="0.25">
      <c r="A460" s="46" t="str">
        <f>Table1[[#This Row],[Route]]&amp;TEXT(Table1[[#This Row],[SegmentID]],"00")</f>
        <v>070A21</v>
      </c>
      <c r="B460" t="s">
        <v>776</v>
      </c>
      <c r="D460">
        <f>IFERROR(ROUND(VLOOKUP(Table1[[#This Row],[Route]],SegmentsPerRoute!$C$3:$L$297,8,FALSE)+(Table1[[#This Row],[Sequence]]-1)*VLOOKUP(Table1[[#This Row],[Route]],SegmentsPerRoute!$C$3:$L$297,10,FALSE),0), 0)</f>
        <v>21</v>
      </c>
      <c r="E460">
        <f t="shared" si="3"/>
        <v>20</v>
      </c>
      <c r="F460" s="44">
        <v>116.38</v>
      </c>
      <c r="G460" s="45" t="s">
        <v>792</v>
      </c>
      <c r="H460" s="44">
        <v>139.53299999999999</v>
      </c>
      <c r="I460" s="45" t="s">
        <v>793</v>
      </c>
      <c r="K460" t="s">
        <v>1694</v>
      </c>
      <c r="L460" t="s">
        <v>2560</v>
      </c>
      <c r="M460" t="s">
        <v>2639</v>
      </c>
      <c r="N460" t="s">
        <v>830</v>
      </c>
    </row>
    <row r="461" spans="1:14" x14ac:dyDescent="0.25">
      <c r="A461" s="41" t="str">
        <f>Table1[[#This Row],[Route]]&amp;TEXT(Table1[[#This Row],[SegmentID]],"00")</f>
        <v>070A22</v>
      </c>
      <c r="B461" t="s">
        <v>776</v>
      </c>
      <c r="D461">
        <f>IFERROR(ROUND(VLOOKUP(Table1[[#This Row],[Route]],SegmentsPerRoute!$C$3:$L$297,8,FALSE)+(Table1[[#This Row],[Sequence]]-1)*VLOOKUP(Table1[[#This Row],[Route]],SegmentsPerRoute!$C$3:$L$297,10,FALSE),0), 0)</f>
        <v>22</v>
      </c>
      <c r="E461">
        <f t="shared" si="3"/>
        <v>21</v>
      </c>
      <c r="F461" s="1">
        <v>139.53299999999999</v>
      </c>
      <c r="G461" t="s">
        <v>793</v>
      </c>
      <c r="H461" s="1">
        <v>146.648</v>
      </c>
      <c r="I461" t="s">
        <v>794</v>
      </c>
      <c r="K461" t="s">
        <v>1694</v>
      </c>
      <c r="L461" t="s">
        <v>2560</v>
      </c>
      <c r="M461" t="s">
        <v>2639</v>
      </c>
      <c r="N461" t="s">
        <v>60</v>
      </c>
    </row>
    <row r="462" spans="1:14" x14ac:dyDescent="0.25">
      <c r="A462" s="41" t="str">
        <f>Table1[[#This Row],[Route]]&amp;TEXT(Table1[[#This Row],[SegmentID]],"00")</f>
        <v>070A24</v>
      </c>
      <c r="B462" t="s">
        <v>776</v>
      </c>
      <c r="D462">
        <f>IFERROR(ROUND(VLOOKUP(Table1[[#This Row],[Route]],SegmentsPerRoute!$C$3:$L$297,8,FALSE)+(Table1[[#This Row],[Sequence]]-1)*VLOOKUP(Table1[[#This Row],[Route]],SegmentsPerRoute!$C$3:$L$297,10,FALSE),0), 0)</f>
        <v>24</v>
      </c>
      <c r="E462">
        <v>23</v>
      </c>
      <c r="F462" s="1">
        <v>146.648</v>
      </c>
      <c r="G462" t="s">
        <v>794</v>
      </c>
      <c r="H462" s="1">
        <v>156.547</v>
      </c>
      <c r="I462" t="s">
        <v>795</v>
      </c>
      <c r="K462" t="s">
        <v>1694</v>
      </c>
      <c r="L462" t="s">
        <v>2561</v>
      </c>
      <c r="M462" t="s">
        <v>2638</v>
      </c>
      <c r="N462" t="s">
        <v>60</v>
      </c>
    </row>
    <row r="463" spans="1:14" x14ac:dyDescent="0.25">
      <c r="A463" s="41" t="str">
        <f>Table1[[#This Row],[Route]]&amp;TEXT(Table1[[#This Row],[SegmentID]],"00")</f>
        <v>070A25</v>
      </c>
      <c r="B463" t="s">
        <v>776</v>
      </c>
      <c r="D463">
        <f>IFERROR(ROUND(VLOOKUP(Table1[[#This Row],[Route]],SegmentsPerRoute!$C$3:$L$297,8,FALSE)+(Table1[[#This Row],[Sequence]]-1)*VLOOKUP(Table1[[#This Row],[Route]],SegmentsPerRoute!$C$3:$L$297,10,FALSE),0), 0)</f>
        <v>25</v>
      </c>
      <c r="E463">
        <f t="shared" si="3"/>
        <v>24</v>
      </c>
      <c r="F463" s="1">
        <v>156.547</v>
      </c>
      <c r="G463" t="s">
        <v>795</v>
      </c>
      <c r="H463" s="1">
        <v>162.78200000000001</v>
      </c>
      <c r="I463" t="s">
        <v>796</v>
      </c>
      <c r="K463" t="s">
        <v>1694</v>
      </c>
      <c r="L463" t="s">
        <v>2562</v>
      </c>
      <c r="M463" t="s">
        <v>2637</v>
      </c>
      <c r="N463" t="s">
        <v>60</v>
      </c>
    </row>
    <row r="464" spans="1:14" x14ac:dyDescent="0.25">
      <c r="A464" s="41" t="str">
        <f>Table1[[#This Row],[Route]]&amp;TEXT(Table1[[#This Row],[SegmentID]],"00")</f>
        <v>070A26</v>
      </c>
      <c r="B464" t="s">
        <v>776</v>
      </c>
      <c r="D464">
        <f>IFERROR(ROUND(VLOOKUP(Table1[[#This Row],[Route]],SegmentsPerRoute!$C$3:$L$297,8,FALSE)+(Table1[[#This Row],[Sequence]]-1)*VLOOKUP(Table1[[#This Row],[Route]],SegmentsPerRoute!$C$3:$L$297,10,FALSE),0), 0)</f>
        <v>26</v>
      </c>
      <c r="E464">
        <f t="shared" si="3"/>
        <v>25</v>
      </c>
      <c r="F464" s="1">
        <v>162.78200000000001</v>
      </c>
      <c r="G464" s="10" t="s">
        <v>796</v>
      </c>
      <c r="H464" s="14">
        <v>166.63499999999999</v>
      </c>
      <c r="I464" s="10" t="s">
        <v>1713</v>
      </c>
      <c r="K464" t="s">
        <v>1694</v>
      </c>
      <c r="L464" t="s">
        <v>2563</v>
      </c>
      <c r="M464" t="s">
        <v>2636</v>
      </c>
      <c r="N464" t="s">
        <v>60</v>
      </c>
    </row>
    <row r="465" spans="1:14" x14ac:dyDescent="0.25">
      <c r="A465" s="41" t="str">
        <f>Table1[[#This Row],[Route]]&amp;TEXT(Table1[[#This Row],[SegmentID]],"00")</f>
        <v>070A28</v>
      </c>
      <c r="B465" t="s">
        <v>776</v>
      </c>
      <c r="D465">
        <f>IFERROR(ROUND(VLOOKUP(Table1[[#This Row],[Route]],SegmentsPerRoute!$C$3:$L$297,8,FALSE)+(Table1[[#This Row],[Sequence]]-1)*VLOOKUP(Table1[[#This Row],[Route]],SegmentsPerRoute!$C$3:$L$297,10,FALSE),0), 0)</f>
        <v>28</v>
      </c>
      <c r="E465">
        <f t="shared" si="3"/>
        <v>26</v>
      </c>
      <c r="F465" s="1">
        <v>166.63499999999999</v>
      </c>
      <c r="G465" s="10" t="s">
        <v>1713</v>
      </c>
      <c r="H465" s="14">
        <v>168.75800000000001</v>
      </c>
      <c r="I465" s="10" t="s">
        <v>797</v>
      </c>
      <c r="K465" t="s">
        <v>1694</v>
      </c>
      <c r="L465" t="s">
        <v>2564</v>
      </c>
      <c r="M465" t="s">
        <v>2635</v>
      </c>
      <c r="N465" t="s">
        <v>60</v>
      </c>
    </row>
    <row r="466" spans="1:14" x14ac:dyDescent="0.25">
      <c r="A466" s="41" t="str">
        <f>Table1[[#This Row],[Route]]&amp;TEXT(Table1[[#This Row],[SegmentID]],"00")</f>
        <v>070A29</v>
      </c>
      <c r="B466" t="s">
        <v>776</v>
      </c>
      <c r="D466">
        <f>IFERROR(ROUND(VLOOKUP(Table1[[#This Row],[Route]],SegmentsPerRoute!$C$3:$L$297,8,FALSE)+(Table1[[#This Row],[Sequence]]-1)*VLOOKUP(Table1[[#This Row],[Route]],SegmentsPerRoute!$C$3:$L$297,10,FALSE),0), 0)</f>
        <v>29</v>
      </c>
      <c r="E466">
        <f t="shared" si="3"/>
        <v>27</v>
      </c>
      <c r="F466" s="1">
        <v>168.75800000000001</v>
      </c>
      <c r="G466" t="s">
        <v>797</v>
      </c>
      <c r="H466" s="1">
        <v>171.10499999999999</v>
      </c>
      <c r="I466" t="s">
        <v>798</v>
      </c>
      <c r="K466" t="s">
        <v>1694</v>
      </c>
      <c r="L466" t="s">
        <v>2565</v>
      </c>
      <c r="M466" t="s">
        <v>2634</v>
      </c>
      <c r="N466" t="s">
        <v>60</v>
      </c>
    </row>
    <row r="467" spans="1:14" ht="30" x14ac:dyDescent="0.25">
      <c r="A467" s="41" t="str">
        <f>Table1[[#This Row],[Route]]&amp;TEXT(Table1[[#This Row],[SegmentID]],"00")</f>
        <v>070A30</v>
      </c>
      <c r="B467" t="s">
        <v>776</v>
      </c>
      <c r="D467">
        <f>IFERROR(ROUND(VLOOKUP(Table1[[#This Row],[Route]],SegmentsPerRoute!$C$3:$L$297,8,FALSE)+(Table1[[#This Row],[Sequence]]-1)*VLOOKUP(Table1[[#This Row],[Route]],SegmentsPerRoute!$C$3:$L$297,10,FALSE),0), 0)</f>
        <v>30</v>
      </c>
      <c r="E467">
        <f t="shared" si="3"/>
        <v>28</v>
      </c>
      <c r="F467" s="1">
        <v>171.10499999999999</v>
      </c>
      <c r="G467" t="s">
        <v>798</v>
      </c>
      <c r="H467" s="1">
        <v>195.25800000000001</v>
      </c>
      <c r="I467" t="s">
        <v>799</v>
      </c>
      <c r="K467" t="s">
        <v>1694</v>
      </c>
      <c r="L467" t="s">
        <v>2566</v>
      </c>
      <c r="M467" t="s">
        <v>2633</v>
      </c>
      <c r="N467" s="4" t="s">
        <v>831</v>
      </c>
    </row>
    <row r="468" spans="1:14" x14ac:dyDescent="0.25">
      <c r="A468" s="41" t="str">
        <f>Table1[[#This Row],[Route]]&amp;TEXT(Table1[[#This Row],[SegmentID]],"00")</f>
        <v>070A31</v>
      </c>
      <c r="B468" t="s">
        <v>776</v>
      </c>
      <c r="D468">
        <f>IFERROR(ROUND(VLOOKUP(Table1[[#This Row],[Route]],SegmentsPerRoute!$C$3:$L$297,8,FALSE)+(Table1[[#This Row],[Sequence]]-1)*VLOOKUP(Table1[[#This Row],[Route]],SegmentsPerRoute!$C$3:$L$297,10,FALSE),0), 0)</f>
        <v>31</v>
      </c>
      <c r="E468">
        <f t="shared" si="3"/>
        <v>29</v>
      </c>
      <c r="F468" s="1">
        <v>195.25800000000001</v>
      </c>
      <c r="G468" t="s">
        <v>799</v>
      </c>
      <c r="H468" s="1">
        <v>202.352</v>
      </c>
      <c r="I468" t="s">
        <v>800</v>
      </c>
      <c r="K468" t="s">
        <v>1694</v>
      </c>
      <c r="L468" t="s">
        <v>2567</v>
      </c>
      <c r="M468" t="s">
        <v>2632</v>
      </c>
      <c r="N468" t="s">
        <v>832</v>
      </c>
    </row>
    <row r="469" spans="1:14" x14ac:dyDescent="0.25">
      <c r="A469" s="41" t="str">
        <f>Table1[[#This Row],[Route]]&amp;TEXT(Table1[[#This Row],[SegmentID]],"00")</f>
        <v>070A33</v>
      </c>
      <c r="B469" t="s">
        <v>776</v>
      </c>
      <c r="D469">
        <f>IFERROR(ROUND(VLOOKUP(Table1[[#This Row],[Route]],SegmentsPerRoute!$C$3:$L$297,8,FALSE)+(Table1[[#This Row],[Sequence]]-1)*VLOOKUP(Table1[[#This Row],[Route]],SegmentsPerRoute!$C$3:$L$297,10,FALSE),0), 0)</f>
        <v>33</v>
      </c>
      <c r="E469">
        <v>31</v>
      </c>
      <c r="F469" s="1">
        <v>202.352</v>
      </c>
      <c r="G469" t="s">
        <v>800</v>
      </c>
      <c r="H469" s="1">
        <v>205.423</v>
      </c>
      <c r="I469" t="s">
        <v>801</v>
      </c>
      <c r="K469" t="s">
        <v>1694</v>
      </c>
      <c r="L469" t="s">
        <v>2568</v>
      </c>
      <c r="M469" t="s">
        <v>2630</v>
      </c>
      <c r="N469" t="s">
        <v>833</v>
      </c>
    </row>
    <row r="470" spans="1:14" x14ac:dyDescent="0.25">
      <c r="A470" s="49" t="str">
        <f>Table1[[#This Row],[Route]]&amp;TEXT(Table1[[#This Row],[SegmentID]],"00")</f>
        <v>070A34</v>
      </c>
      <c r="B470" t="s">
        <v>776</v>
      </c>
      <c r="D470">
        <f>IFERROR(ROUND(VLOOKUP(Table1[[#This Row],[Route]],SegmentsPerRoute!$C$3:$L$297,8,FALSE)+(Table1[[#This Row],[Sequence]]-1)*VLOOKUP(Table1[[#This Row],[Route]],SegmentsPerRoute!$C$3:$L$297,10,FALSE),0), 0)</f>
        <v>34</v>
      </c>
      <c r="E470">
        <f t="shared" si="3"/>
        <v>32</v>
      </c>
      <c r="F470" s="47">
        <v>205.423</v>
      </c>
      <c r="G470" s="48" t="s">
        <v>801</v>
      </c>
      <c r="H470" s="47">
        <v>216.185</v>
      </c>
      <c r="I470" s="48" t="s">
        <v>802</v>
      </c>
      <c r="K470" t="s">
        <v>1694</v>
      </c>
      <c r="L470" t="s">
        <v>2569</v>
      </c>
      <c r="M470" t="s">
        <v>2631</v>
      </c>
      <c r="N470" t="s">
        <v>834</v>
      </c>
    </row>
    <row r="471" spans="1:14" x14ac:dyDescent="0.25">
      <c r="A471" s="41" t="str">
        <f>Table1[[#This Row],[Route]]&amp;TEXT(Table1[[#This Row],[SegmentID]],"00")</f>
        <v>070A35</v>
      </c>
      <c r="B471" t="s">
        <v>776</v>
      </c>
      <c r="D471">
        <f>IFERROR(ROUND(VLOOKUP(Table1[[#This Row],[Route]],SegmentsPerRoute!$C$3:$L$297,8,FALSE)+(Table1[[#This Row],[Sequence]]-1)*VLOOKUP(Table1[[#This Row],[Route]],SegmentsPerRoute!$C$3:$L$297,10,FALSE),0), 0)</f>
        <v>35</v>
      </c>
      <c r="E471">
        <f t="shared" si="3"/>
        <v>33</v>
      </c>
      <c r="F471" s="1">
        <v>216.185</v>
      </c>
      <c r="G471" t="s">
        <v>802</v>
      </c>
      <c r="H471" s="1">
        <v>231.88900000000001</v>
      </c>
      <c r="I471" t="s">
        <v>803</v>
      </c>
      <c r="K471" t="s">
        <v>1694</v>
      </c>
      <c r="L471" t="s">
        <v>2568</v>
      </c>
      <c r="M471" t="s">
        <v>2630</v>
      </c>
      <c r="N471" t="s">
        <v>76</v>
      </c>
    </row>
    <row r="472" spans="1:14" x14ac:dyDescent="0.25">
      <c r="A472" s="41" t="str">
        <f>Table1[[#This Row],[Route]]&amp;TEXT(Table1[[#This Row],[SegmentID]],"00")</f>
        <v>070A36</v>
      </c>
      <c r="B472" t="s">
        <v>776</v>
      </c>
      <c r="D472">
        <f>IFERROR(ROUND(VLOOKUP(Table1[[#This Row],[Route]],SegmentsPerRoute!$C$3:$L$297,8,FALSE)+(Table1[[#This Row],[Sequence]]-1)*VLOOKUP(Table1[[#This Row],[Route]],SegmentsPerRoute!$C$3:$L$297,10,FALSE),0), 0)</f>
        <v>36</v>
      </c>
      <c r="E472">
        <f t="shared" si="3"/>
        <v>34</v>
      </c>
      <c r="F472" s="1">
        <v>231.88900000000001</v>
      </c>
      <c r="G472" t="s">
        <v>803</v>
      </c>
      <c r="H472" s="1">
        <v>239.65199999999999</v>
      </c>
      <c r="I472" t="s">
        <v>804</v>
      </c>
      <c r="K472" t="s">
        <v>1694</v>
      </c>
      <c r="L472" t="s">
        <v>2568</v>
      </c>
      <c r="M472" t="s">
        <v>2630</v>
      </c>
      <c r="N472" t="s">
        <v>76</v>
      </c>
    </row>
    <row r="473" spans="1:14" x14ac:dyDescent="0.25">
      <c r="A473" s="52" t="str">
        <f>Table1[[#This Row],[Route]]&amp;TEXT(Table1[[#This Row],[SegmentID]],"00")</f>
        <v>070A37</v>
      </c>
      <c r="B473" t="s">
        <v>776</v>
      </c>
      <c r="D473">
        <f>IFERROR(ROUND(VLOOKUP(Table1[[#This Row],[Route]],SegmentsPerRoute!$C$3:$L$297,8,FALSE)+(Table1[[#This Row],[Sequence]]-1)*VLOOKUP(Table1[[#This Row],[Route]],SegmentsPerRoute!$C$3:$L$297,10,FALSE),0), 0)</f>
        <v>37</v>
      </c>
      <c r="E473">
        <f t="shared" si="3"/>
        <v>35</v>
      </c>
      <c r="F473" s="50">
        <v>239.65199999999999</v>
      </c>
      <c r="G473" s="51" t="s">
        <v>804</v>
      </c>
      <c r="H473" s="50">
        <v>244.26</v>
      </c>
      <c r="I473" s="51" t="s">
        <v>805</v>
      </c>
      <c r="K473" t="s">
        <v>1694</v>
      </c>
      <c r="L473" t="s">
        <v>2568</v>
      </c>
      <c r="M473" t="s">
        <v>2630</v>
      </c>
      <c r="N473" t="s">
        <v>76</v>
      </c>
    </row>
    <row r="474" spans="1:14" x14ac:dyDescent="0.25">
      <c r="A474" s="41" t="str">
        <f>Table1[[#This Row],[Route]]&amp;TEXT(Table1[[#This Row],[SegmentID]],"00")</f>
        <v>070A39</v>
      </c>
      <c r="B474" t="s">
        <v>776</v>
      </c>
      <c r="D474">
        <f>IFERROR(ROUND(VLOOKUP(Table1[[#This Row],[Route]],SegmentsPerRoute!$C$3:$L$297,8,FALSE)+(Table1[[#This Row],[Sequence]]-1)*VLOOKUP(Table1[[#This Row],[Route]],SegmentsPerRoute!$C$3:$L$297,10,FALSE),0), 0)</f>
        <v>39</v>
      </c>
      <c r="E474">
        <f t="shared" si="3"/>
        <v>36</v>
      </c>
      <c r="F474" s="1">
        <v>244.26</v>
      </c>
      <c r="G474" t="s">
        <v>805</v>
      </c>
      <c r="H474" s="1">
        <v>246.602</v>
      </c>
      <c r="I474" t="s">
        <v>829</v>
      </c>
      <c r="K474" t="s">
        <v>1694</v>
      </c>
      <c r="L474" t="s">
        <v>2570</v>
      </c>
      <c r="M474" t="s">
        <v>2629</v>
      </c>
    </row>
    <row r="475" spans="1:14" x14ac:dyDescent="0.25">
      <c r="A475" s="41" t="str">
        <f>Table1[[#This Row],[Route]]&amp;TEXT(Table1[[#This Row],[SegmentID]],"00")</f>
        <v>070A40</v>
      </c>
      <c r="B475" t="s">
        <v>776</v>
      </c>
      <c r="D475">
        <f>IFERROR(ROUND(VLOOKUP(Table1[[#This Row],[Route]],SegmentsPerRoute!$C$3:$L$297,8,FALSE)+(Table1[[#This Row],[Sequence]]-1)*VLOOKUP(Table1[[#This Row],[Route]],SegmentsPerRoute!$C$3:$L$297,10,FALSE),0), 0)</f>
        <v>40</v>
      </c>
      <c r="E475">
        <f t="shared" si="3"/>
        <v>37</v>
      </c>
      <c r="F475" s="1">
        <v>246.602</v>
      </c>
      <c r="G475" t="s">
        <v>829</v>
      </c>
      <c r="H475" s="1">
        <v>247.60400000000001</v>
      </c>
      <c r="I475" t="s">
        <v>806</v>
      </c>
      <c r="K475" t="s">
        <v>1694</v>
      </c>
      <c r="L475" s="38" t="s">
        <v>2571</v>
      </c>
      <c r="M475" s="38" t="s">
        <v>2629</v>
      </c>
    </row>
    <row r="476" spans="1:14" x14ac:dyDescent="0.25">
      <c r="A476" s="41" t="str">
        <f>Table1[[#This Row],[Route]]&amp;TEXT(Table1[[#This Row],[SegmentID]],"00")</f>
        <v>070A41</v>
      </c>
      <c r="B476" t="s">
        <v>776</v>
      </c>
      <c r="D476">
        <f>IFERROR(ROUND(VLOOKUP(Table1[[#This Row],[Route]],SegmentsPerRoute!$C$3:$L$297,8,FALSE)+(Table1[[#This Row],[Sequence]]-1)*VLOOKUP(Table1[[#This Row],[Route]],SegmentsPerRoute!$C$3:$L$297,10,FALSE),0), 0)</f>
        <v>41</v>
      </c>
      <c r="E476">
        <f t="shared" si="3"/>
        <v>38</v>
      </c>
      <c r="F476" s="1">
        <v>247.60400000000001</v>
      </c>
      <c r="G476" t="s">
        <v>806</v>
      </c>
      <c r="H476" s="1">
        <v>250.76900000000001</v>
      </c>
      <c r="I476" t="s">
        <v>807</v>
      </c>
      <c r="K476" t="s">
        <v>1694</v>
      </c>
      <c r="L476" t="s">
        <v>2571</v>
      </c>
      <c r="M476" t="s">
        <v>2628</v>
      </c>
      <c r="N476" t="s">
        <v>545</v>
      </c>
    </row>
    <row r="477" spans="1:14" x14ac:dyDescent="0.25">
      <c r="A477" s="41" t="str">
        <f>Table1[[#This Row],[Route]]&amp;TEXT(Table1[[#This Row],[SegmentID]],"00")</f>
        <v>070A42</v>
      </c>
      <c r="B477" t="s">
        <v>776</v>
      </c>
      <c r="D477">
        <f>IFERROR(ROUND(VLOOKUP(Table1[[#This Row],[Route]],SegmentsPerRoute!$C$3:$L$297,8,FALSE)+(Table1[[#This Row],[Sequence]]-1)*VLOOKUP(Table1[[#This Row],[Route]],SegmentsPerRoute!$C$3:$L$297,10,FALSE),0), 0)</f>
        <v>42</v>
      </c>
      <c r="E477">
        <f t="shared" si="3"/>
        <v>39</v>
      </c>
      <c r="F477" s="1">
        <v>250.76900000000001</v>
      </c>
      <c r="G477" t="s">
        <v>807</v>
      </c>
      <c r="H477" s="1">
        <v>251.31800000000001</v>
      </c>
      <c r="I477" t="s">
        <v>540</v>
      </c>
      <c r="K477" t="s">
        <v>1694</v>
      </c>
      <c r="L477" s="38" t="s">
        <v>2571</v>
      </c>
      <c r="M477" s="38" t="s">
        <v>2628</v>
      </c>
    </row>
    <row r="478" spans="1:14" x14ac:dyDescent="0.25">
      <c r="A478" s="41" t="str">
        <f>Table1[[#This Row],[Route]]&amp;TEXT(Table1[[#This Row],[SegmentID]],"00")</f>
        <v>070A43</v>
      </c>
      <c r="B478" t="s">
        <v>776</v>
      </c>
      <c r="D478">
        <f>IFERROR(ROUND(VLOOKUP(Table1[[#This Row],[Route]],SegmentsPerRoute!$C$3:$L$297,8,FALSE)+(Table1[[#This Row],[Sequence]]-1)*VLOOKUP(Table1[[#This Row],[Route]],SegmentsPerRoute!$C$3:$L$297,10,FALSE),0), 0)</f>
        <v>43</v>
      </c>
      <c r="E478">
        <f t="shared" si="3"/>
        <v>40</v>
      </c>
      <c r="F478" s="1">
        <v>251.31800000000001</v>
      </c>
      <c r="G478" t="s">
        <v>540</v>
      </c>
      <c r="H478" s="1">
        <v>253.52799999999999</v>
      </c>
      <c r="I478" t="s">
        <v>808</v>
      </c>
      <c r="K478" t="s">
        <v>1694</v>
      </c>
      <c r="L478" t="s">
        <v>2572</v>
      </c>
      <c r="M478" t="s">
        <v>2627</v>
      </c>
      <c r="N478" t="s">
        <v>561</v>
      </c>
    </row>
    <row r="479" spans="1:14" x14ac:dyDescent="0.25">
      <c r="A479" s="41" t="str">
        <f>Table1[[#This Row],[Route]]&amp;TEXT(Table1[[#This Row],[SegmentID]],"00")</f>
        <v>070A44</v>
      </c>
      <c r="B479" t="s">
        <v>776</v>
      </c>
      <c r="D479">
        <f>IFERROR(ROUND(VLOOKUP(Table1[[#This Row],[Route]],SegmentsPerRoute!$C$3:$L$297,8,FALSE)+(Table1[[#This Row],[Sequence]]-1)*VLOOKUP(Table1[[#This Row],[Route]],SegmentsPerRoute!$C$3:$L$297,10,FALSE),0), 0)</f>
        <v>44</v>
      </c>
      <c r="E479">
        <f t="shared" si="3"/>
        <v>41</v>
      </c>
      <c r="F479" s="1">
        <v>253.52799999999999</v>
      </c>
      <c r="G479" t="s">
        <v>808</v>
      </c>
      <c r="H479" s="1">
        <v>255.97399999999999</v>
      </c>
      <c r="I479" t="s">
        <v>809</v>
      </c>
      <c r="K479" t="s">
        <v>1694</v>
      </c>
      <c r="L479" t="s">
        <v>2573</v>
      </c>
      <c r="M479" t="s">
        <v>2626</v>
      </c>
    </row>
    <row r="480" spans="1:14" x14ac:dyDescent="0.25">
      <c r="A480" s="41" t="str">
        <f>Table1[[#This Row],[Route]]&amp;TEXT(Table1[[#This Row],[SegmentID]],"00")</f>
        <v>070A45</v>
      </c>
      <c r="B480" t="s">
        <v>776</v>
      </c>
      <c r="D480">
        <f>IFERROR(ROUND(VLOOKUP(Table1[[#This Row],[Route]],SegmentsPerRoute!$C$3:$L$297,8,FALSE)+(Table1[[#This Row],[Sequence]]-1)*VLOOKUP(Table1[[#This Row],[Route]],SegmentsPerRoute!$C$3:$L$297,10,FALSE),0), 0)</f>
        <v>45</v>
      </c>
      <c r="E480">
        <f t="shared" si="3"/>
        <v>42</v>
      </c>
      <c r="F480" s="1">
        <v>255.97399999999999</v>
      </c>
      <c r="G480" t="s">
        <v>809</v>
      </c>
      <c r="H480" s="1">
        <v>258.72199999999998</v>
      </c>
      <c r="I480" t="s">
        <v>810</v>
      </c>
      <c r="K480" t="s">
        <v>1694</v>
      </c>
      <c r="L480" t="s">
        <v>2574</v>
      </c>
      <c r="M480" t="s">
        <v>2625</v>
      </c>
    </row>
    <row r="481" spans="1:14" x14ac:dyDescent="0.25">
      <c r="A481" s="41" t="str">
        <f>Table1[[#This Row],[Route]]&amp;TEXT(Table1[[#This Row],[SegmentID]],"00")</f>
        <v>070A46</v>
      </c>
      <c r="B481" t="s">
        <v>776</v>
      </c>
      <c r="D481">
        <f>IFERROR(ROUND(VLOOKUP(Table1[[#This Row],[Route]],SegmentsPerRoute!$C$3:$L$297,8,FALSE)+(Table1[[#This Row],[Sequence]]-1)*VLOOKUP(Table1[[#This Row],[Route]],SegmentsPerRoute!$C$3:$L$297,10,FALSE),0), 0)</f>
        <v>46</v>
      </c>
      <c r="E481">
        <f t="shared" si="3"/>
        <v>43</v>
      </c>
      <c r="F481" s="1">
        <v>258.72199999999998</v>
      </c>
      <c r="G481" t="s">
        <v>810</v>
      </c>
      <c r="H481" s="1">
        <v>259.803</v>
      </c>
      <c r="I481" t="s">
        <v>811</v>
      </c>
      <c r="K481" t="s">
        <v>1694</v>
      </c>
      <c r="L481" t="s">
        <v>2575</v>
      </c>
      <c r="M481" t="s">
        <v>2624</v>
      </c>
    </row>
    <row r="482" spans="1:14" x14ac:dyDescent="0.25">
      <c r="A482" s="41" t="str">
        <f>Table1[[#This Row],[Route]]&amp;TEXT(Table1[[#This Row],[SegmentID]],"00")</f>
        <v>070A47</v>
      </c>
      <c r="B482" t="s">
        <v>776</v>
      </c>
      <c r="D482">
        <f>IFERROR(ROUND(VLOOKUP(Table1[[#This Row],[Route]],SegmentsPerRoute!$C$3:$L$297,8,FALSE)+(Table1[[#This Row],[Sequence]]-1)*VLOOKUP(Table1[[#This Row],[Route]],SegmentsPerRoute!$C$3:$L$297,10,FALSE),0), 0)</f>
        <v>47</v>
      </c>
      <c r="E482">
        <f t="shared" si="3"/>
        <v>44</v>
      </c>
      <c r="F482" s="1">
        <v>259.803</v>
      </c>
      <c r="G482" t="s">
        <v>811</v>
      </c>
      <c r="H482" s="1">
        <v>261.02999999999997</v>
      </c>
      <c r="I482" t="s">
        <v>336</v>
      </c>
      <c r="K482" t="s">
        <v>1694</v>
      </c>
      <c r="L482" t="s">
        <v>2576</v>
      </c>
      <c r="M482" t="s">
        <v>2623</v>
      </c>
    </row>
    <row r="483" spans="1:14" x14ac:dyDescent="0.25">
      <c r="A483" s="41" t="str">
        <f>Table1[[#This Row],[Route]]&amp;TEXT(Table1[[#This Row],[SegmentID]],"00")</f>
        <v>070A48</v>
      </c>
      <c r="B483" t="s">
        <v>776</v>
      </c>
      <c r="D483">
        <f>IFERROR(ROUND(VLOOKUP(Table1[[#This Row],[Route]],SegmentsPerRoute!$C$3:$L$297,8,FALSE)+(Table1[[#This Row],[Sequence]]-1)*VLOOKUP(Table1[[#This Row],[Route]],SegmentsPerRoute!$C$3:$L$297,10,FALSE),0), 0)</f>
        <v>48</v>
      </c>
      <c r="E483">
        <f t="shared" si="3"/>
        <v>45</v>
      </c>
      <c r="F483" s="1">
        <v>261.02999999999997</v>
      </c>
      <c r="G483" t="s">
        <v>336</v>
      </c>
      <c r="H483" s="1">
        <v>261.63</v>
      </c>
      <c r="I483" t="s">
        <v>812</v>
      </c>
      <c r="K483" t="s">
        <v>1694</v>
      </c>
      <c r="L483" t="s">
        <v>2576</v>
      </c>
      <c r="M483" t="s">
        <v>2623</v>
      </c>
    </row>
    <row r="484" spans="1:14" ht="30" x14ac:dyDescent="0.25">
      <c r="A484" s="41" t="str">
        <f>Table1[[#This Row],[Route]]&amp;TEXT(Table1[[#This Row],[SegmentID]],"00")</f>
        <v>070A50</v>
      </c>
      <c r="B484" t="s">
        <v>776</v>
      </c>
      <c r="D484">
        <f>IFERROR(ROUND(VLOOKUP(Table1[[#This Row],[Route]],SegmentsPerRoute!$C$3:$L$297,8,FALSE)+(Table1[[#This Row],[Sequence]]-1)*VLOOKUP(Table1[[#This Row],[Route]],SegmentsPerRoute!$C$3:$L$297,10,FALSE),0), 0)</f>
        <v>50</v>
      </c>
      <c r="E484">
        <f t="shared" si="3"/>
        <v>46</v>
      </c>
      <c r="F484" s="1">
        <v>261.63</v>
      </c>
      <c r="G484" t="s">
        <v>812</v>
      </c>
      <c r="H484" s="14">
        <v>262.57100000000003</v>
      </c>
      <c r="I484" s="37" t="s">
        <v>2378</v>
      </c>
      <c r="K484" t="s">
        <v>1694</v>
      </c>
      <c r="L484" t="s">
        <v>2577</v>
      </c>
      <c r="M484" t="s">
        <v>2622</v>
      </c>
      <c r="N484" t="s">
        <v>76</v>
      </c>
    </row>
    <row r="485" spans="1:14" ht="30" x14ac:dyDescent="0.25">
      <c r="A485" s="41" t="str">
        <f>Table1[[#This Row],[Route]]&amp;TEXT(Table1[[#This Row],[SegmentID]],"00")</f>
        <v>070A51</v>
      </c>
      <c r="B485" t="s">
        <v>776</v>
      </c>
      <c r="D485">
        <f>IFERROR(ROUND(VLOOKUP(Table1[[#This Row],[Route]],SegmentsPerRoute!$C$3:$L$297,8,FALSE)+(Table1[[#This Row],[Sequence]]-1)*VLOOKUP(Table1[[#This Row],[Route]],SegmentsPerRoute!$C$3:$L$297,10,FALSE),0), 0)</f>
        <v>51</v>
      </c>
      <c r="E485">
        <f t="shared" si="3"/>
        <v>47</v>
      </c>
      <c r="F485" s="14">
        <v>262.57100000000003</v>
      </c>
      <c r="G485" s="37" t="s">
        <v>2378</v>
      </c>
      <c r="H485" s="1">
        <v>265.34300000000002</v>
      </c>
      <c r="I485" t="s">
        <v>813</v>
      </c>
      <c r="K485" t="s">
        <v>1694</v>
      </c>
      <c r="L485" t="s">
        <v>2578</v>
      </c>
      <c r="M485" t="s">
        <v>2621</v>
      </c>
    </row>
    <row r="486" spans="1:14" x14ac:dyDescent="0.25">
      <c r="A486" s="41" t="str">
        <f>Table1[[#This Row],[Route]]&amp;TEXT(Table1[[#This Row],[SegmentID]],"00")</f>
        <v>070A52</v>
      </c>
      <c r="B486" t="s">
        <v>776</v>
      </c>
      <c r="D486">
        <f>IFERROR(ROUND(VLOOKUP(Table1[[#This Row],[Route]],SegmentsPerRoute!$C$3:$L$297,8,FALSE)+(Table1[[#This Row],[Sequence]]-1)*VLOOKUP(Table1[[#This Row],[Route]],SegmentsPerRoute!$C$3:$L$297,10,FALSE),0), 0)</f>
        <v>52</v>
      </c>
      <c r="E486">
        <f t="shared" si="3"/>
        <v>48</v>
      </c>
      <c r="F486" s="1">
        <v>265.34300000000002</v>
      </c>
      <c r="G486" t="s">
        <v>813</v>
      </c>
      <c r="H486" s="1">
        <v>265.726</v>
      </c>
      <c r="I486" t="s">
        <v>814</v>
      </c>
      <c r="K486" t="s">
        <v>1694</v>
      </c>
      <c r="L486" t="s">
        <v>2578</v>
      </c>
      <c r="M486" t="s">
        <v>2621</v>
      </c>
    </row>
    <row r="487" spans="1:14" x14ac:dyDescent="0.25">
      <c r="A487" s="41" t="str">
        <f>Table1[[#This Row],[Route]]&amp;TEXT(Table1[[#This Row],[SegmentID]],"00")</f>
        <v>070A53</v>
      </c>
      <c r="B487" t="s">
        <v>776</v>
      </c>
      <c r="D487">
        <f>IFERROR(ROUND(VLOOKUP(Table1[[#This Row],[Route]],SegmentsPerRoute!$C$3:$L$297,8,FALSE)+(Table1[[#This Row],[Sequence]]-1)*VLOOKUP(Table1[[#This Row],[Route]],SegmentsPerRoute!$C$3:$L$297,10,FALSE),0), 0)</f>
        <v>53</v>
      </c>
      <c r="E487">
        <f t="shared" si="3"/>
        <v>49</v>
      </c>
      <c r="F487" s="1">
        <v>265.726</v>
      </c>
      <c r="G487" t="s">
        <v>814</v>
      </c>
      <c r="H487" s="1">
        <v>267.40199999999999</v>
      </c>
      <c r="I487" t="s">
        <v>72</v>
      </c>
      <c r="K487" t="s">
        <v>1694</v>
      </c>
      <c r="L487" t="s">
        <v>2578</v>
      </c>
      <c r="M487" t="s">
        <v>2621</v>
      </c>
    </row>
    <row r="488" spans="1:14" x14ac:dyDescent="0.25">
      <c r="A488" s="41" t="str">
        <f>Table1[[#This Row],[Route]]&amp;TEXT(Table1[[#This Row],[SegmentID]],"00")</f>
        <v>070A54</v>
      </c>
      <c r="B488" t="s">
        <v>776</v>
      </c>
      <c r="D488">
        <f>IFERROR(ROUND(VLOOKUP(Table1[[#This Row],[Route]],SegmentsPerRoute!$C$3:$L$297,8,FALSE)+(Table1[[#This Row],[Sequence]]-1)*VLOOKUP(Table1[[#This Row],[Route]],SegmentsPerRoute!$C$3:$L$297,10,FALSE),0), 0)</f>
        <v>54</v>
      </c>
      <c r="E488">
        <f t="shared" si="3"/>
        <v>50</v>
      </c>
      <c r="F488" s="1">
        <v>267.40199999999999</v>
      </c>
      <c r="G488" t="s">
        <v>72</v>
      </c>
      <c r="H488" s="1">
        <v>269.005</v>
      </c>
      <c r="I488" t="s">
        <v>73</v>
      </c>
      <c r="K488" t="s">
        <v>1694</v>
      </c>
      <c r="L488" t="s">
        <v>2578</v>
      </c>
      <c r="M488" t="s">
        <v>2621</v>
      </c>
    </row>
    <row r="489" spans="1:14" x14ac:dyDescent="0.25">
      <c r="A489" s="41" t="str">
        <f>Table1[[#This Row],[Route]]&amp;TEXT(Table1[[#This Row],[SegmentID]],"00")</f>
        <v>070A55</v>
      </c>
      <c r="B489" t="s">
        <v>776</v>
      </c>
      <c r="D489">
        <f>IFERROR(ROUND(VLOOKUP(Table1[[#This Row],[Route]],SegmentsPerRoute!$C$3:$L$297,8,FALSE)+(Table1[[#This Row],[Sequence]]-1)*VLOOKUP(Table1[[#This Row],[Route]],SegmentsPerRoute!$C$3:$L$297,10,FALSE),0), 0)</f>
        <v>55</v>
      </c>
      <c r="E489">
        <f t="shared" si="3"/>
        <v>51</v>
      </c>
      <c r="F489" s="1">
        <v>269.005</v>
      </c>
      <c r="G489" t="s">
        <v>73</v>
      </c>
      <c r="H489" s="1">
        <v>269.24200000000002</v>
      </c>
      <c r="I489" t="s">
        <v>87</v>
      </c>
      <c r="J489" t="s">
        <v>913</v>
      </c>
      <c r="K489" t="s">
        <v>1694</v>
      </c>
      <c r="L489" t="s">
        <v>2579</v>
      </c>
      <c r="M489" t="s">
        <v>2621</v>
      </c>
    </row>
    <row r="490" spans="1:14" x14ac:dyDescent="0.25">
      <c r="A490" s="41" t="str">
        <f>Table1[[#This Row],[Route]]&amp;TEXT(Table1[[#This Row],[SegmentID]],"00")</f>
        <v>070A56</v>
      </c>
      <c r="B490" t="s">
        <v>776</v>
      </c>
      <c r="D490">
        <f>IFERROR(ROUND(VLOOKUP(Table1[[#This Row],[Route]],SegmentsPerRoute!$C$3:$L$297,8,FALSE)+(Table1[[#This Row],[Sequence]]-1)*VLOOKUP(Table1[[#This Row],[Route]],SegmentsPerRoute!$C$3:$L$297,10,FALSE),0), 0)</f>
        <v>56</v>
      </c>
      <c r="E490">
        <f t="shared" si="3"/>
        <v>52</v>
      </c>
      <c r="F490" s="1">
        <v>269.24200000000002</v>
      </c>
      <c r="G490" t="s">
        <v>87</v>
      </c>
      <c r="H490" s="1">
        <v>270.49599999999998</v>
      </c>
      <c r="I490" t="s">
        <v>74</v>
      </c>
      <c r="K490" t="s">
        <v>1694</v>
      </c>
      <c r="L490" t="s">
        <v>2579</v>
      </c>
      <c r="M490" t="s">
        <v>2620</v>
      </c>
      <c r="N490" t="s">
        <v>76</v>
      </c>
    </row>
    <row r="491" spans="1:14" x14ac:dyDescent="0.25">
      <c r="A491" s="41" t="str">
        <f>Table1[[#This Row],[Route]]&amp;TEXT(Table1[[#This Row],[SegmentID]],"00")</f>
        <v>070A57</v>
      </c>
      <c r="B491" t="s">
        <v>776</v>
      </c>
      <c r="D491">
        <f>IFERROR(ROUND(VLOOKUP(Table1[[#This Row],[Route]],SegmentsPerRoute!$C$3:$L$297,8,FALSE)+(Table1[[#This Row],[Sequence]]-1)*VLOOKUP(Table1[[#This Row],[Route]],SegmentsPerRoute!$C$3:$L$297,10,FALSE),0), 0)</f>
        <v>57</v>
      </c>
      <c r="E491">
        <f t="shared" si="3"/>
        <v>53</v>
      </c>
      <c r="F491" s="1">
        <v>270.49599999999998</v>
      </c>
      <c r="G491" t="s">
        <v>74</v>
      </c>
      <c r="H491" s="1">
        <v>272.005</v>
      </c>
      <c r="I491" t="s">
        <v>466</v>
      </c>
      <c r="K491" t="s">
        <v>1694</v>
      </c>
      <c r="L491" t="s">
        <v>2579</v>
      </c>
      <c r="M491" t="s">
        <v>2619</v>
      </c>
    </row>
    <row r="492" spans="1:14" x14ac:dyDescent="0.25">
      <c r="A492" s="41" t="str">
        <f>Table1[[#This Row],[Route]]&amp;TEXT(Table1[[#This Row],[SegmentID]],"00")</f>
        <v>070A58</v>
      </c>
      <c r="B492" t="s">
        <v>776</v>
      </c>
      <c r="D492">
        <f>IFERROR(ROUND(VLOOKUP(Table1[[#This Row],[Route]],SegmentsPerRoute!$C$3:$L$297,8,FALSE)+(Table1[[#This Row],[Sequence]]-1)*VLOOKUP(Table1[[#This Row],[Route]],SegmentsPerRoute!$C$3:$L$297,10,FALSE),0), 0)</f>
        <v>58</v>
      </c>
      <c r="E492">
        <f t="shared" si="3"/>
        <v>54</v>
      </c>
      <c r="F492" s="1">
        <v>272.005</v>
      </c>
      <c r="G492" t="s">
        <v>466</v>
      </c>
      <c r="H492" s="1">
        <v>274.06200000000001</v>
      </c>
      <c r="I492" t="s">
        <v>815</v>
      </c>
      <c r="K492" t="s">
        <v>1694</v>
      </c>
      <c r="L492" t="s">
        <v>2579</v>
      </c>
      <c r="M492" t="s">
        <v>2619</v>
      </c>
    </row>
    <row r="493" spans="1:14" x14ac:dyDescent="0.25">
      <c r="A493" s="41" t="str">
        <f>Table1[[#This Row],[Route]]&amp;TEXT(Table1[[#This Row],[SegmentID]],"00")</f>
        <v>070A59</v>
      </c>
      <c r="B493" t="s">
        <v>776</v>
      </c>
      <c r="D493">
        <f>IFERROR(ROUND(VLOOKUP(Table1[[#This Row],[Route]],SegmentsPerRoute!$C$3:$L$297,8,FALSE)+(Table1[[#This Row],[Sequence]]-1)*VLOOKUP(Table1[[#This Row],[Route]],SegmentsPerRoute!$C$3:$L$297,10,FALSE),0), 0)</f>
        <v>59</v>
      </c>
      <c r="E493">
        <f t="shared" si="3"/>
        <v>55</v>
      </c>
      <c r="F493" s="1">
        <v>274.06200000000001</v>
      </c>
      <c r="G493" t="s">
        <v>815</v>
      </c>
      <c r="H493" s="1">
        <v>275.25200000000001</v>
      </c>
      <c r="I493" t="s">
        <v>816</v>
      </c>
      <c r="K493" t="s">
        <v>1694</v>
      </c>
      <c r="L493" t="s">
        <v>2579</v>
      </c>
      <c r="M493" t="s">
        <v>2619</v>
      </c>
      <c r="N493" t="s">
        <v>77</v>
      </c>
    </row>
    <row r="494" spans="1:14" x14ac:dyDescent="0.25">
      <c r="A494" s="41" t="str">
        <f>Table1[[#This Row],[Route]]&amp;TEXT(Table1[[#This Row],[SegmentID]],"00")</f>
        <v>070A61</v>
      </c>
      <c r="B494" t="s">
        <v>776</v>
      </c>
      <c r="D494">
        <f>IFERROR(ROUND(VLOOKUP(Table1[[#This Row],[Route]],SegmentsPerRoute!$C$3:$L$297,8,FALSE)+(Table1[[#This Row],[Sequence]]-1)*VLOOKUP(Table1[[#This Row],[Route]],SegmentsPerRoute!$C$3:$L$297,10,FALSE),0), 0)</f>
        <v>61</v>
      </c>
      <c r="E494">
        <f t="shared" si="3"/>
        <v>56</v>
      </c>
      <c r="F494" s="1">
        <v>275.25200000000001</v>
      </c>
      <c r="G494" t="s">
        <v>816</v>
      </c>
      <c r="H494" s="1">
        <v>276.08</v>
      </c>
      <c r="I494" t="s">
        <v>817</v>
      </c>
      <c r="K494" t="s">
        <v>1694</v>
      </c>
      <c r="L494" t="s">
        <v>2579</v>
      </c>
      <c r="M494" t="s">
        <v>2619</v>
      </c>
    </row>
    <row r="495" spans="1:14" x14ac:dyDescent="0.25">
      <c r="A495" s="41" t="str">
        <f>Table1[[#This Row],[Route]]&amp;TEXT(Table1[[#This Row],[SegmentID]],"00")</f>
        <v>070A62</v>
      </c>
      <c r="B495" t="s">
        <v>776</v>
      </c>
      <c r="D495">
        <f>IFERROR(ROUND(VLOOKUP(Table1[[#This Row],[Route]],SegmentsPerRoute!$C$3:$L$297,8,FALSE)+(Table1[[#This Row],[Sequence]]-1)*VLOOKUP(Table1[[#This Row],[Route]],SegmentsPerRoute!$C$3:$L$297,10,FALSE),0), 0)</f>
        <v>62</v>
      </c>
      <c r="E495">
        <f t="shared" si="3"/>
        <v>57</v>
      </c>
      <c r="F495" s="1">
        <v>276.08</v>
      </c>
      <c r="G495" t="s">
        <v>817</v>
      </c>
      <c r="H495" s="1">
        <v>276.572</v>
      </c>
      <c r="I495" t="s">
        <v>83</v>
      </c>
      <c r="K495" t="s">
        <v>1694</v>
      </c>
      <c r="L495" t="s">
        <v>2579</v>
      </c>
      <c r="M495" t="s">
        <v>2619</v>
      </c>
    </row>
    <row r="496" spans="1:14" x14ac:dyDescent="0.25">
      <c r="A496" s="41" t="str">
        <f>Table1[[#This Row],[Route]]&amp;TEXT(Table1[[#This Row],[SegmentID]],"00")</f>
        <v>070A63</v>
      </c>
      <c r="B496" t="s">
        <v>776</v>
      </c>
      <c r="D496">
        <f>IFERROR(ROUND(VLOOKUP(Table1[[#This Row],[Route]],SegmentsPerRoute!$C$3:$L$297,8,FALSE)+(Table1[[#This Row],[Sequence]]-1)*VLOOKUP(Table1[[#This Row],[Route]],SegmentsPerRoute!$C$3:$L$297,10,FALSE),0), 0)</f>
        <v>63</v>
      </c>
      <c r="E496">
        <f t="shared" si="3"/>
        <v>58</v>
      </c>
      <c r="F496" s="1">
        <v>276.572</v>
      </c>
      <c r="G496" t="s">
        <v>83</v>
      </c>
      <c r="H496" s="1">
        <v>278.548</v>
      </c>
      <c r="I496" t="s">
        <v>818</v>
      </c>
      <c r="K496" t="s">
        <v>1694</v>
      </c>
      <c r="L496" t="s">
        <v>2579</v>
      </c>
      <c r="M496" t="s">
        <v>2619</v>
      </c>
    </row>
    <row r="497" spans="1:14" x14ac:dyDescent="0.25">
      <c r="A497" s="41" t="str">
        <f>Table1[[#This Row],[Route]]&amp;TEXT(Table1[[#This Row],[SegmentID]],"00")</f>
        <v>070A64</v>
      </c>
      <c r="B497" t="s">
        <v>776</v>
      </c>
      <c r="D497">
        <f>IFERROR(ROUND(VLOOKUP(Table1[[#This Row],[Route]],SegmentsPerRoute!$C$3:$L$297,8,FALSE)+(Table1[[#This Row],[Sequence]]-1)*VLOOKUP(Table1[[#This Row],[Route]],SegmentsPerRoute!$C$3:$L$297,10,FALSE),0), 0)</f>
        <v>64</v>
      </c>
      <c r="E497">
        <f t="shared" si="3"/>
        <v>59</v>
      </c>
      <c r="F497" s="1">
        <v>278.548</v>
      </c>
      <c r="G497" t="s">
        <v>818</v>
      </c>
      <c r="H497" s="1">
        <v>278.92</v>
      </c>
      <c r="I497" t="s">
        <v>84</v>
      </c>
      <c r="K497" t="s">
        <v>1694</v>
      </c>
      <c r="L497" t="s">
        <v>2579</v>
      </c>
      <c r="M497" t="s">
        <v>2619</v>
      </c>
      <c r="N497" t="s">
        <v>88</v>
      </c>
    </row>
    <row r="498" spans="1:14" x14ac:dyDescent="0.25">
      <c r="A498" s="41" t="str">
        <f>Table1[[#This Row],[Route]]&amp;TEXT(Table1[[#This Row],[SegmentID]],"00")</f>
        <v>070A65</v>
      </c>
      <c r="B498" t="s">
        <v>776</v>
      </c>
      <c r="D498">
        <f>IFERROR(ROUND(VLOOKUP(Table1[[#This Row],[Route]],SegmentsPerRoute!$C$3:$L$297,8,FALSE)+(Table1[[#This Row],[Sequence]]-1)*VLOOKUP(Table1[[#This Row],[Route]],SegmentsPerRoute!$C$3:$L$297,10,FALSE),0), 0)</f>
        <v>65</v>
      </c>
      <c r="E498">
        <f t="shared" si="3"/>
        <v>60</v>
      </c>
      <c r="F498" s="1">
        <v>278.92</v>
      </c>
      <c r="G498" t="s">
        <v>84</v>
      </c>
      <c r="H498" s="1">
        <v>283</v>
      </c>
      <c r="I498" t="s">
        <v>332</v>
      </c>
      <c r="K498" t="s">
        <v>1694</v>
      </c>
      <c r="L498" t="s">
        <v>2580</v>
      </c>
      <c r="M498" t="s">
        <v>2618</v>
      </c>
    </row>
    <row r="499" spans="1:14" x14ac:dyDescent="0.25">
      <c r="A499" s="41" t="str">
        <f>Table1[[#This Row],[Route]]&amp;TEXT(Table1[[#This Row],[SegmentID]],"00")</f>
        <v>070A66</v>
      </c>
      <c r="B499" t="s">
        <v>776</v>
      </c>
      <c r="D499">
        <f>IFERROR(ROUND(VLOOKUP(Table1[[#This Row],[Route]],SegmentsPerRoute!$C$3:$L$297,8,FALSE)+(Table1[[#This Row],[Sequence]]-1)*VLOOKUP(Table1[[#This Row],[Route]],SegmentsPerRoute!$C$3:$L$297,10,FALSE),0), 0)</f>
        <v>66</v>
      </c>
      <c r="E499">
        <f t="shared" si="3"/>
        <v>61</v>
      </c>
      <c r="F499" s="1">
        <v>283</v>
      </c>
      <c r="G499" t="s">
        <v>332</v>
      </c>
      <c r="H499" s="1">
        <v>288.21899999999999</v>
      </c>
      <c r="I499" t="s">
        <v>819</v>
      </c>
      <c r="K499" t="s">
        <v>1694</v>
      </c>
      <c r="L499" t="s">
        <v>2581</v>
      </c>
      <c r="M499" t="s">
        <v>2617</v>
      </c>
    </row>
    <row r="500" spans="1:14" x14ac:dyDescent="0.25">
      <c r="A500" s="41" t="str">
        <f>Table1[[#This Row],[Route]]&amp;TEXT(Table1[[#This Row],[SegmentID]],"00")</f>
        <v>070A68</v>
      </c>
      <c r="B500" t="s">
        <v>776</v>
      </c>
      <c r="D500">
        <f>IFERROR(ROUND(VLOOKUP(Table1[[#This Row],[Route]],SegmentsPerRoute!$C$3:$L$297,8,FALSE)+(Table1[[#This Row],[Sequence]]-1)*VLOOKUP(Table1[[#This Row],[Route]],SegmentsPerRoute!$C$3:$L$297,10,FALSE),0), 0)</f>
        <v>68</v>
      </c>
      <c r="E500">
        <f>E499+2</f>
        <v>63</v>
      </c>
      <c r="F500" s="1">
        <v>288.21899999999999</v>
      </c>
      <c r="G500" t="s">
        <v>819</v>
      </c>
      <c r="H500" s="1">
        <v>289.16399999999999</v>
      </c>
      <c r="I500" t="s">
        <v>820</v>
      </c>
      <c r="K500" t="s">
        <v>1694</v>
      </c>
      <c r="L500" t="s">
        <v>2582</v>
      </c>
      <c r="M500" t="s">
        <v>2610</v>
      </c>
    </row>
    <row r="501" spans="1:14" x14ac:dyDescent="0.25">
      <c r="A501" s="41" t="str">
        <f>Table1[[#This Row],[Route]]&amp;TEXT(Table1[[#This Row],[SegmentID]],"00")</f>
        <v>070A69</v>
      </c>
      <c r="B501" t="s">
        <v>776</v>
      </c>
      <c r="D501">
        <f>IFERROR(ROUND(VLOOKUP(Table1[[#This Row],[Route]],SegmentsPerRoute!$C$3:$L$297,8,FALSE)+(Table1[[#This Row],[Sequence]]-1)*VLOOKUP(Table1[[#This Row],[Route]],SegmentsPerRoute!$C$3:$L$297,10,FALSE),0), 0)</f>
        <v>69</v>
      </c>
      <c r="E501">
        <f>E500+1</f>
        <v>64</v>
      </c>
      <c r="F501" s="1">
        <v>289.16399999999999</v>
      </c>
      <c r="G501" t="s">
        <v>820</v>
      </c>
      <c r="H501" s="1">
        <v>292.12799999999999</v>
      </c>
      <c r="I501" t="s">
        <v>2029</v>
      </c>
      <c r="K501" t="s">
        <v>1694</v>
      </c>
      <c r="L501" t="s">
        <v>2582</v>
      </c>
      <c r="M501" t="s">
        <v>2610</v>
      </c>
    </row>
    <row r="502" spans="1:14" x14ac:dyDescent="0.25">
      <c r="A502" s="41" t="str">
        <f>Table1[[#This Row],[Route]]&amp;TEXT(Table1[[#This Row],[SegmentID]],"00")</f>
        <v>070A72</v>
      </c>
      <c r="B502" t="s">
        <v>776</v>
      </c>
      <c r="D502">
        <f>IFERROR(ROUND(VLOOKUP(Table1[[#This Row],[Route]],SegmentsPerRoute!$C$3:$L$297,8,FALSE)+(Table1[[#This Row],[Sequence]]-1)*VLOOKUP(Table1[[#This Row],[Route]],SegmentsPerRoute!$C$3:$L$297,10,FALSE),0), 0)</f>
        <v>72</v>
      </c>
      <c r="E502">
        <f>E501+2</f>
        <v>66</v>
      </c>
      <c r="F502" s="1">
        <v>292.12799999999999</v>
      </c>
      <c r="G502" t="s">
        <v>2029</v>
      </c>
      <c r="H502" s="1">
        <v>295.25599999999997</v>
      </c>
      <c r="I502" t="s">
        <v>479</v>
      </c>
      <c r="K502" t="s">
        <v>1694</v>
      </c>
      <c r="L502" t="s">
        <v>2583</v>
      </c>
      <c r="M502" t="s">
        <v>2616</v>
      </c>
    </row>
    <row r="503" spans="1:14" x14ac:dyDescent="0.25">
      <c r="A503" s="41" t="str">
        <f>Table1[[#This Row],[Route]]&amp;TEXT(Table1[[#This Row],[SegmentID]],"00")</f>
        <v>070A73</v>
      </c>
      <c r="B503" t="s">
        <v>776</v>
      </c>
      <c r="D503">
        <f>IFERROR(ROUND(VLOOKUP(Table1[[#This Row],[Route]],SegmentsPerRoute!$C$3:$L$297,8,FALSE)+(Table1[[#This Row],[Sequence]]-1)*VLOOKUP(Table1[[#This Row],[Route]],SegmentsPerRoute!$C$3:$L$297,10,FALSE),0), 0)</f>
        <v>73</v>
      </c>
      <c r="E503">
        <f>E502+1</f>
        <v>67</v>
      </c>
      <c r="F503" s="1">
        <v>295.25599999999997</v>
      </c>
      <c r="G503" t="s">
        <v>479</v>
      </c>
      <c r="H503" s="1">
        <v>304.36</v>
      </c>
      <c r="I503" t="s">
        <v>821</v>
      </c>
      <c r="K503" t="s">
        <v>1694</v>
      </c>
      <c r="L503" t="s">
        <v>2584</v>
      </c>
      <c r="M503" t="s">
        <v>2615</v>
      </c>
    </row>
    <row r="504" spans="1:14" x14ac:dyDescent="0.25">
      <c r="A504" s="41" t="str">
        <f>Table1[[#This Row],[Route]]&amp;TEXT(Table1[[#This Row],[SegmentID]],"00")</f>
        <v>070A76</v>
      </c>
      <c r="B504" t="s">
        <v>776</v>
      </c>
      <c r="D504">
        <f>IFERROR(ROUND(VLOOKUP(Table1[[#This Row],[Route]],SegmentsPerRoute!$C$3:$L$297,8,FALSE)+(Table1[[#This Row],[Sequence]]-1)*VLOOKUP(Table1[[#This Row],[Route]],SegmentsPerRoute!$C$3:$L$297,10,FALSE),0), 0)</f>
        <v>76</v>
      </c>
      <c r="E504">
        <f>E503+3</f>
        <v>70</v>
      </c>
      <c r="F504" s="1">
        <v>304.36</v>
      </c>
      <c r="G504" t="s">
        <v>821</v>
      </c>
      <c r="H504" s="1">
        <v>305.78399999999999</v>
      </c>
      <c r="I504" t="s">
        <v>822</v>
      </c>
      <c r="K504" t="s">
        <v>1694</v>
      </c>
      <c r="L504" t="s">
        <v>2585</v>
      </c>
      <c r="M504" t="s">
        <v>2614</v>
      </c>
      <c r="N504" t="s">
        <v>488</v>
      </c>
    </row>
    <row r="505" spans="1:14" x14ac:dyDescent="0.25">
      <c r="A505" s="41" t="str">
        <f>Table1[[#This Row],[Route]]&amp;TEXT(Table1[[#This Row],[SegmentID]],"00")</f>
        <v>070A77</v>
      </c>
      <c r="B505" t="s">
        <v>776</v>
      </c>
      <c r="D505">
        <f>IFERROR(ROUND(VLOOKUP(Table1[[#This Row],[Route]],SegmentsPerRoute!$C$3:$L$297,8,FALSE)+(Table1[[#This Row],[Sequence]]-1)*VLOOKUP(Table1[[#This Row],[Route]],SegmentsPerRoute!$C$3:$L$297,10,FALSE),0), 0)</f>
        <v>77</v>
      </c>
      <c r="E505">
        <f>E504+1</f>
        <v>71</v>
      </c>
      <c r="F505" s="1">
        <v>305.78399999999999</v>
      </c>
      <c r="G505" t="s">
        <v>822</v>
      </c>
      <c r="H505" s="1">
        <v>310.16500000000002</v>
      </c>
      <c r="I505" t="s">
        <v>489</v>
      </c>
      <c r="K505" t="s">
        <v>1694</v>
      </c>
      <c r="L505" t="s">
        <v>2586</v>
      </c>
      <c r="M505" t="s">
        <v>2613</v>
      </c>
    </row>
    <row r="506" spans="1:14" x14ac:dyDescent="0.25">
      <c r="A506" s="41" t="str">
        <f>Table1[[#This Row],[Route]]&amp;TEXT(Table1[[#This Row],[SegmentID]],"00")</f>
        <v>070A79</v>
      </c>
      <c r="B506" t="s">
        <v>776</v>
      </c>
      <c r="D506">
        <f>IFERROR(ROUND(VLOOKUP(Table1[[#This Row],[Route]],SegmentsPerRoute!$C$3:$L$297,8,FALSE)+(Table1[[#This Row],[Sequence]]-1)*VLOOKUP(Table1[[#This Row],[Route]],SegmentsPerRoute!$C$3:$L$297,10,FALSE),0), 0)</f>
        <v>79</v>
      </c>
      <c r="E506">
        <f>E505+2</f>
        <v>73</v>
      </c>
      <c r="F506" s="1">
        <v>310.16500000000002</v>
      </c>
      <c r="G506" t="s">
        <v>489</v>
      </c>
      <c r="H506" s="1">
        <v>315.91300000000001</v>
      </c>
      <c r="I506" t="s">
        <v>823</v>
      </c>
      <c r="K506" t="s">
        <v>1694</v>
      </c>
      <c r="L506" t="s">
        <v>2587</v>
      </c>
      <c r="M506" t="s">
        <v>2612</v>
      </c>
    </row>
    <row r="507" spans="1:14" x14ac:dyDescent="0.25">
      <c r="A507" s="41" t="str">
        <f>Table1[[#This Row],[Route]]&amp;TEXT(Table1[[#This Row],[SegmentID]],"00")</f>
        <v>070A81</v>
      </c>
      <c r="B507" t="s">
        <v>776</v>
      </c>
      <c r="D507">
        <f>IFERROR(ROUND(VLOOKUP(Table1[[#This Row],[Route]],SegmentsPerRoute!$C$3:$L$297,8,FALSE)+(Table1[[#This Row],[Sequence]]-1)*VLOOKUP(Table1[[#This Row],[Route]],SegmentsPerRoute!$C$3:$L$297,10,FALSE),0), 0)</f>
        <v>81</v>
      </c>
      <c r="E507">
        <f>E506+2</f>
        <v>75</v>
      </c>
      <c r="F507" s="1">
        <v>315.91300000000001</v>
      </c>
      <c r="G507" t="s">
        <v>823</v>
      </c>
      <c r="H507" s="14">
        <v>322.08600000000001</v>
      </c>
      <c r="I507" s="10" t="s">
        <v>1718</v>
      </c>
      <c r="K507" s="10" t="s">
        <v>1694</v>
      </c>
      <c r="L507" s="10" t="s">
        <v>2582</v>
      </c>
      <c r="M507" s="10" t="s">
        <v>2610</v>
      </c>
    </row>
    <row r="508" spans="1:14" x14ac:dyDescent="0.25">
      <c r="A508" s="41" t="str">
        <f>Table1[[#This Row],[Route]]&amp;TEXT(Table1[[#This Row],[SegmentID]],"00")</f>
        <v>070A83</v>
      </c>
      <c r="B508" t="s">
        <v>776</v>
      </c>
      <c r="D508">
        <f>IFERROR(ROUND(VLOOKUP(Table1[[#This Row],[Route]],SegmentsPerRoute!$C$3:$L$297,8,FALSE)+(Table1[[#This Row],[Sequence]]-1)*VLOOKUP(Table1[[#This Row],[Route]],SegmentsPerRoute!$C$3:$L$297,10,FALSE),0), 0)</f>
        <v>83</v>
      </c>
      <c r="E508">
        <f t="shared" ref="E508:E521" si="4">E507+1</f>
        <v>76</v>
      </c>
      <c r="F508" s="1">
        <v>322.08600000000001</v>
      </c>
      <c r="G508" t="s">
        <v>1718</v>
      </c>
      <c r="H508" s="1">
        <v>328.32900000000001</v>
      </c>
      <c r="I508" t="s">
        <v>567</v>
      </c>
      <c r="K508" s="10" t="s">
        <v>1694</v>
      </c>
      <c r="L508" s="10" t="s">
        <v>2588</v>
      </c>
      <c r="M508" s="10" t="s">
        <v>2611</v>
      </c>
    </row>
    <row r="509" spans="1:14" x14ac:dyDescent="0.25">
      <c r="A509" s="41" t="str">
        <f>Table1[[#This Row],[Route]]&amp;TEXT(Table1[[#This Row],[SegmentID]],"00")</f>
        <v>070A84</v>
      </c>
      <c r="B509" t="s">
        <v>776</v>
      </c>
      <c r="D509">
        <f>IFERROR(ROUND(VLOOKUP(Table1[[#This Row],[Route]],SegmentsPerRoute!$C$3:$L$297,8,FALSE)+(Table1[[#This Row],[Sequence]]-1)*VLOOKUP(Table1[[#This Row],[Route]],SegmentsPerRoute!$C$3:$L$297,10,FALSE),0), 0)</f>
        <v>84</v>
      </c>
      <c r="E509">
        <f t="shared" si="4"/>
        <v>77</v>
      </c>
      <c r="F509" s="1">
        <v>328.32900000000001</v>
      </c>
      <c r="G509" t="s">
        <v>567</v>
      </c>
      <c r="H509" s="27">
        <v>336.78699999999998</v>
      </c>
      <c r="I509" s="28" t="s">
        <v>1719</v>
      </c>
      <c r="J509" s="28"/>
      <c r="K509" s="10" t="s">
        <v>1694</v>
      </c>
      <c r="L509" s="10" t="s">
        <v>2582</v>
      </c>
      <c r="M509" s="10" t="s">
        <v>2610</v>
      </c>
    </row>
    <row r="510" spans="1:14" x14ac:dyDescent="0.25">
      <c r="A510" s="41" t="str">
        <f>Table1[[#This Row],[Route]]&amp;TEXT(Table1[[#This Row],[SegmentID]],"00")</f>
        <v>070A85</v>
      </c>
      <c r="B510" t="s">
        <v>776</v>
      </c>
      <c r="D510">
        <f>IFERROR(ROUND(VLOOKUP(Table1[[#This Row],[Route]],SegmentsPerRoute!$C$3:$L$297,8,FALSE)+(Table1[[#This Row],[Sequence]]-1)*VLOOKUP(Table1[[#This Row],[Route]],SegmentsPerRoute!$C$3:$L$297,10,FALSE),0), 0)</f>
        <v>85</v>
      </c>
      <c r="E510">
        <f t="shared" si="4"/>
        <v>78</v>
      </c>
      <c r="F510" s="1">
        <v>336.78699999999998</v>
      </c>
      <c r="G510" t="s">
        <v>1719</v>
      </c>
      <c r="H510" s="1">
        <v>340.35399999999998</v>
      </c>
      <c r="I510" t="s">
        <v>571</v>
      </c>
      <c r="K510" s="10" t="s">
        <v>1694</v>
      </c>
      <c r="L510" s="10" t="s">
        <v>2582</v>
      </c>
      <c r="M510" s="10" t="s">
        <v>2610</v>
      </c>
    </row>
    <row r="511" spans="1:14" x14ac:dyDescent="0.25">
      <c r="A511" s="41" t="str">
        <f>Table1[[#This Row],[Route]]&amp;TEXT(Table1[[#This Row],[SegmentID]],"00")</f>
        <v>070A86</v>
      </c>
      <c r="B511" t="s">
        <v>776</v>
      </c>
      <c r="D511">
        <f>IFERROR(ROUND(VLOOKUP(Table1[[#This Row],[Route]],SegmentsPerRoute!$C$3:$L$297,8,FALSE)+(Table1[[#This Row],[Sequence]]-1)*VLOOKUP(Table1[[#This Row],[Route]],SegmentsPerRoute!$C$3:$L$297,10,FALSE),0), 0)</f>
        <v>86</v>
      </c>
      <c r="E511">
        <f t="shared" si="4"/>
        <v>79</v>
      </c>
      <c r="F511" s="1">
        <v>340.35399999999998</v>
      </c>
      <c r="G511" t="s">
        <v>571</v>
      </c>
      <c r="H511" s="1">
        <v>352.34</v>
      </c>
      <c r="I511" t="s">
        <v>824</v>
      </c>
      <c r="K511" t="s">
        <v>1694</v>
      </c>
      <c r="L511" t="s">
        <v>2582</v>
      </c>
      <c r="M511" t="s">
        <v>2610</v>
      </c>
    </row>
    <row r="512" spans="1:14" x14ac:dyDescent="0.25">
      <c r="A512" s="41" t="str">
        <f>Table1[[#This Row],[Route]]&amp;TEXT(Table1[[#This Row],[SegmentID]],"00")</f>
        <v>070A87</v>
      </c>
      <c r="B512" t="s">
        <v>776</v>
      </c>
      <c r="D512">
        <f>IFERROR(ROUND(VLOOKUP(Table1[[#This Row],[Route]],SegmentsPerRoute!$C$3:$L$297,8,FALSE)+(Table1[[#This Row],[Sequence]]-1)*VLOOKUP(Table1[[#This Row],[Route]],SegmentsPerRoute!$C$3:$L$297,10,FALSE),0), 0)</f>
        <v>87</v>
      </c>
      <c r="E512">
        <f t="shared" si="4"/>
        <v>80</v>
      </c>
      <c r="F512" s="1">
        <v>352.34</v>
      </c>
      <c r="G512" t="s">
        <v>824</v>
      </c>
      <c r="H512" s="1">
        <v>359.49900000000002</v>
      </c>
      <c r="I512" t="s">
        <v>825</v>
      </c>
      <c r="K512" t="s">
        <v>1694</v>
      </c>
      <c r="L512" t="s">
        <v>2589</v>
      </c>
      <c r="M512" t="s">
        <v>2609</v>
      </c>
    </row>
    <row r="513" spans="1:14" x14ac:dyDescent="0.25">
      <c r="A513" s="41" t="str">
        <f>Table1[[#This Row],[Route]]&amp;TEXT(Table1[[#This Row],[SegmentID]],"00")</f>
        <v>070A88</v>
      </c>
      <c r="B513" t="s">
        <v>776</v>
      </c>
      <c r="D513">
        <f>IFERROR(ROUND(VLOOKUP(Table1[[#This Row],[Route]],SegmentsPerRoute!$C$3:$L$297,8,FALSE)+(Table1[[#This Row],[Sequence]]-1)*VLOOKUP(Table1[[#This Row],[Route]],SegmentsPerRoute!$C$3:$L$297,10,FALSE),0), 0)</f>
        <v>88</v>
      </c>
      <c r="E513">
        <f t="shared" si="4"/>
        <v>81</v>
      </c>
      <c r="F513" s="1">
        <v>359.49900000000002</v>
      </c>
      <c r="G513" t="s">
        <v>825</v>
      </c>
      <c r="H513" s="1">
        <v>361.74299999999999</v>
      </c>
      <c r="I513" t="s">
        <v>826</v>
      </c>
      <c r="K513" t="s">
        <v>1694</v>
      </c>
      <c r="L513" t="s">
        <v>2590</v>
      </c>
      <c r="M513" t="s">
        <v>2608</v>
      </c>
    </row>
    <row r="514" spans="1:14" x14ac:dyDescent="0.25">
      <c r="A514" s="41" t="str">
        <f>Table1[[#This Row],[Route]]&amp;TEXT(Table1[[#This Row],[SegmentID]],"00")</f>
        <v>070A89</v>
      </c>
      <c r="B514" t="s">
        <v>776</v>
      </c>
      <c r="D514">
        <f>IFERROR(ROUND(VLOOKUP(Table1[[#This Row],[Route]],SegmentsPerRoute!$C$3:$L$297,8,FALSE)+(Table1[[#This Row],[Sequence]]-1)*VLOOKUP(Table1[[#This Row],[Route]],SegmentsPerRoute!$C$3:$L$297,10,FALSE),0), 0)</f>
        <v>89</v>
      </c>
      <c r="E514">
        <f t="shared" si="4"/>
        <v>82</v>
      </c>
      <c r="F514" s="1">
        <v>361.74299999999999</v>
      </c>
      <c r="G514" t="s">
        <v>826</v>
      </c>
      <c r="H514" s="1">
        <v>363.02499999999998</v>
      </c>
      <c r="I514" t="s">
        <v>827</v>
      </c>
      <c r="K514" t="s">
        <v>1694</v>
      </c>
      <c r="L514" t="s">
        <v>2591</v>
      </c>
      <c r="M514" t="s">
        <v>2607</v>
      </c>
    </row>
    <row r="515" spans="1:14" x14ac:dyDescent="0.25">
      <c r="A515" s="41" t="str">
        <f>Table1[[#This Row],[Route]]&amp;TEXT(Table1[[#This Row],[SegmentID]],"00")</f>
        <v>070A90</v>
      </c>
      <c r="B515" t="s">
        <v>776</v>
      </c>
      <c r="D515">
        <f>IFERROR(ROUND(VLOOKUP(Table1[[#This Row],[Route]],SegmentsPerRoute!$C$3:$L$297,8,FALSE)+(Table1[[#This Row],[Sequence]]-1)*VLOOKUP(Table1[[#This Row],[Route]],SegmentsPerRoute!$C$3:$L$297,10,FALSE),0), 0)</f>
        <v>90</v>
      </c>
      <c r="E515">
        <f t="shared" si="4"/>
        <v>83</v>
      </c>
      <c r="F515" s="1">
        <v>363.02499999999998</v>
      </c>
      <c r="G515" t="s">
        <v>827</v>
      </c>
      <c r="H515" s="1">
        <v>405.065</v>
      </c>
      <c r="I515" t="s">
        <v>275</v>
      </c>
      <c r="K515" t="s">
        <v>1694</v>
      </c>
      <c r="L515" t="s">
        <v>2592</v>
      </c>
      <c r="M515" t="s">
        <v>2606</v>
      </c>
      <c r="N515" t="s">
        <v>835</v>
      </c>
    </row>
    <row r="516" spans="1:14" x14ac:dyDescent="0.25">
      <c r="A516" s="41" t="str">
        <f>Table1[[#This Row],[Route]]&amp;TEXT(Table1[[#This Row],[SegmentID]],"00")</f>
        <v>070A94</v>
      </c>
      <c r="B516" t="s">
        <v>776</v>
      </c>
      <c r="D516">
        <f>IFERROR(ROUND(VLOOKUP(Table1[[#This Row],[Route]],SegmentsPerRoute!$C$3:$L$297,8,FALSE)+(Table1[[#This Row],[Sequence]]-1)*VLOOKUP(Table1[[#This Row],[Route]],SegmentsPerRoute!$C$3:$L$297,10,FALSE),0), 0)</f>
        <v>94</v>
      </c>
      <c r="E516">
        <f>E515+3</f>
        <v>86</v>
      </c>
      <c r="F516" s="1">
        <v>405.065</v>
      </c>
      <c r="G516" t="s">
        <v>275</v>
      </c>
      <c r="H516" s="1">
        <v>411.96100000000001</v>
      </c>
      <c r="I516" t="s">
        <v>276</v>
      </c>
      <c r="K516" t="s">
        <v>1694</v>
      </c>
      <c r="L516" t="s">
        <v>2593</v>
      </c>
      <c r="M516" t="s">
        <v>2605</v>
      </c>
    </row>
    <row r="517" spans="1:14" x14ac:dyDescent="0.25">
      <c r="A517" s="41" t="str">
        <f>Table1[[#This Row],[Route]]&amp;TEXT(Table1[[#This Row],[SegmentID]],"00")</f>
        <v>070A95</v>
      </c>
      <c r="B517" t="s">
        <v>776</v>
      </c>
      <c r="D517">
        <f>IFERROR(ROUND(VLOOKUP(Table1[[#This Row],[Route]],SegmentsPerRoute!$C$3:$L$297,8,FALSE)+(Table1[[#This Row],[Sequence]]-1)*VLOOKUP(Table1[[#This Row],[Route]],SegmentsPerRoute!$C$3:$L$297,10,FALSE),0), 0)</f>
        <v>95</v>
      </c>
      <c r="E517">
        <f t="shared" si="4"/>
        <v>87</v>
      </c>
      <c r="F517" s="1">
        <v>411.96100000000001</v>
      </c>
      <c r="G517" t="s">
        <v>276</v>
      </c>
      <c r="H517" s="1">
        <v>419.31099999999998</v>
      </c>
      <c r="I517" t="s">
        <v>277</v>
      </c>
      <c r="K517" t="s">
        <v>1694</v>
      </c>
      <c r="L517" t="s">
        <v>2594</v>
      </c>
      <c r="M517" t="s">
        <v>2604</v>
      </c>
    </row>
    <row r="518" spans="1:14" x14ac:dyDescent="0.25">
      <c r="A518" s="41" t="str">
        <f>Table1[[#This Row],[Route]]&amp;TEXT(Table1[[#This Row],[SegmentID]],"00")</f>
        <v>070A96</v>
      </c>
      <c r="B518" t="s">
        <v>776</v>
      </c>
      <c r="D518">
        <f>IFERROR(ROUND(VLOOKUP(Table1[[#This Row],[Route]],SegmentsPerRoute!$C$3:$L$297,8,FALSE)+(Table1[[#This Row],[Sequence]]-1)*VLOOKUP(Table1[[#This Row],[Route]],SegmentsPerRoute!$C$3:$L$297,10,FALSE),0), 0)</f>
        <v>96</v>
      </c>
      <c r="E518">
        <f t="shared" si="4"/>
        <v>88</v>
      </c>
      <c r="F518" s="1">
        <v>419.31099999999998</v>
      </c>
      <c r="G518" t="s">
        <v>277</v>
      </c>
      <c r="H518" s="1">
        <v>428.82400000000001</v>
      </c>
      <c r="I518" t="s">
        <v>2595</v>
      </c>
      <c r="K518" t="s">
        <v>1694</v>
      </c>
      <c r="L518" t="s">
        <v>2596</v>
      </c>
      <c r="M518" t="s">
        <v>2603</v>
      </c>
    </row>
    <row r="519" spans="1:14" x14ac:dyDescent="0.25">
      <c r="A519" s="41" t="str">
        <f>Table1[[#This Row],[Route]]&amp;TEXT(Table1[[#This Row],[SegmentID]],"00")</f>
        <v>070A97</v>
      </c>
      <c r="B519" t="s">
        <v>776</v>
      </c>
      <c r="D519">
        <f>IFERROR(ROUND(VLOOKUP(Table1[[#This Row],[Route]],SegmentsPerRoute!$C$3:$L$297,8,FALSE)+(Table1[[#This Row],[Sequence]]-1)*VLOOKUP(Table1[[#This Row],[Route]],SegmentsPerRoute!$C$3:$L$297,10,FALSE),0), 0)</f>
        <v>97</v>
      </c>
      <c r="E519">
        <f t="shared" si="4"/>
        <v>89</v>
      </c>
      <c r="F519" s="1">
        <v>428.82400000000001</v>
      </c>
      <c r="G519" t="s">
        <v>2595</v>
      </c>
      <c r="H519" s="1">
        <v>436.78800000000001</v>
      </c>
      <c r="I519" t="s">
        <v>281</v>
      </c>
      <c r="K519" t="s">
        <v>1694</v>
      </c>
      <c r="L519" t="s">
        <v>2597</v>
      </c>
      <c r="M519" t="s">
        <v>2602</v>
      </c>
    </row>
    <row r="520" spans="1:14" x14ac:dyDescent="0.25">
      <c r="A520" s="41" t="str">
        <f>Table1[[#This Row],[Route]]&amp;TEXT(Table1[[#This Row],[SegmentID]],"00")</f>
        <v>070A98</v>
      </c>
      <c r="B520" t="s">
        <v>776</v>
      </c>
      <c r="D520">
        <f>IFERROR(ROUND(VLOOKUP(Table1[[#This Row],[Route]],SegmentsPerRoute!$C$3:$L$297,8,FALSE)+(Table1[[#This Row],[Sequence]]-1)*VLOOKUP(Table1[[#This Row],[Route]],SegmentsPerRoute!$C$3:$L$297,10,FALSE),0), 0)</f>
        <v>98</v>
      </c>
      <c r="E520">
        <f t="shared" si="4"/>
        <v>90</v>
      </c>
      <c r="F520" s="1">
        <v>436.78800000000001</v>
      </c>
      <c r="G520" t="s">
        <v>281</v>
      </c>
      <c r="H520" s="1">
        <v>438.22500000000002</v>
      </c>
      <c r="I520" t="s">
        <v>828</v>
      </c>
      <c r="K520" t="s">
        <v>1694</v>
      </c>
      <c r="L520" t="s">
        <v>2598</v>
      </c>
      <c r="M520" t="s">
        <v>2601</v>
      </c>
    </row>
    <row r="521" spans="1:14" x14ac:dyDescent="0.25">
      <c r="A521" s="41" t="str">
        <f>Table1[[#This Row],[Route]]&amp;TEXT(Table1[[#This Row],[SegmentID]],"00")</f>
        <v>070A99</v>
      </c>
      <c r="B521" t="s">
        <v>776</v>
      </c>
      <c r="D521">
        <f>IFERROR(ROUND(VLOOKUP(Table1[[#This Row],[Route]],SegmentsPerRoute!$C$3:$L$297,8,FALSE)+(Table1[[#This Row],[Sequence]]-1)*VLOOKUP(Table1[[#This Row],[Route]],SegmentsPerRoute!$C$3:$L$297,10,FALSE),0), 0)</f>
        <v>99</v>
      </c>
      <c r="E521">
        <f t="shared" si="4"/>
        <v>91</v>
      </c>
      <c r="F521" s="1">
        <v>438.22500000000002</v>
      </c>
      <c r="G521" t="s">
        <v>828</v>
      </c>
      <c r="H521" s="1">
        <v>449.589</v>
      </c>
      <c r="I521" t="s">
        <v>250</v>
      </c>
      <c r="K521" t="s">
        <v>1694</v>
      </c>
      <c r="L521" t="s">
        <v>2599</v>
      </c>
      <c r="M521" t="s">
        <v>2600</v>
      </c>
    </row>
    <row r="522" spans="1:14" x14ac:dyDescent="0.25">
      <c r="A522" s="41" t="str">
        <f>Table1[[#This Row],[Route]]&amp;TEXT(Table1[[#This Row],[SegmentID]],"00")</f>
        <v>070B15</v>
      </c>
      <c r="B522" t="s">
        <v>836</v>
      </c>
      <c r="C522" s="3" t="s">
        <v>844</v>
      </c>
      <c r="D522">
        <f>IFERROR(ROUND(VLOOKUP(Table1[[#This Row],[Route]],SegmentsPerRoute!$C$3:$L$297,8,FALSE)+(Table1[[#This Row],[Sequence]]-1)*VLOOKUP(Table1[[#This Row],[Route]],SegmentsPerRoute!$C$3:$L$297,10,FALSE),0), 0)</f>
        <v>15</v>
      </c>
      <c r="E522">
        <v>1</v>
      </c>
      <c r="F522" s="1">
        <v>0</v>
      </c>
      <c r="G522" t="s">
        <v>837</v>
      </c>
      <c r="H522" s="1">
        <v>4.367</v>
      </c>
      <c r="I522" t="s">
        <v>838</v>
      </c>
      <c r="K522" t="s">
        <v>1707</v>
      </c>
      <c r="L522" t="s">
        <v>2654</v>
      </c>
      <c r="M522" t="s">
        <v>2663</v>
      </c>
      <c r="N522" t="s">
        <v>48</v>
      </c>
    </row>
    <row r="523" spans="1:14" x14ac:dyDescent="0.25">
      <c r="A523" s="41" t="str">
        <f>Table1[[#This Row],[Route]]&amp;TEXT(Table1[[#This Row],[SegmentID]],"00")</f>
        <v>070B24</v>
      </c>
      <c r="B523" t="s">
        <v>836</v>
      </c>
      <c r="C523" s="3" t="s">
        <v>844</v>
      </c>
      <c r="D523">
        <f>IFERROR(ROUND(VLOOKUP(Table1[[#This Row],[Route]],SegmentsPerRoute!$C$3:$L$297,8,FALSE)+(Table1[[#This Row],[Sequence]]-1)*VLOOKUP(Table1[[#This Row],[Route]],SegmentsPerRoute!$C$3:$L$297,10,FALSE),0), 0)</f>
        <v>24</v>
      </c>
      <c r="E523">
        <v>2</v>
      </c>
      <c r="F523" s="1">
        <v>4.367</v>
      </c>
      <c r="G523" t="s">
        <v>838</v>
      </c>
      <c r="H523" s="1">
        <v>4.952</v>
      </c>
      <c r="I523" t="s">
        <v>839</v>
      </c>
      <c r="K523" t="s">
        <v>1707</v>
      </c>
      <c r="L523" t="s">
        <v>2655</v>
      </c>
      <c r="M523" t="s">
        <v>2662</v>
      </c>
      <c r="N523" t="s">
        <v>48</v>
      </c>
    </row>
    <row r="524" spans="1:14" x14ac:dyDescent="0.25">
      <c r="A524" s="41" t="str">
        <f>Table1[[#This Row],[Route]]&amp;TEXT(Table1[[#This Row],[SegmentID]],"00")</f>
        <v>070B33</v>
      </c>
      <c r="B524" t="s">
        <v>836</v>
      </c>
      <c r="C524" s="3" t="s">
        <v>844</v>
      </c>
      <c r="D524">
        <f>IFERROR(ROUND(VLOOKUP(Table1[[#This Row],[Route]],SegmentsPerRoute!$C$3:$L$297,8,FALSE)+(Table1[[#This Row],[Sequence]]-1)*VLOOKUP(Table1[[#This Row],[Route]],SegmentsPerRoute!$C$3:$L$297,10,FALSE),0), 0)</f>
        <v>33</v>
      </c>
      <c r="E524">
        <v>3</v>
      </c>
      <c r="F524" s="1">
        <v>4.952</v>
      </c>
      <c r="G524" t="s">
        <v>839</v>
      </c>
      <c r="H524" s="1">
        <v>5.2629999999999999</v>
      </c>
      <c r="I524" t="s">
        <v>841</v>
      </c>
      <c r="K524" t="s">
        <v>1707</v>
      </c>
      <c r="L524" t="s">
        <v>2655</v>
      </c>
      <c r="M524" t="s">
        <v>2662</v>
      </c>
      <c r="N524" t="s">
        <v>48</v>
      </c>
    </row>
    <row r="525" spans="1:14" x14ac:dyDescent="0.25">
      <c r="A525" s="41" t="str">
        <f>Table1[[#This Row],[Route]]&amp;TEXT(Table1[[#This Row],[SegmentID]],"00")</f>
        <v>070B41</v>
      </c>
      <c r="B525" t="s">
        <v>836</v>
      </c>
      <c r="C525" s="3" t="s">
        <v>844</v>
      </c>
      <c r="D525">
        <f>IFERROR(ROUND(VLOOKUP(Table1[[#This Row],[Route]],SegmentsPerRoute!$C$3:$L$297,8,FALSE)+(Table1[[#This Row],[Sequence]]-1)*VLOOKUP(Table1[[#This Row],[Route]],SegmentsPerRoute!$C$3:$L$297,10,FALSE),0), 0)</f>
        <v>41</v>
      </c>
      <c r="E525">
        <v>4</v>
      </c>
      <c r="F525" s="1">
        <v>5.2629999999999999</v>
      </c>
      <c r="G525" t="s">
        <v>841</v>
      </c>
      <c r="H525" s="1">
        <v>5.6609999999999996</v>
      </c>
      <c r="I525" t="s">
        <v>840</v>
      </c>
      <c r="K525" t="s">
        <v>1707</v>
      </c>
      <c r="L525" t="s">
        <v>2655</v>
      </c>
      <c r="M525" t="s">
        <v>2656</v>
      </c>
      <c r="N525" t="s">
        <v>48</v>
      </c>
    </row>
    <row r="526" spans="1:14" x14ac:dyDescent="0.25">
      <c r="A526" s="41" t="str">
        <f>Table1[[#This Row],[Route]]&amp;TEXT(Table1[[#This Row],[SegmentID]],"00")</f>
        <v>070B50</v>
      </c>
      <c r="B526" t="s">
        <v>836</v>
      </c>
      <c r="C526" s="3" t="s">
        <v>845</v>
      </c>
      <c r="D526">
        <f>IFERROR(ROUND(VLOOKUP(Table1[[#This Row],[Route]],SegmentsPerRoute!$C$3:$L$297,8,FALSE)+(Table1[[#This Row],[Sequence]]-1)*VLOOKUP(Table1[[#This Row],[Route]],SegmentsPerRoute!$C$3:$L$297,10,FALSE),0), 0)</f>
        <v>50</v>
      </c>
      <c r="E526">
        <v>5</v>
      </c>
      <c r="F526" s="1">
        <v>5.6609999999999996</v>
      </c>
      <c r="G526" t="s">
        <v>840</v>
      </c>
      <c r="H526" s="1">
        <v>6.5880000000000001</v>
      </c>
      <c r="I526" t="s">
        <v>841</v>
      </c>
      <c r="K526" t="s">
        <v>1707</v>
      </c>
      <c r="L526" t="s">
        <v>2657</v>
      </c>
      <c r="M526" t="s">
        <v>2656</v>
      </c>
      <c r="N526" t="s">
        <v>48</v>
      </c>
    </row>
    <row r="527" spans="1:14" x14ac:dyDescent="0.25">
      <c r="A527" s="41" t="str">
        <f>Table1[[#This Row],[Route]]&amp;TEXT(Table1[[#This Row],[SegmentID]],"00")</f>
        <v>070B59</v>
      </c>
      <c r="B527" t="s">
        <v>836</v>
      </c>
      <c r="C527" s="3" t="s">
        <v>845</v>
      </c>
      <c r="D527">
        <f>IFERROR(ROUND(VLOOKUP(Table1[[#This Row],[Route]],SegmentsPerRoute!$C$3:$L$297,8,FALSE)+(Table1[[#This Row],[Sequence]]-1)*VLOOKUP(Table1[[#This Row],[Route]],SegmentsPerRoute!$C$3:$L$297,10,FALSE),0), 0)</f>
        <v>59</v>
      </c>
      <c r="E527">
        <v>6</v>
      </c>
      <c r="F527" s="1">
        <v>6.5880000000000001</v>
      </c>
      <c r="G527" t="s">
        <v>841</v>
      </c>
      <c r="H527" s="1">
        <v>9.3079999999999998</v>
      </c>
      <c r="I527" t="s">
        <v>838</v>
      </c>
      <c r="K527" t="s">
        <v>1707</v>
      </c>
      <c r="L527" t="s">
        <v>2657</v>
      </c>
      <c r="M527" t="s">
        <v>2661</v>
      </c>
    </row>
    <row r="528" spans="1:14" x14ac:dyDescent="0.25">
      <c r="A528" s="41" t="str">
        <f>Table1[[#This Row],[Route]]&amp;TEXT(Table1[[#This Row],[SegmentID]],"00")</f>
        <v>070B68</v>
      </c>
      <c r="B528" t="s">
        <v>836</v>
      </c>
      <c r="C528" s="3" t="s">
        <v>845</v>
      </c>
      <c r="D528">
        <f>IFERROR(ROUND(VLOOKUP(Table1[[#This Row],[Route]],SegmentsPerRoute!$C$3:$L$297,8,FALSE)+(Table1[[#This Row],[Sequence]]-1)*VLOOKUP(Table1[[#This Row],[Route]],SegmentsPerRoute!$C$3:$L$297,10,FALSE),0), 0)</f>
        <v>68</v>
      </c>
      <c r="E528">
        <v>7</v>
      </c>
      <c r="F528" s="1">
        <v>9.3079999999999998</v>
      </c>
      <c r="G528" t="s">
        <v>838</v>
      </c>
      <c r="H528" s="1">
        <v>11.715999999999999</v>
      </c>
      <c r="I528" t="s">
        <v>605</v>
      </c>
      <c r="K528" t="s">
        <v>1707</v>
      </c>
      <c r="L528" t="s">
        <v>2658</v>
      </c>
      <c r="M528" t="s">
        <v>2661</v>
      </c>
    </row>
    <row r="529" spans="1:14" x14ac:dyDescent="0.25">
      <c r="A529" s="41" t="str">
        <f>Table1[[#This Row],[Route]]&amp;TEXT(Table1[[#This Row],[SegmentID]],"00")</f>
        <v>070B77</v>
      </c>
      <c r="B529" t="s">
        <v>836</v>
      </c>
      <c r="C529" s="3" t="s">
        <v>845</v>
      </c>
      <c r="D529">
        <f>IFERROR(ROUND(VLOOKUP(Table1[[#This Row],[Route]],SegmentsPerRoute!$C$3:$L$297,8,FALSE)+(Table1[[#This Row],[Sequence]]-1)*VLOOKUP(Table1[[#This Row],[Route]],SegmentsPerRoute!$C$3:$L$297,10,FALSE),0), 0)</f>
        <v>77</v>
      </c>
      <c r="E529">
        <v>8</v>
      </c>
      <c r="F529" s="1">
        <v>11.715999999999999</v>
      </c>
      <c r="G529" t="s">
        <v>605</v>
      </c>
      <c r="H529" s="1">
        <v>12.175000000000001</v>
      </c>
      <c r="I529" t="s">
        <v>842</v>
      </c>
      <c r="K529" t="s">
        <v>1707</v>
      </c>
      <c r="L529" t="s">
        <v>2659</v>
      </c>
      <c r="M529" t="s">
        <v>2660</v>
      </c>
    </row>
    <row r="530" spans="1:14" x14ac:dyDescent="0.25">
      <c r="A530" s="41" t="str">
        <f>Table1[[#This Row],[Route]]&amp;TEXT(Table1[[#This Row],[SegmentID]],"00")</f>
        <v>070B85</v>
      </c>
      <c r="B530" t="s">
        <v>836</v>
      </c>
      <c r="C530" s="3" t="s">
        <v>845</v>
      </c>
      <c r="D530">
        <f>IFERROR(ROUND(VLOOKUP(Table1[[#This Row],[Route]],SegmentsPerRoute!$C$3:$L$297,8,FALSE)+(Table1[[#This Row],[Sequence]]-1)*VLOOKUP(Table1[[#This Row],[Route]],SegmentsPerRoute!$C$3:$L$297,10,FALSE),0), 0)</f>
        <v>85</v>
      </c>
      <c r="E530">
        <v>9</v>
      </c>
      <c r="F530" s="1">
        <v>12.175000000000001</v>
      </c>
      <c r="G530" t="s">
        <v>842</v>
      </c>
      <c r="H530" s="1">
        <v>13.265000000000001</v>
      </c>
      <c r="I530" t="s">
        <v>843</v>
      </c>
      <c r="K530" t="s">
        <v>1707</v>
      </c>
      <c r="L530" t="s">
        <v>2659</v>
      </c>
      <c r="M530" t="s">
        <v>2660</v>
      </c>
    </row>
    <row r="531" spans="1:14" x14ac:dyDescent="0.25">
      <c r="A531" s="41" t="str">
        <f>Table1[[#This Row],[Route]]&amp;TEXT(Table1[[#This Row],[SegmentID]],"00")</f>
        <v>070E15</v>
      </c>
      <c r="B531" t="s">
        <v>846</v>
      </c>
      <c r="D531">
        <f>IFERROR(ROUND(VLOOKUP(Table1[[#This Row],[Route]],SegmentsPerRoute!$C$3:$L$297,8,FALSE)+(Table1[[#This Row],[Sequence]]-1)*VLOOKUP(Table1[[#This Row],[Route]],SegmentsPerRoute!$C$3:$L$297,10,FALSE),0), 0)</f>
        <v>15</v>
      </c>
      <c r="E531">
        <v>1</v>
      </c>
      <c r="F531" s="1">
        <v>0</v>
      </c>
      <c r="G531" t="s">
        <v>847</v>
      </c>
      <c r="H531" s="1">
        <v>0.222</v>
      </c>
      <c r="I531" t="s">
        <v>848</v>
      </c>
      <c r="K531" t="s">
        <v>1699</v>
      </c>
      <c r="L531" t="s">
        <v>2664</v>
      </c>
      <c r="M531" t="s">
        <v>2665</v>
      </c>
      <c r="N531" t="s">
        <v>48</v>
      </c>
    </row>
    <row r="532" spans="1:14" x14ac:dyDescent="0.25">
      <c r="A532" s="41" t="str">
        <f>Table1[[#This Row],[Route]]&amp;TEXT(Table1[[#This Row],[SegmentID]],"00")</f>
        <v>070F15</v>
      </c>
      <c r="B532" t="s">
        <v>849</v>
      </c>
      <c r="D532">
        <f>IFERROR(ROUND(VLOOKUP(Table1[[#This Row],[Route]],SegmentsPerRoute!$C$3:$L$297,8,FALSE)+(Table1[[#This Row],[Sequence]]-1)*VLOOKUP(Table1[[#This Row],[Route]],SegmentsPerRoute!$C$3:$L$297,10,FALSE),0), 0)</f>
        <v>15</v>
      </c>
      <c r="E532">
        <v>1</v>
      </c>
      <c r="F532" s="1">
        <v>0</v>
      </c>
      <c r="G532" t="s">
        <v>850</v>
      </c>
      <c r="H532" s="1">
        <v>0.34599999999999997</v>
      </c>
      <c r="I532" t="s">
        <v>851</v>
      </c>
      <c r="K532" t="s">
        <v>1699</v>
      </c>
      <c r="L532" t="s">
        <v>2666</v>
      </c>
      <c r="M532" t="s">
        <v>2667</v>
      </c>
      <c r="N532" t="s">
        <v>60</v>
      </c>
    </row>
    <row r="533" spans="1:14" x14ac:dyDescent="0.25">
      <c r="A533" s="41" t="str">
        <f>Table1[[#This Row],[Route]]&amp;TEXT(Table1[[#This Row],[SegmentID]],"00")</f>
        <v>070G15</v>
      </c>
      <c r="B533" t="s">
        <v>852</v>
      </c>
      <c r="D533">
        <f>IFERROR(ROUND(VLOOKUP(Table1[[#This Row],[Route]],SegmentsPerRoute!$C$3:$L$297,8,FALSE)+(Table1[[#This Row],[Sequence]]-1)*VLOOKUP(Table1[[#This Row],[Route]],SegmentsPerRoute!$C$3:$L$297,10,FALSE),0), 0)</f>
        <v>15</v>
      </c>
      <c r="E533">
        <v>1</v>
      </c>
      <c r="F533" s="1">
        <v>0</v>
      </c>
      <c r="G533" t="s">
        <v>853</v>
      </c>
      <c r="H533" s="1">
        <v>0.57699999999999996</v>
      </c>
      <c r="I533" t="s">
        <v>854</v>
      </c>
      <c r="K533" t="s">
        <v>1699</v>
      </c>
      <c r="L533" t="s">
        <v>2668</v>
      </c>
      <c r="M533" t="s">
        <v>2669</v>
      </c>
      <c r="N533" t="s">
        <v>60</v>
      </c>
    </row>
    <row r="534" spans="1:14" ht="30" x14ac:dyDescent="0.25">
      <c r="A534" s="41" t="str">
        <f>Table1[[#This Row],[Route]]&amp;TEXT(Table1[[#This Row],[SegmentID]],"00")</f>
        <v>070K15</v>
      </c>
      <c r="B534" t="s">
        <v>855</v>
      </c>
      <c r="D534">
        <f>IFERROR(ROUND(VLOOKUP(Table1[[#This Row],[Route]],SegmentsPerRoute!$C$3:$L$297,8,FALSE)+(Table1[[#This Row],[Sequence]]-1)*VLOOKUP(Table1[[#This Row],[Route]],SegmentsPerRoute!$C$3:$L$297,10,FALSE),0), 0)</f>
        <v>15</v>
      </c>
      <c r="E534">
        <v>1</v>
      </c>
      <c r="F534" s="1">
        <v>0</v>
      </c>
      <c r="G534" t="s">
        <v>856</v>
      </c>
      <c r="H534" s="1">
        <v>0.21199999999999999</v>
      </c>
      <c r="I534" s="4" t="s">
        <v>857</v>
      </c>
      <c r="J534" t="s">
        <v>21</v>
      </c>
      <c r="K534" t="s">
        <v>1709</v>
      </c>
      <c r="N534" t="s">
        <v>76</v>
      </c>
    </row>
    <row r="535" spans="1:14" x14ac:dyDescent="0.25">
      <c r="A535" s="41" t="str">
        <f>Table1[[#This Row],[Route]]&amp;TEXT(Table1[[#This Row],[SegmentID]],"00")</f>
        <v>070L15</v>
      </c>
      <c r="B535" t="s">
        <v>858</v>
      </c>
      <c r="D535">
        <f>IFERROR(ROUND(VLOOKUP(Table1[[#This Row],[Route]],SegmentsPerRoute!$C$3:$L$297,8,FALSE)+(Table1[[#This Row],[Sequence]]-1)*VLOOKUP(Table1[[#This Row],[Route]],SegmentsPerRoute!$C$3:$L$297,10,FALSE),0), 0)</f>
        <v>15</v>
      </c>
      <c r="E535">
        <v>1</v>
      </c>
      <c r="F535" s="1">
        <v>0</v>
      </c>
      <c r="G535" t="s">
        <v>859</v>
      </c>
      <c r="H535" s="1">
        <v>0.4</v>
      </c>
      <c r="I535" t="s">
        <v>860</v>
      </c>
      <c r="K535" t="s">
        <v>1699</v>
      </c>
      <c r="L535" t="s">
        <v>2670</v>
      </c>
      <c r="M535" t="s">
        <v>2671</v>
      </c>
    </row>
    <row r="536" spans="1:14" x14ac:dyDescent="0.25">
      <c r="A536" s="41" t="str">
        <f>Table1[[#This Row],[Route]]&amp;TEXT(Table1[[#This Row],[SegmentID]],"00")</f>
        <v>070M15</v>
      </c>
      <c r="B536" t="s">
        <v>861</v>
      </c>
      <c r="D536">
        <f>IFERROR(ROUND(VLOOKUP(Table1[[#This Row],[Route]],SegmentsPerRoute!$C$3:$L$297,8,FALSE)+(Table1[[#This Row],[Sequence]]-1)*VLOOKUP(Table1[[#This Row],[Route]],SegmentsPerRoute!$C$3:$L$297,10,FALSE),0), 0)</f>
        <v>15</v>
      </c>
      <c r="E536">
        <v>1</v>
      </c>
      <c r="F536" s="1">
        <v>0</v>
      </c>
      <c r="G536" t="s">
        <v>862</v>
      </c>
      <c r="H536" s="1">
        <v>0.34799999999999998</v>
      </c>
      <c r="I536" t="s">
        <v>863</v>
      </c>
      <c r="K536" t="s">
        <v>1699</v>
      </c>
      <c r="L536" t="s">
        <v>2672</v>
      </c>
      <c r="M536" t="s">
        <v>2673</v>
      </c>
    </row>
    <row r="537" spans="1:14" ht="45" x14ac:dyDescent="0.25">
      <c r="A537" s="41" t="str">
        <f>Table1[[#This Row],[Route]]&amp;TEXT(Table1[[#This Row],[SegmentID]],"00")</f>
        <v>070N15</v>
      </c>
      <c r="B537" t="s">
        <v>864</v>
      </c>
      <c r="D537">
        <f>IFERROR(ROUND(VLOOKUP(Table1[[#This Row],[Route]],SegmentsPerRoute!$C$3:$L$297,8,FALSE)+(Table1[[#This Row],[Sequence]]-1)*VLOOKUP(Table1[[#This Row],[Route]],SegmentsPerRoute!$C$3:$L$297,10,FALSE),0), 0)</f>
        <v>15</v>
      </c>
      <c r="E537">
        <v>1</v>
      </c>
      <c r="F537" s="1">
        <v>0</v>
      </c>
      <c r="G537" t="s">
        <v>865</v>
      </c>
      <c r="H537" s="1">
        <v>0.39600000000000002</v>
      </c>
      <c r="I537" t="s">
        <v>866</v>
      </c>
      <c r="J537" s="16" t="s">
        <v>1712</v>
      </c>
      <c r="K537" t="s">
        <v>1699</v>
      </c>
    </row>
    <row r="538" spans="1:14" x14ac:dyDescent="0.25">
      <c r="A538" s="41" t="str">
        <f>Table1[[#This Row],[Route]]&amp;TEXT(Table1[[#This Row],[SegmentID]],"00")</f>
        <v>070O15</v>
      </c>
      <c r="B538" t="s">
        <v>867</v>
      </c>
      <c r="D538">
        <f>IFERROR(ROUND(VLOOKUP(Table1[[#This Row],[Route]],SegmentsPerRoute!$C$3:$L$297,8,FALSE)+(Table1[[#This Row],[Sequence]]-1)*VLOOKUP(Table1[[#This Row],[Route]],SegmentsPerRoute!$C$3:$L$297,10,FALSE),0), 0)</f>
        <v>15</v>
      </c>
      <c r="E538">
        <v>1</v>
      </c>
      <c r="F538" s="1">
        <v>0</v>
      </c>
      <c r="G538" t="s">
        <v>868</v>
      </c>
      <c r="H538" s="1">
        <v>0.35299999999999998</v>
      </c>
      <c r="I538" t="s">
        <v>869</v>
      </c>
      <c r="J538" t="s">
        <v>21</v>
      </c>
      <c r="K538" t="s">
        <v>1709</v>
      </c>
    </row>
    <row r="539" spans="1:14" x14ac:dyDescent="0.25">
      <c r="A539" s="41" t="str">
        <f>Table1[[#This Row],[Route]]&amp;TEXT(Table1[[#This Row],[SegmentID]],"00")</f>
        <v>070P15</v>
      </c>
      <c r="B539" t="s">
        <v>870</v>
      </c>
      <c r="D539">
        <f>IFERROR(ROUND(VLOOKUP(Table1[[#This Row],[Route]],SegmentsPerRoute!$C$3:$L$297,8,FALSE)+(Table1[[#This Row],[Sequence]]-1)*VLOOKUP(Table1[[#This Row],[Route]],SegmentsPerRoute!$C$3:$L$297,10,FALSE),0), 0)</f>
        <v>15</v>
      </c>
      <c r="E539">
        <v>1</v>
      </c>
      <c r="F539" s="1">
        <v>0</v>
      </c>
      <c r="G539" t="s">
        <v>871</v>
      </c>
      <c r="H539" s="1">
        <v>0.52800000000000002</v>
      </c>
      <c r="I539" t="s">
        <v>872</v>
      </c>
      <c r="K539" t="s">
        <v>1699</v>
      </c>
      <c r="L539" t="s">
        <v>2674</v>
      </c>
      <c r="M539" t="s">
        <v>2675</v>
      </c>
    </row>
    <row r="540" spans="1:14" x14ac:dyDescent="0.25">
      <c r="A540" s="41" t="str">
        <f>Table1[[#This Row],[Route]]&amp;TEXT(Table1[[#This Row],[SegmentID]],"00")</f>
        <v>070Q15</v>
      </c>
      <c r="B540" t="s">
        <v>873</v>
      </c>
      <c r="D540">
        <f>IFERROR(ROUND(VLOOKUP(Table1[[#This Row],[Route]],SegmentsPerRoute!$C$3:$L$297,8,FALSE)+(Table1[[#This Row],[Sequence]]-1)*VLOOKUP(Table1[[#This Row],[Route]],SegmentsPerRoute!$C$3:$L$297,10,FALSE),0), 0)</f>
        <v>15</v>
      </c>
      <c r="E540">
        <v>1</v>
      </c>
      <c r="F540" s="1">
        <v>0.13700000000000001</v>
      </c>
      <c r="G540" t="s">
        <v>874</v>
      </c>
      <c r="H540" s="1">
        <v>0.377</v>
      </c>
      <c r="I540" t="s">
        <v>875</v>
      </c>
      <c r="K540" t="s">
        <v>1699</v>
      </c>
      <c r="L540" t="s">
        <v>2676</v>
      </c>
      <c r="M540" t="s">
        <v>2677</v>
      </c>
    </row>
    <row r="541" spans="1:14" x14ac:dyDescent="0.25">
      <c r="A541" s="41" t="str">
        <f>Table1[[#This Row],[Route]]&amp;TEXT(Table1[[#This Row],[SegmentID]],"00")</f>
        <v>070R15</v>
      </c>
      <c r="B541" t="s">
        <v>876</v>
      </c>
      <c r="D541">
        <f>IFERROR(ROUND(VLOOKUP(Table1[[#This Row],[Route]],SegmentsPerRoute!$C$3:$L$297,8,FALSE)+(Table1[[#This Row],[Sequence]]-1)*VLOOKUP(Table1[[#This Row],[Route]],SegmentsPerRoute!$C$3:$L$297,10,FALSE),0), 0)</f>
        <v>15</v>
      </c>
      <c r="E541">
        <v>1</v>
      </c>
      <c r="F541" s="1">
        <v>2.1880000000000002</v>
      </c>
      <c r="G541" t="s">
        <v>877</v>
      </c>
      <c r="H541" s="1">
        <v>2.7109999999999999</v>
      </c>
      <c r="I541" t="s">
        <v>878</v>
      </c>
      <c r="J541" t="s">
        <v>21</v>
      </c>
      <c r="K541" t="s">
        <v>1709</v>
      </c>
      <c r="N541" t="s">
        <v>76</v>
      </c>
    </row>
    <row r="542" spans="1:14" x14ac:dyDescent="0.25">
      <c r="A542" s="41" t="str">
        <f>Table1[[#This Row],[Route]]&amp;TEXT(Table1[[#This Row],[SegmentID]],"00")</f>
        <v>070Z15</v>
      </c>
      <c r="B542" t="s">
        <v>879</v>
      </c>
      <c r="C542" s="3" t="s">
        <v>882</v>
      </c>
      <c r="D542">
        <f>IFERROR(ROUND(VLOOKUP(Table1[[#This Row],[Route]],SegmentsPerRoute!$C$3:$L$297,8,FALSE)+(Table1[[#This Row],[Sequence]]-1)*VLOOKUP(Table1[[#This Row],[Route]],SegmentsPerRoute!$C$3:$L$297,10,FALSE),0), 0)</f>
        <v>15</v>
      </c>
      <c r="E542">
        <v>1</v>
      </c>
      <c r="F542" s="1">
        <v>0</v>
      </c>
      <c r="G542" t="s">
        <v>880</v>
      </c>
      <c r="H542" s="1">
        <v>0.95899999999999996</v>
      </c>
      <c r="I542" t="s">
        <v>840</v>
      </c>
      <c r="K542" t="s">
        <v>1707</v>
      </c>
      <c r="L542" t="s">
        <v>2661</v>
      </c>
      <c r="M542" t="s">
        <v>2095</v>
      </c>
      <c r="N542" t="s">
        <v>48</v>
      </c>
    </row>
    <row r="543" spans="1:14" x14ac:dyDescent="0.25">
      <c r="A543" s="41" t="str">
        <f>Table1[[#This Row],[Route]]&amp;TEXT(Table1[[#This Row],[SegmentID]],"00")</f>
        <v>070Z85</v>
      </c>
      <c r="B543" t="s">
        <v>879</v>
      </c>
      <c r="C543" s="3" t="s">
        <v>883</v>
      </c>
      <c r="D543">
        <f>IFERROR(ROUND(VLOOKUP(Table1[[#This Row],[Route]],SegmentsPerRoute!$C$3:$L$297,8,FALSE)+(Table1[[#This Row],[Sequence]]-1)*VLOOKUP(Table1[[#This Row],[Route]],SegmentsPerRoute!$C$3:$L$297,10,FALSE),0), 0)</f>
        <v>85</v>
      </c>
      <c r="E543">
        <v>2</v>
      </c>
      <c r="F543" s="1">
        <v>0.95899999999999996</v>
      </c>
      <c r="G543" t="s">
        <v>840</v>
      </c>
      <c r="H543" s="1">
        <v>1.3380000000000001</v>
      </c>
      <c r="I543" t="s">
        <v>881</v>
      </c>
      <c r="K543" t="s">
        <v>1707</v>
      </c>
      <c r="L543" t="s">
        <v>2662</v>
      </c>
      <c r="M543" t="s">
        <v>2095</v>
      </c>
      <c r="N543" t="s">
        <v>48</v>
      </c>
    </row>
    <row r="544" spans="1:14" x14ac:dyDescent="0.25">
      <c r="A544" s="41" t="str">
        <f>Table1[[#This Row],[Route]]&amp;TEXT(Table1[[#This Row],[SegmentID]],"00")</f>
        <v>071A15</v>
      </c>
      <c r="B544" t="s">
        <v>884</v>
      </c>
      <c r="D544">
        <f>IFERROR(ROUND(VLOOKUP(Table1[[#This Row],[Route]],SegmentsPerRoute!$C$3:$L$297,8,FALSE)+(Table1[[#This Row],[Sequence]]-1)*VLOOKUP(Table1[[#This Row],[Route]],SegmentsPerRoute!$C$3:$L$297,10,FALSE),0), 0)</f>
        <v>15</v>
      </c>
      <c r="E544">
        <v>1</v>
      </c>
      <c r="F544" s="1">
        <v>0</v>
      </c>
      <c r="G544" t="s">
        <v>885</v>
      </c>
      <c r="H544" s="1">
        <v>9.032</v>
      </c>
      <c r="I544" t="s">
        <v>886</v>
      </c>
      <c r="K544" t="s">
        <v>1699</v>
      </c>
      <c r="L544" t="s">
        <v>2678</v>
      </c>
      <c r="M544" t="s">
        <v>2679</v>
      </c>
    </row>
    <row r="545" spans="1:14" x14ac:dyDescent="0.25">
      <c r="A545" s="41" t="str">
        <f>Table1[[#This Row],[Route]]&amp;TEXT(Table1[[#This Row],[SegmentID]],"00")</f>
        <v>071B15</v>
      </c>
      <c r="B545" t="s">
        <v>887</v>
      </c>
      <c r="D545">
        <f>IFERROR(ROUND(VLOOKUP(Table1[[#This Row],[Route]],SegmentsPerRoute!$C$3:$L$297,8,FALSE)+(Table1[[#This Row],[Sequence]]-1)*VLOOKUP(Table1[[#This Row],[Route]],SegmentsPerRoute!$C$3:$L$297,10,FALSE),0), 0)</f>
        <v>15</v>
      </c>
      <c r="E545">
        <v>1</v>
      </c>
      <c r="F545" s="1">
        <v>9.6010000000000009</v>
      </c>
      <c r="G545" t="s">
        <v>886</v>
      </c>
      <c r="H545" s="1">
        <v>14.539</v>
      </c>
      <c r="I545" t="s">
        <v>683</v>
      </c>
      <c r="K545" t="s">
        <v>1699</v>
      </c>
      <c r="L545" t="s">
        <v>2680</v>
      </c>
      <c r="M545" t="s">
        <v>2681</v>
      </c>
    </row>
    <row r="546" spans="1:14" x14ac:dyDescent="0.25">
      <c r="A546" s="41" t="str">
        <f>Table1[[#This Row],[Route]]&amp;TEXT(Table1[[#This Row],[SegmentID]],"00")</f>
        <v>071C15</v>
      </c>
      <c r="B546" t="s">
        <v>888</v>
      </c>
      <c r="D546">
        <f>IFERROR(ROUND(VLOOKUP(Table1[[#This Row],[Route]],SegmentsPerRoute!$C$3:$L$297,8,FALSE)+(Table1[[#This Row],[Sequence]]-1)*VLOOKUP(Table1[[#This Row],[Route]],SegmentsPerRoute!$C$3:$L$297,10,FALSE),0), 0)</f>
        <v>15</v>
      </c>
      <c r="E546">
        <v>1</v>
      </c>
      <c r="F546" s="1">
        <v>16.157</v>
      </c>
      <c r="G546" t="s">
        <v>889</v>
      </c>
      <c r="H546" s="1">
        <v>26.641999999999999</v>
      </c>
      <c r="I546" t="s">
        <v>893</v>
      </c>
      <c r="K546" t="s">
        <v>1699</v>
      </c>
      <c r="L546" t="s">
        <v>2682</v>
      </c>
      <c r="M546" t="s">
        <v>2687</v>
      </c>
      <c r="N546" t="s">
        <v>269</v>
      </c>
    </row>
    <row r="547" spans="1:14" x14ac:dyDescent="0.25">
      <c r="A547" s="41" t="str">
        <f>Table1[[#This Row],[Route]]&amp;TEXT(Table1[[#This Row],[SegmentID]],"00")</f>
        <v>071C38</v>
      </c>
      <c r="B547" t="s">
        <v>888</v>
      </c>
      <c r="D547">
        <f>IFERROR(ROUND(VLOOKUP(Table1[[#This Row],[Route]],SegmentsPerRoute!$C$3:$L$297,8,FALSE)+(Table1[[#This Row],[Sequence]]-1)*VLOOKUP(Table1[[#This Row],[Route]],SegmentsPerRoute!$C$3:$L$297,10,FALSE),0), 0)</f>
        <v>38</v>
      </c>
      <c r="E547">
        <v>2</v>
      </c>
      <c r="F547" s="1">
        <v>26.641999999999999</v>
      </c>
      <c r="G547" t="s">
        <v>893</v>
      </c>
      <c r="H547" s="1">
        <v>26.881</v>
      </c>
      <c r="I547" t="s">
        <v>890</v>
      </c>
      <c r="K547" t="s">
        <v>1699</v>
      </c>
      <c r="L547" t="s">
        <v>2683</v>
      </c>
      <c r="M547" t="s">
        <v>2686</v>
      </c>
    </row>
    <row r="548" spans="1:14" x14ac:dyDescent="0.25">
      <c r="A548" s="41" t="str">
        <f>Table1[[#This Row],[Route]]&amp;TEXT(Table1[[#This Row],[SegmentID]],"00")</f>
        <v>071C62</v>
      </c>
      <c r="B548" t="s">
        <v>888</v>
      </c>
      <c r="D548">
        <f>IFERROR(ROUND(VLOOKUP(Table1[[#This Row],[Route]],SegmentsPerRoute!$C$3:$L$297,8,FALSE)+(Table1[[#This Row],[Sequence]]-1)*VLOOKUP(Table1[[#This Row],[Route]],SegmentsPerRoute!$C$3:$L$297,10,FALSE),0), 0)</f>
        <v>62</v>
      </c>
      <c r="E548">
        <v>3</v>
      </c>
      <c r="F548" s="1">
        <v>26.881</v>
      </c>
      <c r="G548" t="s">
        <v>890</v>
      </c>
      <c r="H548" s="1">
        <v>72.600999999999999</v>
      </c>
      <c r="I548" t="s">
        <v>891</v>
      </c>
      <c r="K548" t="s">
        <v>1699</v>
      </c>
      <c r="L548" t="s">
        <v>2683</v>
      </c>
      <c r="M548" t="s">
        <v>2686</v>
      </c>
    </row>
    <row r="549" spans="1:14" x14ac:dyDescent="0.25">
      <c r="A549" s="41" t="str">
        <f>Table1[[#This Row],[Route]]&amp;TEXT(Table1[[#This Row],[SegmentID]],"00")</f>
        <v>071C85</v>
      </c>
      <c r="B549" t="s">
        <v>888</v>
      </c>
      <c r="D549">
        <f>IFERROR(ROUND(VLOOKUP(Table1[[#This Row],[Route]],SegmentsPerRoute!$C$3:$L$297,8,FALSE)+(Table1[[#This Row],[Sequence]]-1)*VLOOKUP(Table1[[#This Row],[Route]],SegmentsPerRoute!$C$3:$L$297,10,FALSE),0), 0)</f>
        <v>85</v>
      </c>
      <c r="E549">
        <v>4</v>
      </c>
      <c r="F549" s="1">
        <v>72.600999999999999</v>
      </c>
      <c r="G549" t="s">
        <v>891</v>
      </c>
      <c r="H549" s="1">
        <v>101.063</v>
      </c>
      <c r="I549" t="s">
        <v>892</v>
      </c>
      <c r="K549" t="s">
        <v>1699</v>
      </c>
      <c r="L549" t="s">
        <v>2684</v>
      </c>
      <c r="M549" t="s">
        <v>2685</v>
      </c>
    </row>
    <row r="550" spans="1:14" x14ac:dyDescent="0.25">
      <c r="A550" s="41" t="str">
        <f>Table1[[#This Row],[Route]]&amp;TEXT(Table1[[#This Row],[SegmentID]],"00")</f>
        <v>071D15</v>
      </c>
      <c r="B550" t="s">
        <v>894</v>
      </c>
      <c r="D550">
        <f>IFERROR(ROUND(VLOOKUP(Table1[[#This Row],[Route]],SegmentsPerRoute!$C$3:$L$297,8,FALSE)+(Table1[[#This Row],[Sequence]]-1)*VLOOKUP(Table1[[#This Row],[Route]],SegmentsPerRoute!$C$3:$L$297,10,FALSE),0), 0)</f>
        <v>15</v>
      </c>
      <c r="E550">
        <v>1</v>
      </c>
      <c r="F550" s="1">
        <v>101.973</v>
      </c>
      <c r="G550" t="s">
        <v>892</v>
      </c>
      <c r="H550" s="1">
        <v>138.011</v>
      </c>
      <c r="I550" t="s">
        <v>895</v>
      </c>
      <c r="K550" t="s">
        <v>1699</v>
      </c>
      <c r="L550" t="s">
        <v>2688</v>
      </c>
      <c r="M550" t="s">
        <v>2691</v>
      </c>
    </row>
    <row r="551" spans="1:14" x14ac:dyDescent="0.25">
      <c r="A551" s="41" t="str">
        <f>Table1[[#This Row],[Route]]&amp;TEXT(Table1[[#This Row],[SegmentID]],"00")</f>
        <v>071D85</v>
      </c>
      <c r="B551" t="s">
        <v>894</v>
      </c>
      <c r="D551">
        <f>IFERROR(ROUND(VLOOKUP(Table1[[#This Row],[Route]],SegmentsPerRoute!$C$3:$L$297,8,FALSE)+(Table1[[#This Row],[Sequence]]-1)*VLOOKUP(Table1[[#This Row],[Route]],SegmentsPerRoute!$C$3:$L$297,10,FALSE),0), 0)</f>
        <v>85</v>
      </c>
      <c r="E551">
        <v>2</v>
      </c>
      <c r="F551" s="1">
        <v>138.011</v>
      </c>
      <c r="G551" t="s">
        <v>895</v>
      </c>
      <c r="H551" s="1">
        <v>174.357</v>
      </c>
      <c r="I551" t="s">
        <v>896</v>
      </c>
      <c r="K551" t="s">
        <v>1699</v>
      </c>
      <c r="L551" t="s">
        <v>2689</v>
      </c>
      <c r="M551" t="s">
        <v>2690</v>
      </c>
    </row>
    <row r="552" spans="1:14" x14ac:dyDescent="0.25">
      <c r="A552" s="41" t="str">
        <f>Table1[[#This Row],[Route]]&amp;TEXT(Table1[[#This Row],[SegmentID]],"00")</f>
        <v>071E15</v>
      </c>
      <c r="B552" t="s">
        <v>897</v>
      </c>
      <c r="D552">
        <f>IFERROR(ROUND(VLOOKUP(Table1[[#This Row],[Route]],SegmentsPerRoute!$C$3:$L$297,8,FALSE)+(Table1[[#This Row],[Sequence]]-1)*VLOOKUP(Table1[[#This Row],[Route]],SegmentsPerRoute!$C$3:$L$297,10,FALSE),0), 0)</f>
        <v>15</v>
      </c>
      <c r="E552">
        <v>1</v>
      </c>
      <c r="F552" s="1">
        <v>175.48599999999999</v>
      </c>
      <c r="G552" t="s">
        <v>896</v>
      </c>
      <c r="H552" s="1">
        <v>176.464</v>
      </c>
      <c r="I552" t="s">
        <v>898</v>
      </c>
      <c r="K552" t="s">
        <v>1699</v>
      </c>
      <c r="L552" t="s">
        <v>2692</v>
      </c>
      <c r="M552" t="s">
        <v>2695</v>
      </c>
    </row>
    <row r="553" spans="1:14" x14ac:dyDescent="0.25">
      <c r="A553" s="41" t="str">
        <f>Table1[[#This Row],[Route]]&amp;TEXT(Table1[[#This Row],[SegmentID]],"00")</f>
        <v>071E85</v>
      </c>
      <c r="B553" t="s">
        <v>897</v>
      </c>
      <c r="D553">
        <f>IFERROR(ROUND(VLOOKUP(Table1[[#This Row],[Route]],SegmentsPerRoute!$C$3:$L$297,8,FALSE)+(Table1[[#This Row],[Sequence]]-1)*VLOOKUP(Table1[[#This Row],[Route]],SegmentsPerRoute!$C$3:$L$297,10,FALSE),0), 0)</f>
        <v>85</v>
      </c>
      <c r="E553">
        <v>2</v>
      </c>
      <c r="F553" s="1">
        <v>176.464</v>
      </c>
      <c r="G553" t="s">
        <v>898</v>
      </c>
      <c r="H553" s="1">
        <v>201.636</v>
      </c>
      <c r="I553" t="s">
        <v>899</v>
      </c>
      <c r="K553" t="s">
        <v>1699</v>
      </c>
      <c r="L553" t="s">
        <v>2693</v>
      </c>
      <c r="M553" t="s">
        <v>2694</v>
      </c>
      <c r="N553" t="s">
        <v>77</v>
      </c>
    </row>
    <row r="554" spans="1:14" x14ac:dyDescent="0.25">
      <c r="A554" s="41" t="str">
        <f>Table1[[#This Row],[Route]]&amp;TEXT(Table1[[#This Row],[SegmentID]],"00")</f>
        <v>071F15</v>
      </c>
      <c r="B554" t="s">
        <v>900</v>
      </c>
      <c r="D554">
        <f>IFERROR(ROUND(VLOOKUP(Table1[[#This Row],[Route]],SegmentsPerRoute!$C$3:$L$297,8,FALSE)+(Table1[[#This Row],[Sequence]]-1)*VLOOKUP(Table1[[#This Row],[Route]],SegmentsPerRoute!$C$3:$L$297,10,FALSE),0), 0)</f>
        <v>15</v>
      </c>
      <c r="E554">
        <v>1</v>
      </c>
      <c r="F554" s="1">
        <v>205.52500000000001</v>
      </c>
      <c r="G554" t="s">
        <v>901</v>
      </c>
      <c r="H554" s="1">
        <v>232.899</v>
      </c>
      <c r="I554" t="s">
        <v>249</v>
      </c>
      <c r="K554" t="s">
        <v>1695</v>
      </c>
      <c r="L554" t="s">
        <v>2696</v>
      </c>
      <c r="M554" t="s">
        <v>2697</v>
      </c>
    </row>
    <row r="555" spans="1:14" x14ac:dyDescent="0.25">
      <c r="A555" s="41" t="str">
        <f>Table1[[#This Row],[Route]]&amp;TEXT(Table1[[#This Row],[SegmentID]],"00")</f>
        <v>072A15</v>
      </c>
      <c r="B555" t="s">
        <v>902</v>
      </c>
      <c r="D555">
        <f>IFERROR(ROUND(VLOOKUP(Table1[[#This Row],[Route]],SegmentsPerRoute!$C$3:$L$297,8,FALSE)+(Table1[[#This Row],[Sequence]]-1)*VLOOKUP(Table1[[#This Row],[Route]],SegmentsPerRoute!$C$3:$L$297,10,FALSE),0), 0)</f>
        <v>15</v>
      </c>
      <c r="E555">
        <v>1</v>
      </c>
      <c r="F555" s="1">
        <v>0</v>
      </c>
      <c r="G555" t="s">
        <v>903</v>
      </c>
      <c r="H555" s="1">
        <v>10.659000000000001</v>
      </c>
      <c r="I555" t="s">
        <v>904</v>
      </c>
      <c r="K555" t="s">
        <v>1693</v>
      </c>
      <c r="L555" t="s">
        <v>2698</v>
      </c>
      <c r="M555" t="s">
        <v>2703</v>
      </c>
    </row>
    <row r="556" spans="1:14" x14ac:dyDescent="0.25">
      <c r="A556" s="41" t="str">
        <f>Table1[[#This Row],[Route]]&amp;TEXT(Table1[[#This Row],[SegmentID]],"00")</f>
        <v>072A85</v>
      </c>
      <c r="B556" t="s">
        <v>902</v>
      </c>
      <c r="D556">
        <f>IFERROR(ROUND(VLOOKUP(Table1[[#This Row],[Route]],SegmentsPerRoute!$C$3:$L$297,8,FALSE)+(Table1[[#This Row],[Sequence]]-1)*VLOOKUP(Table1[[#This Row],[Route]],SegmentsPerRoute!$C$3:$L$297,10,FALSE),0), 0)</f>
        <v>85</v>
      </c>
      <c r="E556">
        <v>3</v>
      </c>
      <c r="F556" s="1">
        <v>10.659000000000001</v>
      </c>
      <c r="G556" t="s">
        <v>904</v>
      </c>
      <c r="H556" s="1">
        <v>29.378</v>
      </c>
      <c r="I556" t="s">
        <v>905</v>
      </c>
      <c r="K556" t="s">
        <v>1693</v>
      </c>
      <c r="L556" t="s">
        <v>2699</v>
      </c>
      <c r="M556" t="s">
        <v>2702</v>
      </c>
      <c r="N556" t="s">
        <v>906</v>
      </c>
    </row>
    <row r="557" spans="1:14" ht="30" x14ac:dyDescent="0.25">
      <c r="A557" s="41" t="str">
        <f>Table1[[#This Row],[Route]]&amp;TEXT(Table1[[#This Row],[SegmentID]],"00")</f>
        <v>072B15</v>
      </c>
      <c r="B557" t="s">
        <v>907</v>
      </c>
      <c r="D557">
        <f>IFERROR(ROUND(VLOOKUP(Table1[[#This Row],[Route]],SegmentsPerRoute!$C$3:$L$297,8,FALSE)+(Table1[[#This Row],[Sequence]]-1)*VLOOKUP(Table1[[#This Row],[Route]],SegmentsPerRoute!$C$3:$L$297,10,FALSE),0), 0)</f>
        <v>15</v>
      </c>
      <c r="E557">
        <v>1</v>
      </c>
      <c r="F557" s="1">
        <v>32.369</v>
      </c>
      <c r="G557" t="s">
        <v>908</v>
      </c>
      <c r="H557" s="1">
        <v>54.064</v>
      </c>
      <c r="I557" t="s">
        <v>148</v>
      </c>
      <c r="K557" t="s">
        <v>1699</v>
      </c>
      <c r="L557" t="s">
        <v>2700</v>
      </c>
      <c r="M557" t="s">
        <v>2701</v>
      </c>
      <c r="N557" s="4" t="s">
        <v>909</v>
      </c>
    </row>
    <row r="558" spans="1:14" x14ac:dyDescent="0.25">
      <c r="A558" s="41" t="str">
        <f>Table1[[#This Row],[Route]]&amp;TEXT(Table1[[#This Row],[SegmentID]],"00")</f>
        <v>074A15</v>
      </c>
      <c r="B558" t="s">
        <v>910</v>
      </c>
      <c r="D558">
        <f>IFERROR(ROUND(VLOOKUP(Table1[[#This Row],[Route]],SegmentsPerRoute!$C$3:$L$297,8,FALSE)+(Table1[[#This Row],[Sequence]]-1)*VLOOKUP(Table1[[#This Row],[Route]],SegmentsPerRoute!$C$3:$L$297,10,FALSE),0), 0)</f>
        <v>15</v>
      </c>
      <c r="E558">
        <v>1</v>
      </c>
      <c r="F558" s="1">
        <v>0</v>
      </c>
      <c r="G558" t="s">
        <v>911</v>
      </c>
      <c r="H558" s="1">
        <v>0.374</v>
      </c>
      <c r="I558" t="s">
        <v>807</v>
      </c>
      <c r="J558" t="s">
        <v>913</v>
      </c>
      <c r="K558" t="s">
        <v>1689</v>
      </c>
    </row>
    <row r="559" spans="1:14" x14ac:dyDescent="0.25">
      <c r="A559" s="41" t="str">
        <f>Table1[[#This Row],[Route]]&amp;TEXT(Table1[[#This Row],[SegmentID]],"00")</f>
        <v>074A85</v>
      </c>
      <c r="B559" t="s">
        <v>910</v>
      </c>
      <c r="D559">
        <f>IFERROR(ROUND(VLOOKUP(Table1[[#This Row],[Route]],SegmentsPerRoute!$C$3:$L$297,8,FALSE)+(Table1[[#This Row],[Sequence]]-1)*VLOOKUP(Table1[[#This Row],[Route]],SegmentsPerRoute!$C$3:$L$297,10,FALSE),0), 0)</f>
        <v>85</v>
      </c>
      <c r="E559">
        <v>2</v>
      </c>
      <c r="F559" s="1">
        <v>0.374</v>
      </c>
      <c r="G559" t="s">
        <v>807</v>
      </c>
      <c r="H559" s="1">
        <v>18.11</v>
      </c>
      <c r="I559" t="s">
        <v>912</v>
      </c>
      <c r="J559" t="s">
        <v>4609</v>
      </c>
      <c r="K559" t="s">
        <v>1689</v>
      </c>
      <c r="N559" t="s">
        <v>155</v>
      </c>
    </row>
    <row r="560" spans="1:14" x14ac:dyDescent="0.25">
      <c r="A560" s="41" t="str">
        <f>Table1[[#This Row],[Route]]&amp;TEXT(Table1[[#This Row],[SegmentID]],"00")</f>
        <v>075B15</v>
      </c>
      <c r="B560" t="s">
        <v>914</v>
      </c>
      <c r="D560">
        <f>IFERROR(ROUND(VLOOKUP(Table1[[#This Row],[Route]],SegmentsPerRoute!$C$3:$L$297,8,FALSE)+(Table1[[#This Row],[Sequence]]-1)*VLOOKUP(Table1[[#This Row],[Route]],SegmentsPerRoute!$C$3:$L$297,10,FALSE),0), 0)</f>
        <v>15</v>
      </c>
      <c r="E560">
        <v>1</v>
      </c>
      <c r="F560" s="1">
        <v>5.2869999999999999</v>
      </c>
      <c r="G560" t="s">
        <v>915</v>
      </c>
      <c r="H560" s="1">
        <v>8.5229999999999997</v>
      </c>
      <c r="I560" t="s">
        <v>916</v>
      </c>
      <c r="J560" t="s">
        <v>21</v>
      </c>
      <c r="K560" t="s">
        <v>1709</v>
      </c>
      <c r="N560" t="s">
        <v>77</v>
      </c>
    </row>
    <row r="561" spans="1:14" x14ac:dyDescent="0.25">
      <c r="A561" s="41" t="str">
        <f>Table1[[#This Row],[Route]]&amp;TEXT(Table1[[#This Row],[SegmentID]],"00")</f>
        <v>076A15</v>
      </c>
      <c r="B561" t="s">
        <v>917</v>
      </c>
      <c r="D561">
        <f>IFERROR(ROUND(VLOOKUP(Table1[[#This Row],[Route]],SegmentsPerRoute!$C$3:$L$297,8,FALSE)+(Table1[[#This Row],[Sequence]]-1)*VLOOKUP(Table1[[#This Row],[Route]],SegmentsPerRoute!$C$3:$L$297,10,FALSE),0), 0)</f>
        <v>15</v>
      </c>
      <c r="E561">
        <v>1</v>
      </c>
      <c r="F561" s="1">
        <v>0</v>
      </c>
      <c r="G561" t="s">
        <v>918</v>
      </c>
      <c r="H561" s="1">
        <v>1.768</v>
      </c>
      <c r="I561" t="s">
        <v>74</v>
      </c>
      <c r="K561" t="s">
        <v>1694</v>
      </c>
      <c r="L561" t="s">
        <v>2704</v>
      </c>
      <c r="M561" t="s">
        <v>2746</v>
      </c>
      <c r="N561" t="s">
        <v>76</v>
      </c>
    </row>
    <row r="562" spans="1:14" x14ac:dyDescent="0.25">
      <c r="A562" s="41" t="str">
        <f>Table1[[#This Row],[Route]]&amp;TEXT(Table1[[#This Row],[SegmentID]],"00")</f>
        <v>076A18</v>
      </c>
      <c r="B562" t="s">
        <v>917</v>
      </c>
      <c r="D562">
        <f>IFERROR(ROUND(VLOOKUP(Table1[[#This Row],[Route]],SegmentsPerRoute!$C$3:$L$297,8,FALSE)+(Table1[[#This Row],[Sequence]]-1)*VLOOKUP(Table1[[#This Row],[Route]],SegmentsPerRoute!$C$3:$L$297,10,FALSE),0), 0)</f>
        <v>18</v>
      </c>
      <c r="E562">
        <v>2</v>
      </c>
      <c r="F562" s="1">
        <v>1.768</v>
      </c>
      <c r="G562" t="s">
        <v>74</v>
      </c>
      <c r="H562" s="1">
        <v>3.2229999999999999</v>
      </c>
      <c r="I562" t="s">
        <v>466</v>
      </c>
      <c r="K562" t="s">
        <v>1694</v>
      </c>
      <c r="L562" t="s">
        <v>2705</v>
      </c>
      <c r="M562" t="s">
        <v>2746</v>
      </c>
      <c r="N562" t="s">
        <v>76</v>
      </c>
    </row>
    <row r="563" spans="1:14" x14ac:dyDescent="0.25">
      <c r="A563" s="41" t="str">
        <f>Table1[[#This Row],[Route]]&amp;TEXT(Table1[[#This Row],[SegmentID]],"00")</f>
        <v>076A21</v>
      </c>
      <c r="B563" t="s">
        <v>917</v>
      </c>
      <c r="D563">
        <f>IFERROR(ROUND(VLOOKUP(Table1[[#This Row],[Route]],SegmentsPerRoute!$C$3:$L$297,8,FALSE)+(Table1[[#This Row],[Sequence]]-1)*VLOOKUP(Table1[[#This Row],[Route]],SegmentsPerRoute!$C$3:$L$297,10,FALSE),0), 0)</f>
        <v>21</v>
      </c>
      <c r="E563">
        <v>3</v>
      </c>
      <c r="F563" s="1">
        <v>3.2229999999999999</v>
      </c>
      <c r="G563" t="s">
        <v>466</v>
      </c>
      <c r="H563" s="1">
        <v>5.7770000000000001</v>
      </c>
      <c r="I563" t="s">
        <v>919</v>
      </c>
      <c r="K563" t="s">
        <v>1694</v>
      </c>
      <c r="L563" t="s">
        <v>2706</v>
      </c>
      <c r="M563" t="s">
        <v>2745</v>
      </c>
      <c r="N563" t="s">
        <v>76</v>
      </c>
    </row>
    <row r="564" spans="1:14" x14ac:dyDescent="0.25">
      <c r="A564" s="41" t="str">
        <f>Table1[[#This Row],[Route]]&amp;TEXT(Table1[[#This Row],[SegmentID]],"00")</f>
        <v>076A25</v>
      </c>
      <c r="B564" t="s">
        <v>917</v>
      </c>
      <c r="D564">
        <f>IFERROR(ROUND(VLOOKUP(Table1[[#This Row],[Route]],SegmentsPerRoute!$C$3:$L$297,8,FALSE)+(Table1[[#This Row],[Sequence]]-1)*VLOOKUP(Table1[[#This Row],[Route]],SegmentsPerRoute!$C$3:$L$297,10,FALSE),0), 0)</f>
        <v>25</v>
      </c>
      <c r="E564">
        <v>4</v>
      </c>
      <c r="F564" s="1">
        <v>5.7770000000000001</v>
      </c>
      <c r="G564" t="s">
        <v>919</v>
      </c>
      <c r="H564" s="1">
        <v>6.8029999999999999</v>
      </c>
      <c r="I564" t="s">
        <v>920</v>
      </c>
      <c r="K564" t="s">
        <v>1694</v>
      </c>
      <c r="L564" t="s">
        <v>2707</v>
      </c>
      <c r="M564" t="s">
        <v>2744</v>
      </c>
      <c r="N564" t="s">
        <v>76</v>
      </c>
    </row>
    <row r="565" spans="1:14" x14ac:dyDescent="0.25">
      <c r="A565" s="41" t="str">
        <f>Table1[[#This Row],[Route]]&amp;TEXT(Table1[[#This Row],[SegmentID]],"00")</f>
        <v>076A28</v>
      </c>
      <c r="B565" t="s">
        <v>917</v>
      </c>
      <c r="D565">
        <f>IFERROR(ROUND(VLOOKUP(Table1[[#This Row],[Route]],SegmentsPerRoute!$C$3:$L$297,8,FALSE)+(Table1[[#This Row],[Sequence]]-1)*VLOOKUP(Table1[[#This Row],[Route]],SegmentsPerRoute!$C$3:$L$297,10,FALSE),0), 0)</f>
        <v>28</v>
      </c>
      <c r="E565">
        <v>5</v>
      </c>
      <c r="F565" s="1">
        <v>6.8029999999999999</v>
      </c>
      <c r="G565" t="s">
        <v>920</v>
      </c>
      <c r="H565" s="1">
        <v>8.0519999999999996</v>
      </c>
      <c r="I565" t="s">
        <v>86</v>
      </c>
      <c r="K565" t="s">
        <v>1694</v>
      </c>
      <c r="L565" t="s">
        <v>2708</v>
      </c>
      <c r="M565" t="s">
        <v>2743</v>
      </c>
      <c r="N565" t="s">
        <v>935</v>
      </c>
    </row>
    <row r="566" spans="1:14" x14ac:dyDescent="0.25">
      <c r="A566" s="41" t="str">
        <f>Table1[[#This Row],[Route]]&amp;TEXT(Table1[[#This Row],[SegmentID]],"00")</f>
        <v>076A31</v>
      </c>
      <c r="B566" t="s">
        <v>917</v>
      </c>
      <c r="D566">
        <f>IFERROR(ROUND(VLOOKUP(Table1[[#This Row],[Route]],SegmentsPerRoute!$C$3:$L$297,8,FALSE)+(Table1[[#This Row],[Sequence]]-1)*VLOOKUP(Table1[[#This Row],[Route]],SegmentsPerRoute!$C$3:$L$297,10,FALSE),0), 0)</f>
        <v>31</v>
      </c>
      <c r="E566">
        <v>6</v>
      </c>
      <c r="F566" s="1">
        <v>8.0519999999999996</v>
      </c>
      <c r="G566" t="s">
        <v>86</v>
      </c>
      <c r="H566" s="1">
        <v>9.4830000000000005</v>
      </c>
      <c r="I566" t="s">
        <v>17</v>
      </c>
      <c r="K566" t="s">
        <v>1694</v>
      </c>
      <c r="L566" t="s">
        <v>2709</v>
      </c>
      <c r="M566" t="s">
        <v>2742</v>
      </c>
      <c r="N566" t="s">
        <v>77</v>
      </c>
    </row>
    <row r="567" spans="1:14" x14ac:dyDescent="0.25">
      <c r="A567" s="41" t="str">
        <f>Table1[[#This Row],[Route]]&amp;TEXT(Table1[[#This Row],[SegmentID]],"00")</f>
        <v>076A34</v>
      </c>
      <c r="B567" t="s">
        <v>917</v>
      </c>
      <c r="D567">
        <f>IFERROR(ROUND(VLOOKUP(Table1[[#This Row],[Route]],SegmentsPerRoute!$C$3:$L$297,8,FALSE)+(Table1[[#This Row],[Sequence]]-1)*VLOOKUP(Table1[[#This Row],[Route]],SegmentsPerRoute!$C$3:$L$297,10,FALSE),0), 0)</f>
        <v>34</v>
      </c>
      <c r="E567">
        <v>7</v>
      </c>
      <c r="F567" s="1">
        <v>9.4830000000000005</v>
      </c>
      <c r="G567" t="s">
        <v>17</v>
      </c>
      <c r="H567" s="1">
        <v>12.427</v>
      </c>
      <c r="I567" t="s">
        <v>246</v>
      </c>
      <c r="K567" t="s">
        <v>1694</v>
      </c>
      <c r="L567" t="s">
        <v>2710</v>
      </c>
      <c r="M567" t="s">
        <v>2741</v>
      </c>
      <c r="N567" t="s">
        <v>77</v>
      </c>
    </row>
    <row r="568" spans="1:14" x14ac:dyDescent="0.25">
      <c r="A568" s="41" t="str">
        <f>Table1[[#This Row],[Route]]&amp;TEXT(Table1[[#This Row],[SegmentID]],"00")</f>
        <v>076A37</v>
      </c>
      <c r="B568" t="s">
        <v>917</v>
      </c>
      <c r="D568">
        <f>IFERROR(ROUND(VLOOKUP(Table1[[#This Row],[Route]],SegmentsPerRoute!$C$3:$L$297,8,FALSE)+(Table1[[#This Row],[Sequence]]-1)*VLOOKUP(Table1[[#This Row],[Route]],SegmentsPerRoute!$C$3:$L$297,10,FALSE),0), 0)</f>
        <v>37</v>
      </c>
      <c r="E568">
        <v>8</v>
      </c>
      <c r="F568" s="1">
        <v>12.427</v>
      </c>
      <c r="G568" t="s">
        <v>246</v>
      </c>
      <c r="H568" s="1">
        <v>16.477</v>
      </c>
      <c r="I568" t="s">
        <v>921</v>
      </c>
      <c r="K568" t="s">
        <v>1694</v>
      </c>
      <c r="L568" t="s">
        <v>2711</v>
      </c>
      <c r="M568" t="s">
        <v>2740</v>
      </c>
    </row>
    <row r="569" spans="1:14" x14ac:dyDescent="0.25">
      <c r="A569" s="41" t="str">
        <f>Table1[[#This Row],[Route]]&amp;TEXT(Table1[[#This Row],[SegmentID]],"00")</f>
        <v>076A41</v>
      </c>
      <c r="B569" t="s">
        <v>917</v>
      </c>
      <c r="D569">
        <f>IFERROR(ROUND(VLOOKUP(Table1[[#This Row],[Route]],SegmentsPerRoute!$C$3:$L$297,8,FALSE)+(Table1[[#This Row],[Sequence]]-1)*VLOOKUP(Table1[[#This Row],[Route]],SegmentsPerRoute!$C$3:$L$297,10,FALSE),0), 0)</f>
        <v>41</v>
      </c>
      <c r="E569">
        <v>9</v>
      </c>
      <c r="F569" s="1">
        <v>16.477</v>
      </c>
      <c r="G569" t="s">
        <v>921</v>
      </c>
      <c r="H569" s="1">
        <v>18.079000000000001</v>
      </c>
      <c r="I569" t="s">
        <v>820</v>
      </c>
      <c r="K569" t="s">
        <v>1694</v>
      </c>
      <c r="L569" t="s">
        <v>2711</v>
      </c>
      <c r="M569" t="s">
        <v>2740</v>
      </c>
    </row>
    <row r="570" spans="1:14" x14ac:dyDescent="0.25">
      <c r="A570" s="41" t="str">
        <f>Table1[[#This Row],[Route]]&amp;TEXT(Table1[[#This Row],[SegmentID]],"00")</f>
        <v>076A44</v>
      </c>
      <c r="B570" t="s">
        <v>917</v>
      </c>
      <c r="D570">
        <f>IFERROR(ROUND(VLOOKUP(Table1[[#This Row],[Route]],SegmentsPerRoute!$C$3:$L$297,8,FALSE)+(Table1[[#This Row],[Sequence]]-1)*VLOOKUP(Table1[[#This Row],[Route]],SegmentsPerRoute!$C$3:$L$297,10,FALSE),0), 0)</f>
        <v>44</v>
      </c>
      <c r="E570">
        <v>10</v>
      </c>
      <c r="F570" s="1">
        <v>18.079000000000001</v>
      </c>
      <c r="G570" t="s">
        <v>820</v>
      </c>
      <c r="H570" s="1">
        <v>31.48</v>
      </c>
      <c r="I570" t="s">
        <v>922</v>
      </c>
      <c r="K570" t="s">
        <v>1694</v>
      </c>
      <c r="L570" t="s">
        <v>2712</v>
      </c>
      <c r="M570" t="s">
        <v>2739</v>
      </c>
      <c r="N570" t="s">
        <v>936</v>
      </c>
    </row>
    <row r="571" spans="1:14" x14ac:dyDescent="0.25">
      <c r="A571" s="41" t="str">
        <f>Table1[[#This Row],[Route]]&amp;TEXT(Table1[[#This Row],[SegmentID]],"00")</f>
        <v>076A50</v>
      </c>
      <c r="B571" t="s">
        <v>917</v>
      </c>
      <c r="D571">
        <f>IFERROR(ROUND(VLOOKUP(Table1[[#This Row],[Route]],SegmentsPerRoute!$C$3:$L$297,8,FALSE)+(Table1[[#This Row],[Sequence]]-1)*VLOOKUP(Table1[[#This Row],[Route]],SegmentsPerRoute!$C$3:$L$297,10,FALSE),0), 0)</f>
        <v>50</v>
      </c>
      <c r="E571">
        <v>12</v>
      </c>
      <c r="F571" s="1">
        <v>31.48</v>
      </c>
      <c r="G571" t="s">
        <v>922</v>
      </c>
      <c r="H571" s="1">
        <v>38.924999999999997</v>
      </c>
      <c r="I571" t="s">
        <v>923</v>
      </c>
      <c r="K571" t="s">
        <v>1694</v>
      </c>
      <c r="L571" t="s">
        <v>2713</v>
      </c>
      <c r="M571" t="s">
        <v>2738</v>
      </c>
      <c r="N571" t="s">
        <v>937</v>
      </c>
    </row>
    <row r="572" spans="1:14" x14ac:dyDescent="0.25">
      <c r="A572" s="41" t="str">
        <f>Table1[[#This Row],[Route]]&amp;TEXT(Table1[[#This Row],[SegmentID]],"00")</f>
        <v>076A53</v>
      </c>
      <c r="B572" t="s">
        <v>917</v>
      </c>
      <c r="D572">
        <f>IFERROR(ROUND(VLOOKUP(Table1[[#This Row],[Route]],SegmentsPerRoute!$C$3:$L$297,8,FALSE)+(Table1[[#This Row],[Sequence]]-1)*VLOOKUP(Table1[[#This Row],[Route]],SegmentsPerRoute!$C$3:$L$297,10,FALSE),0), 0)</f>
        <v>53</v>
      </c>
      <c r="E572">
        <f>E571+1</f>
        <v>13</v>
      </c>
      <c r="F572" s="1">
        <v>38.924999999999997</v>
      </c>
      <c r="G572" t="s">
        <v>923</v>
      </c>
      <c r="H572" s="1">
        <v>59.798999999999999</v>
      </c>
      <c r="I572" t="s">
        <v>924</v>
      </c>
      <c r="K572" t="s">
        <v>1694</v>
      </c>
      <c r="L572" t="s">
        <v>2713</v>
      </c>
      <c r="M572" t="s">
        <v>2738</v>
      </c>
    </row>
    <row r="573" spans="1:14" x14ac:dyDescent="0.25">
      <c r="A573" s="41" t="str">
        <f>Table1[[#This Row],[Route]]&amp;TEXT(Table1[[#This Row],[SegmentID]],"00")</f>
        <v>076A57</v>
      </c>
      <c r="B573" t="s">
        <v>917</v>
      </c>
      <c r="D573">
        <f>IFERROR(ROUND(VLOOKUP(Table1[[#This Row],[Route]],SegmentsPerRoute!$C$3:$L$297,8,FALSE)+(Table1[[#This Row],[Sequence]]-1)*VLOOKUP(Table1[[#This Row],[Route]],SegmentsPerRoute!$C$3:$L$297,10,FALSE),0), 0)</f>
        <v>57</v>
      </c>
      <c r="E573">
        <f t="shared" ref="E573:E586" si="5">E572+1</f>
        <v>14</v>
      </c>
      <c r="F573" s="1">
        <v>59.798999999999999</v>
      </c>
      <c r="G573" t="s">
        <v>924</v>
      </c>
      <c r="H573" s="1">
        <v>63.883000000000003</v>
      </c>
      <c r="I573" t="s">
        <v>925</v>
      </c>
      <c r="K573" t="s">
        <v>1694</v>
      </c>
      <c r="L573" t="s">
        <v>2713</v>
      </c>
      <c r="M573" t="s">
        <v>2738</v>
      </c>
    </row>
    <row r="574" spans="1:14" x14ac:dyDescent="0.25">
      <c r="A574" s="41" t="str">
        <f>Table1[[#This Row],[Route]]&amp;TEXT(Table1[[#This Row],[SegmentID]],"00")</f>
        <v>076A60</v>
      </c>
      <c r="B574" t="s">
        <v>917</v>
      </c>
      <c r="D574">
        <f>IFERROR(ROUND(VLOOKUP(Table1[[#This Row],[Route]],SegmentsPerRoute!$C$3:$L$297,8,FALSE)+(Table1[[#This Row],[Sequence]]-1)*VLOOKUP(Table1[[#This Row],[Route]],SegmentsPerRoute!$C$3:$L$297,10,FALSE),0), 0)</f>
        <v>60</v>
      </c>
      <c r="E574">
        <f t="shared" si="5"/>
        <v>15</v>
      </c>
      <c r="F574" s="1">
        <v>63.883000000000003</v>
      </c>
      <c r="G574" t="s">
        <v>925</v>
      </c>
      <c r="H574" s="1">
        <v>66.099000000000004</v>
      </c>
      <c r="I574" t="s">
        <v>926</v>
      </c>
      <c r="K574" t="s">
        <v>1694</v>
      </c>
      <c r="L574" t="s">
        <v>2714</v>
      </c>
      <c r="M574" t="s">
        <v>2737</v>
      </c>
    </row>
    <row r="575" spans="1:14" x14ac:dyDescent="0.25">
      <c r="A575" s="41" t="str">
        <f>Table1[[#This Row],[Route]]&amp;TEXT(Table1[[#This Row],[SegmentID]],"00")</f>
        <v>076A63</v>
      </c>
      <c r="B575" t="s">
        <v>917</v>
      </c>
      <c r="D575">
        <f>IFERROR(ROUND(VLOOKUP(Table1[[#This Row],[Route]],SegmentsPerRoute!$C$3:$L$297,8,FALSE)+(Table1[[#This Row],[Sequence]]-1)*VLOOKUP(Table1[[#This Row],[Route]],SegmentsPerRoute!$C$3:$L$297,10,FALSE),0), 0)</f>
        <v>63</v>
      </c>
      <c r="E575">
        <f t="shared" si="5"/>
        <v>16</v>
      </c>
      <c r="F575" s="1">
        <v>66.099000000000004</v>
      </c>
      <c r="G575" t="s">
        <v>926</v>
      </c>
      <c r="H575" s="1">
        <v>66.287999999999997</v>
      </c>
      <c r="I575" t="s">
        <v>927</v>
      </c>
      <c r="J575" t="s">
        <v>913</v>
      </c>
      <c r="K575" t="s">
        <v>1694</v>
      </c>
    </row>
    <row r="576" spans="1:14" x14ac:dyDescent="0.25">
      <c r="A576" s="41" t="str">
        <f>Table1[[#This Row],[Route]]&amp;TEXT(Table1[[#This Row],[SegmentID]],"00")</f>
        <v>076A66</v>
      </c>
      <c r="B576" t="s">
        <v>917</v>
      </c>
      <c r="D576">
        <f>IFERROR(ROUND(VLOOKUP(Table1[[#This Row],[Route]],SegmentsPerRoute!$C$3:$L$297,8,FALSE)+(Table1[[#This Row],[Sequence]]-1)*VLOOKUP(Table1[[#This Row],[Route]],SegmentsPerRoute!$C$3:$L$297,10,FALSE),0), 0)</f>
        <v>66</v>
      </c>
      <c r="E576">
        <f t="shared" si="5"/>
        <v>17</v>
      </c>
      <c r="F576" s="1">
        <v>66.287999999999997</v>
      </c>
      <c r="G576" t="s">
        <v>927</v>
      </c>
      <c r="H576" s="1">
        <v>75.703999999999994</v>
      </c>
      <c r="I576" t="s">
        <v>928</v>
      </c>
      <c r="K576" t="s">
        <v>1694</v>
      </c>
      <c r="L576" t="s">
        <v>2715</v>
      </c>
      <c r="M576" t="s">
        <v>2736</v>
      </c>
    </row>
    <row r="577" spans="1:14" x14ac:dyDescent="0.25">
      <c r="A577" s="41" t="str">
        <f>Table1[[#This Row],[Route]]&amp;TEXT(Table1[[#This Row],[SegmentID]],"00")</f>
        <v>076A69</v>
      </c>
      <c r="B577" t="s">
        <v>917</v>
      </c>
      <c r="D577">
        <f>IFERROR(ROUND(VLOOKUP(Table1[[#This Row],[Route]],SegmentsPerRoute!$C$3:$L$297,8,FALSE)+(Table1[[#This Row],[Sequence]]-1)*VLOOKUP(Table1[[#This Row],[Route]],SegmentsPerRoute!$C$3:$L$297,10,FALSE),0), 0)</f>
        <v>69</v>
      </c>
      <c r="E577">
        <f t="shared" si="5"/>
        <v>18</v>
      </c>
      <c r="F577" s="1">
        <v>75.703999999999994</v>
      </c>
      <c r="G577" t="s">
        <v>928</v>
      </c>
      <c r="H577" s="1">
        <v>78.852000000000004</v>
      </c>
      <c r="I577" t="s">
        <v>929</v>
      </c>
      <c r="K577" t="s">
        <v>1694</v>
      </c>
      <c r="L577" t="s">
        <v>2716</v>
      </c>
      <c r="M577" t="s">
        <v>2735</v>
      </c>
    </row>
    <row r="578" spans="1:14" x14ac:dyDescent="0.25">
      <c r="A578" s="41" t="str">
        <f>Table1[[#This Row],[Route]]&amp;TEXT(Table1[[#This Row],[SegmentID]],"00")</f>
        <v>076A73</v>
      </c>
      <c r="B578" t="s">
        <v>917</v>
      </c>
      <c r="D578">
        <f>IFERROR(ROUND(VLOOKUP(Table1[[#This Row],[Route]],SegmentsPerRoute!$C$3:$L$297,8,FALSE)+(Table1[[#This Row],[Sequence]]-1)*VLOOKUP(Table1[[#This Row],[Route]],SegmentsPerRoute!$C$3:$L$297,10,FALSE),0), 0)</f>
        <v>73</v>
      </c>
      <c r="E578">
        <f t="shared" si="5"/>
        <v>19</v>
      </c>
      <c r="F578" s="1">
        <v>78.852000000000004</v>
      </c>
      <c r="G578" t="s">
        <v>929</v>
      </c>
      <c r="H578" s="1">
        <v>80.138999999999996</v>
      </c>
      <c r="I578" t="s">
        <v>415</v>
      </c>
      <c r="K578" t="s">
        <v>1694</v>
      </c>
      <c r="L578" t="s">
        <v>2717</v>
      </c>
      <c r="M578" t="s">
        <v>2734</v>
      </c>
      <c r="N578" t="s">
        <v>77</v>
      </c>
    </row>
    <row r="579" spans="1:14" x14ac:dyDescent="0.25">
      <c r="A579" s="41" t="str">
        <f>Table1[[#This Row],[Route]]&amp;TEXT(Table1[[#This Row],[SegmentID]],"00")</f>
        <v>076A76</v>
      </c>
      <c r="B579" t="s">
        <v>917</v>
      </c>
      <c r="D579">
        <f>IFERROR(ROUND(VLOOKUP(Table1[[#This Row],[Route]],SegmentsPerRoute!$C$3:$L$297,8,FALSE)+(Table1[[#This Row],[Sequence]]-1)*VLOOKUP(Table1[[#This Row],[Route]],SegmentsPerRoute!$C$3:$L$297,10,FALSE),0), 0)</f>
        <v>76</v>
      </c>
      <c r="E579">
        <f t="shared" si="5"/>
        <v>20</v>
      </c>
      <c r="F579" s="1">
        <v>80.138999999999996</v>
      </c>
      <c r="G579" t="s">
        <v>415</v>
      </c>
      <c r="H579" s="1">
        <v>89.643000000000001</v>
      </c>
      <c r="I579" t="s">
        <v>416</v>
      </c>
      <c r="K579" t="s">
        <v>1694</v>
      </c>
      <c r="L579" t="s">
        <v>2718</v>
      </c>
      <c r="M579" t="s">
        <v>2733</v>
      </c>
      <c r="N579" t="s">
        <v>77</v>
      </c>
    </row>
    <row r="580" spans="1:14" x14ac:dyDescent="0.25">
      <c r="A580" s="41" t="str">
        <f>Table1[[#This Row],[Route]]&amp;TEXT(Table1[[#This Row],[SegmentID]],"00")</f>
        <v>076A79</v>
      </c>
      <c r="B580" t="s">
        <v>917</v>
      </c>
      <c r="D580">
        <f>IFERROR(ROUND(VLOOKUP(Table1[[#This Row],[Route]],SegmentsPerRoute!$C$3:$L$297,8,FALSE)+(Table1[[#This Row],[Sequence]]-1)*VLOOKUP(Table1[[#This Row],[Route]],SegmentsPerRoute!$C$3:$L$297,10,FALSE),0), 0)</f>
        <v>79</v>
      </c>
      <c r="E580">
        <f t="shared" si="5"/>
        <v>21</v>
      </c>
      <c r="F580" s="1">
        <v>89.643000000000001</v>
      </c>
      <c r="G580" t="s">
        <v>416</v>
      </c>
      <c r="H580" s="1">
        <v>91.692999999999998</v>
      </c>
      <c r="I580" t="s">
        <v>930</v>
      </c>
      <c r="K580" t="s">
        <v>1694</v>
      </c>
      <c r="L580" t="s">
        <v>2719</v>
      </c>
      <c r="M580" t="s">
        <v>2732</v>
      </c>
      <c r="N580" t="s">
        <v>77</v>
      </c>
    </row>
    <row r="581" spans="1:14" x14ac:dyDescent="0.25">
      <c r="A581" s="41" t="str">
        <f>Table1[[#This Row],[Route]]&amp;TEXT(Table1[[#This Row],[SegmentID]],"00")</f>
        <v>076A82</v>
      </c>
      <c r="B581" t="s">
        <v>917</v>
      </c>
      <c r="D581">
        <f>IFERROR(ROUND(VLOOKUP(Table1[[#This Row],[Route]],SegmentsPerRoute!$C$3:$L$297,8,FALSE)+(Table1[[#This Row],[Sequence]]-1)*VLOOKUP(Table1[[#This Row],[Route]],SegmentsPerRoute!$C$3:$L$297,10,FALSE),0), 0)</f>
        <v>82</v>
      </c>
      <c r="E581">
        <f t="shared" si="5"/>
        <v>22</v>
      </c>
      <c r="F581" s="1">
        <v>91.692999999999998</v>
      </c>
      <c r="G581" t="s">
        <v>930</v>
      </c>
      <c r="H581" s="1">
        <v>115.197</v>
      </c>
      <c r="I581" t="s">
        <v>931</v>
      </c>
      <c r="K581" t="s">
        <v>1694</v>
      </c>
      <c r="L581" t="s">
        <v>2720</v>
      </c>
      <c r="M581" t="s">
        <v>2731</v>
      </c>
      <c r="N581" t="s">
        <v>77</v>
      </c>
    </row>
    <row r="582" spans="1:14" x14ac:dyDescent="0.25">
      <c r="A582" s="41" t="str">
        <f>Table1[[#This Row],[Route]]&amp;TEXT(Table1[[#This Row],[SegmentID]],"00")</f>
        <v>076A85</v>
      </c>
      <c r="B582" t="s">
        <v>917</v>
      </c>
      <c r="D582">
        <f>IFERROR(ROUND(VLOOKUP(Table1[[#This Row],[Route]],SegmentsPerRoute!$C$3:$L$297,8,FALSE)+(Table1[[#This Row],[Sequence]]-1)*VLOOKUP(Table1[[#This Row],[Route]],SegmentsPerRoute!$C$3:$L$297,10,FALSE),0), 0)</f>
        <v>85</v>
      </c>
      <c r="E582">
        <f t="shared" si="5"/>
        <v>23</v>
      </c>
      <c r="F582" s="1">
        <v>115.197</v>
      </c>
      <c r="G582" t="s">
        <v>931</v>
      </c>
      <c r="H582" s="1">
        <v>124.756</v>
      </c>
      <c r="I582" t="s">
        <v>727</v>
      </c>
      <c r="K582" t="s">
        <v>1694</v>
      </c>
      <c r="L582" t="s">
        <v>2721</v>
      </c>
      <c r="M582" t="s">
        <v>2730</v>
      </c>
      <c r="N582" t="s">
        <v>77</v>
      </c>
    </row>
    <row r="583" spans="1:14" x14ac:dyDescent="0.25">
      <c r="A583" s="41" t="str">
        <f>Table1[[#This Row],[Route]]&amp;TEXT(Table1[[#This Row],[SegmentID]],"00")</f>
        <v>076A89</v>
      </c>
      <c r="B583" t="s">
        <v>917</v>
      </c>
      <c r="D583">
        <f>IFERROR(ROUND(VLOOKUP(Table1[[#This Row],[Route]],SegmentsPerRoute!$C$3:$L$297,8,FALSE)+(Table1[[#This Row],[Sequence]]-1)*VLOOKUP(Table1[[#This Row],[Route]],SegmentsPerRoute!$C$3:$L$297,10,FALSE),0), 0)</f>
        <v>89</v>
      </c>
      <c r="E583">
        <f t="shared" si="5"/>
        <v>24</v>
      </c>
      <c r="F583" s="1">
        <v>124.756</v>
      </c>
      <c r="G583" t="s">
        <v>727</v>
      </c>
      <c r="H583" s="1">
        <v>148.88</v>
      </c>
      <c r="I583" t="s">
        <v>932</v>
      </c>
      <c r="K583" t="s">
        <v>1694</v>
      </c>
      <c r="L583" t="s">
        <v>2722</v>
      </c>
      <c r="M583" t="s">
        <v>2729</v>
      </c>
      <c r="N583" t="s">
        <v>77</v>
      </c>
    </row>
    <row r="584" spans="1:14" x14ac:dyDescent="0.25">
      <c r="A584" s="41" t="str">
        <f>Table1[[#This Row],[Route]]&amp;TEXT(Table1[[#This Row],[SegmentID]],"00")</f>
        <v>076A92</v>
      </c>
      <c r="B584" t="s">
        <v>917</v>
      </c>
      <c r="D584">
        <f>IFERROR(ROUND(VLOOKUP(Table1[[#This Row],[Route]],SegmentsPerRoute!$C$3:$L$297,8,FALSE)+(Table1[[#This Row],[Sequence]]-1)*VLOOKUP(Table1[[#This Row],[Route]],SegmentsPerRoute!$C$3:$L$297,10,FALSE),0), 0)</f>
        <v>92</v>
      </c>
      <c r="E584">
        <f t="shared" si="5"/>
        <v>25</v>
      </c>
      <c r="F584" s="1">
        <v>148.88</v>
      </c>
      <c r="G584" t="s">
        <v>932</v>
      </c>
      <c r="H584" s="1">
        <v>164.93299999999999</v>
      </c>
      <c r="I584" t="s">
        <v>933</v>
      </c>
      <c r="K584" t="s">
        <v>1694</v>
      </c>
      <c r="L584" t="s">
        <v>2723</v>
      </c>
      <c r="M584" t="s">
        <v>2728</v>
      </c>
      <c r="N584" t="s">
        <v>77</v>
      </c>
    </row>
    <row r="585" spans="1:14" x14ac:dyDescent="0.25">
      <c r="A585" s="41" t="str">
        <f>Table1[[#This Row],[Route]]&amp;TEXT(Table1[[#This Row],[SegmentID]],"00")</f>
        <v>076A95</v>
      </c>
      <c r="B585" t="s">
        <v>917</v>
      </c>
      <c r="D585">
        <f>IFERROR(ROUND(VLOOKUP(Table1[[#This Row],[Route]],SegmentsPerRoute!$C$3:$L$297,8,FALSE)+(Table1[[#This Row],[Sequence]]-1)*VLOOKUP(Table1[[#This Row],[Route]],SegmentsPerRoute!$C$3:$L$297,10,FALSE),0), 0)</f>
        <v>95</v>
      </c>
      <c r="E585">
        <f t="shared" si="5"/>
        <v>26</v>
      </c>
      <c r="F585" s="1">
        <v>164.93299999999999</v>
      </c>
      <c r="G585" t="s">
        <v>933</v>
      </c>
      <c r="H585" s="1">
        <v>180.221</v>
      </c>
      <c r="I585" t="s">
        <v>934</v>
      </c>
      <c r="K585" t="s">
        <v>1694</v>
      </c>
      <c r="L585" t="s">
        <v>2724</v>
      </c>
      <c r="M585" t="s">
        <v>2727</v>
      </c>
      <c r="N585" t="s">
        <v>77</v>
      </c>
    </row>
    <row r="586" spans="1:14" x14ac:dyDescent="0.25">
      <c r="A586" s="41" t="str">
        <f>Table1[[#This Row],[Route]]&amp;TEXT(Table1[[#This Row],[SegmentID]],"00")</f>
        <v>076A98</v>
      </c>
      <c r="B586" t="s">
        <v>917</v>
      </c>
      <c r="D586">
        <f>IFERROR(ROUND(VLOOKUP(Table1[[#This Row],[Route]],SegmentsPerRoute!$C$3:$L$297,8,FALSE)+(Table1[[#This Row],[Sequence]]-1)*VLOOKUP(Table1[[#This Row],[Route]],SegmentsPerRoute!$C$3:$L$297,10,FALSE),0), 0)</f>
        <v>98</v>
      </c>
      <c r="E586">
        <f t="shared" si="5"/>
        <v>27</v>
      </c>
      <c r="F586" s="1">
        <v>180.221</v>
      </c>
      <c r="G586" t="s">
        <v>934</v>
      </c>
      <c r="H586" s="1">
        <v>184.13499999999999</v>
      </c>
      <c r="I586" t="s">
        <v>249</v>
      </c>
      <c r="K586" t="s">
        <v>1694</v>
      </c>
      <c r="L586" t="s">
        <v>2725</v>
      </c>
      <c r="M586" t="s">
        <v>2726</v>
      </c>
      <c r="N586" t="s">
        <v>77</v>
      </c>
    </row>
    <row r="587" spans="1:14" x14ac:dyDescent="0.25">
      <c r="A587" s="41" t="str">
        <f>Table1[[#This Row],[Route]]&amp;TEXT(Table1[[#This Row],[SegmentID]],"00")</f>
        <v>076B15</v>
      </c>
      <c r="B587" t="s">
        <v>938</v>
      </c>
      <c r="D587">
        <f>IFERROR(ROUND(VLOOKUP(Table1[[#This Row],[Route]],SegmentsPerRoute!$C$3:$L$297,8,FALSE)+(Table1[[#This Row],[Sequence]]-1)*VLOOKUP(Table1[[#This Row],[Route]],SegmentsPerRoute!$C$3:$L$297,10,FALSE),0), 0)</f>
        <v>15</v>
      </c>
      <c r="E587">
        <v>1</v>
      </c>
      <c r="F587" s="1">
        <v>0</v>
      </c>
      <c r="G587" t="s">
        <v>939</v>
      </c>
      <c r="H587" s="1">
        <v>0.18099999999999999</v>
      </c>
      <c r="I587" t="s">
        <v>940</v>
      </c>
      <c r="J587" t="s">
        <v>21</v>
      </c>
      <c r="K587" t="s">
        <v>1709</v>
      </c>
    </row>
    <row r="588" spans="1:14" x14ac:dyDescent="0.25">
      <c r="A588" s="41" t="str">
        <f>Table1[[#This Row],[Route]]&amp;TEXT(Table1[[#This Row],[SegmentID]],"00")</f>
        <v>076B85</v>
      </c>
      <c r="B588" t="s">
        <v>938</v>
      </c>
      <c r="D588">
        <f>IFERROR(ROUND(VLOOKUP(Table1[[#This Row],[Route]],SegmentsPerRoute!$C$3:$L$297,8,FALSE)+(Table1[[#This Row],[Sequence]]-1)*VLOOKUP(Table1[[#This Row],[Route]],SegmentsPerRoute!$C$3:$L$297,10,FALSE),0), 0)</f>
        <v>85</v>
      </c>
      <c r="E588">
        <v>2</v>
      </c>
      <c r="F588" s="1">
        <v>0.18099999999999999</v>
      </c>
      <c r="G588" t="s">
        <v>940</v>
      </c>
      <c r="H588" s="1">
        <v>0.47199999999999998</v>
      </c>
      <c r="I588" t="s">
        <v>941</v>
      </c>
      <c r="J588" t="s">
        <v>21</v>
      </c>
      <c r="K588" t="s">
        <v>1709</v>
      </c>
    </row>
    <row r="589" spans="1:14" x14ac:dyDescent="0.25">
      <c r="A589" s="41" t="str">
        <f>Table1[[#This Row],[Route]]&amp;TEXT(Table1[[#This Row],[SegmentID]],"00")</f>
        <v>078A15</v>
      </c>
      <c r="B589" t="s">
        <v>942</v>
      </c>
      <c r="C589" s="11" t="s">
        <v>1730</v>
      </c>
      <c r="D589">
        <f>IFERROR(ROUND(VLOOKUP(Table1[[#This Row],[Route]],SegmentsPerRoute!$C$3:$L$297,8,FALSE)+(Table1[[#This Row],[Sequence]]-1)*VLOOKUP(Table1[[#This Row],[Route]],SegmentsPerRoute!$C$3:$L$297,10,FALSE),0), 0)</f>
        <v>15</v>
      </c>
      <c r="E589">
        <v>1</v>
      </c>
      <c r="F589" s="1">
        <v>0</v>
      </c>
      <c r="G589" t="s">
        <v>943</v>
      </c>
      <c r="H589" s="1">
        <v>12.71</v>
      </c>
      <c r="I589" t="s">
        <v>944</v>
      </c>
      <c r="J589" t="s">
        <v>945</v>
      </c>
      <c r="K589" t="s">
        <v>1689</v>
      </c>
      <c r="L589" t="s">
        <v>2747</v>
      </c>
      <c r="M589" t="s">
        <v>2750</v>
      </c>
    </row>
    <row r="590" spans="1:14" x14ac:dyDescent="0.25">
      <c r="A590" s="41" t="str">
        <f>Table1[[#This Row],[Route]]&amp;TEXT(Table1[[#This Row],[SegmentID]],"00")</f>
        <v>078A85</v>
      </c>
      <c r="B590" t="s">
        <v>942</v>
      </c>
      <c r="C590" s="11" t="s">
        <v>1731</v>
      </c>
      <c r="D590">
        <f>IFERROR(ROUND(VLOOKUP(Table1[[#This Row],[Route]],SegmentsPerRoute!$C$3:$L$297,8,FALSE)+(Table1[[#This Row],[Sequence]]-1)*VLOOKUP(Table1[[#This Row],[Route]],SegmentsPerRoute!$C$3:$L$297,10,FALSE),0), 0)</f>
        <v>85</v>
      </c>
      <c r="E590">
        <v>2</v>
      </c>
      <c r="F590" s="1">
        <v>12.71</v>
      </c>
      <c r="G590" t="s">
        <v>944</v>
      </c>
      <c r="H590" s="1">
        <v>33.271999999999998</v>
      </c>
      <c r="I590" t="s">
        <v>317</v>
      </c>
      <c r="K590" t="s">
        <v>1689</v>
      </c>
      <c r="L590" t="s">
        <v>2748</v>
      </c>
      <c r="M590" t="s">
        <v>2749</v>
      </c>
      <c r="N590" t="s">
        <v>950</v>
      </c>
    </row>
    <row r="591" spans="1:14" ht="30" x14ac:dyDescent="0.25">
      <c r="A591" s="41" t="str">
        <f>Table1[[#This Row],[Route]]&amp;TEXT(Table1[[#This Row],[SegmentID]],"00")</f>
        <v>078B15</v>
      </c>
      <c r="B591" t="s">
        <v>946</v>
      </c>
      <c r="D591">
        <f>IFERROR(ROUND(VLOOKUP(Table1[[#This Row],[Route]],SegmentsPerRoute!$C$3:$L$297,8,FALSE)+(Table1[[#This Row],[Sequence]]-1)*VLOOKUP(Table1[[#This Row],[Route]],SegmentsPerRoute!$C$3:$L$297,10,FALSE),0), 0)</f>
        <v>15</v>
      </c>
      <c r="E591">
        <v>1</v>
      </c>
      <c r="F591" s="1">
        <v>0</v>
      </c>
      <c r="G591" t="s">
        <v>947</v>
      </c>
      <c r="H591" s="1">
        <v>1.4930000000000001</v>
      </c>
      <c r="I591" t="s">
        <v>948</v>
      </c>
      <c r="J591" t="s">
        <v>21</v>
      </c>
      <c r="K591" t="s">
        <v>1709</v>
      </c>
      <c r="N591" s="4" t="s">
        <v>949</v>
      </c>
    </row>
    <row r="592" spans="1:14" x14ac:dyDescent="0.25">
      <c r="A592" s="41" t="str">
        <f>Table1[[#This Row],[Route]]&amp;TEXT(Table1[[#This Row],[SegmentID]],"00")</f>
        <v>079A15</v>
      </c>
      <c r="B592" t="s">
        <v>951</v>
      </c>
      <c r="D592">
        <f>IFERROR(ROUND(VLOOKUP(Table1[[#This Row],[Route]],SegmentsPerRoute!$C$3:$L$297,8,FALSE)+(Table1[[#This Row],[Sequence]]-1)*VLOOKUP(Table1[[#This Row],[Route]],SegmentsPerRoute!$C$3:$L$297,10,FALSE),0), 0)</f>
        <v>15</v>
      </c>
      <c r="E592">
        <v>1</v>
      </c>
      <c r="F592" s="1">
        <v>0</v>
      </c>
      <c r="G592" t="s">
        <v>952</v>
      </c>
      <c r="H592" s="1">
        <v>1.24</v>
      </c>
      <c r="I592" t="s">
        <v>953</v>
      </c>
      <c r="K592" t="s">
        <v>1689</v>
      </c>
      <c r="L592" t="s">
        <v>2751</v>
      </c>
      <c r="M592" t="s">
        <v>2752</v>
      </c>
    </row>
    <row r="593" spans="1:14" x14ac:dyDescent="0.25">
      <c r="A593" s="41" t="str">
        <f>Table1[[#This Row],[Route]]&amp;TEXT(Table1[[#This Row],[SegmentID]],"00")</f>
        <v>079B15</v>
      </c>
      <c r="B593" t="s">
        <v>954</v>
      </c>
      <c r="D593">
        <f>IFERROR(ROUND(VLOOKUP(Table1[[#This Row],[Route]],SegmentsPerRoute!$C$3:$L$297,8,FALSE)+(Table1[[#This Row],[Sequence]]-1)*VLOOKUP(Table1[[#This Row],[Route]],SegmentsPerRoute!$C$3:$L$297,10,FALSE),0), 0)</f>
        <v>15</v>
      </c>
      <c r="E593">
        <v>1</v>
      </c>
      <c r="F593" s="1">
        <v>1.58</v>
      </c>
      <c r="G593" t="s">
        <v>955</v>
      </c>
      <c r="H593" s="1">
        <v>23.891999999999999</v>
      </c>
      <c r="I593" t="s">
        <v>956</v>
      </c>
      <c r="K593" t="s">
        <v>1689</v>
      </c>
      <c r="L593" t="s">
        <v>2753</v>
      </c>
      <c r="M593" t="s">
        <v>2754</v>
      </c>
      <c r="N593" t="s">
        <v>488</v>
      </c>
    </row>
    <row r="594" spans="1:14" x14ac:dyDescent="0.25">
      <c r="A594" s="41" t="str">
        <f>Table1[[#This Row],[Route]]&amp;TEXT(Table1[[#This Row],[SegmentID]],"00")</f>
        <v>082A15</v>
      </c>
      <c r="B594" t="s">
        <v>957</v>
      </c>
      <c r="C594" s="3" t="s">
        <v>964</v>
      </c>
      <c r="D594">
        <f>IFERROR(ROUND(VLOOKUP(Table1[[#This Row],[Route]],SegmentsPerRoute!$C$3:$L$297,8,FALSE)+(Table1[[#This Row],[Sequence]]-1)*VLOOKUP(Table1[[#This Row],[Route]],SegmentsPerRoute!$C$3:$L$297,10,FALSE),0), 0)</f>
        <v>15</v>
      </c>
      <c r="E594">
        <v>1</v>
      </c>
      <c r="F594" s="1">
        <v>0</v>
      </c>
      <c r="G594" t="s">
        <v>958</v>
      </c>
      <c r="H594" s="1">
        <v>7.0000000000000007E-2</v>
      </c>
      <c r="I594" t="s">
        <v>959</v>
      </c>
      <c r="K594" t="s">
        <v>1702</v>
      </c>
      <c r="L594" t="s">
        <v>2755</v>
      </c>
      <c r="M594" t="s">
        <v>2758</v>
      </c>
      <c r="N594" t="s">
        <v>962</v>
      </c>
    </row>
    <row r="595" spans="1:14" x14ac:dyDescent="0.25">
      <c r="A595" s="41" t="str">
        <f>Table1[[#This Row],[Route]]&amp;TEXT(Table1[[#This Row],[SegmentID]],"00")</f>
        <v>082A50</v>
      </c>
      <c r="B595" t="s">
        <v>957</v>
      </c>
      <c r="C595" s="3" t="s">
        <v>964</v>
      </c>
      <c r="D595">
        <f>IFERROR(ROUND(VLOOKUP(Table1[[#This Row],[Route]],SegmentsPerRoute!$C$3:$L$297,8,FALSE)+(Table1[[#This Row],[Sequence]]-1)*VLOOKUP(Table1[[#This Row],[Route]],SegmentsPerRoute!$C$3:$L$297,10,FALSE),0), 0)</f>
        <v>50</v>
      </c>
      <c r="E595">
        <v>2</v>
      </c>
      <c r="F595" s="1">
        <v>7.0000000000000007E-2</v>
      </c>
      <c r="G595" t="s">
        <v>959</v>
      </c>
      <c r="H595" s="1">
        <v>11.699</v>
      </c>
      <c r="I595" t="s">
        <v>960</v>
      </c>
      <c r="K595" t="s">
        <v>1702</v>
      </c>
      <c r="L595" t="s">
        <v>2755</v>
      </c>
      <c r="M595" t="s">
        <v>2758</v>
      </c>
      <c r="N595" t="s">
        <v>962</v>
      </c>
    </row>
    <row r="596" spans="1:14" x14ac:dyDescent="0.25">
      <c r="A596" s="41" t="str">
        <f>Table1[[#This Row],[Route]]&amp;TEXT(Table1[[#This Row],[SegmentID]],"00")</f>
        <v>082A85</v>
      </c>
      <c r="B596" t="s">
        <v>957</v>
      </c>
      <c r="C596" s="3" t="s">
        <v>965</v>
      </c>
      <c r="D596">
        <f>IFERROR(ROUND(VLOOKUP(Table1[[#This Row],[Route]],SegmentsPerRoute!$C$3:$L$297,8,FALSE)+(Table1[[#This Row],[Sequence]]-1)*VLOOKUP(Table1[[#This Row],[Route]],SegmentsPerRoute!$C$3:$L$297,10,FALSE),0), 0)</f>
        <v>85</v>
      </c>
      <c r="E596">
        <v>3</v>
      </c>
      <c r="F596" s="1">
        <v>11.699</v>
      </c>
      <c r="G596" t="s">
        <v>960</v>
      </c>
      <c r="H596" s="1">
        <v>85.293000000000006</v>
      </c>
      <c r="I596" t="s">
        <v>961</v>
      </c>
      <c r="K596" t="s">
        <v>1702</v>
      </c>
      <c r="L596" t="s">
        <v>2756</v>
      </c>
      <c r="M596" t="s">
        <v>2757</v>
      </c>
      <c r="N596" t="s">
        <v>963</v>
      </c>
    </row>
    <row r="597" spans="1:14" x14ac:dyDescent="0.25">
      <c r="A597" s="41" t="str">
        <f>Table1[[#This Row],[Route]]&amp;TEXT(Table1[[#This Row],[SegmentID]],"00")</f>
        <v>083A58</v>
      </c>
      <c r="B597" t="s">
        <v>966</v>
      </c>
      <c r="C597" s="3" t="s">
        <v>971</v>
      </c>
      <c r="D597">
        <f>IFERROR(ROUND(VLOOKUP(Table1[[#This Row],[Route]],SegmentsPerRoute!$C$3:$L$297,8,FALSE)+(Table1[[#This Row],[Sequence]]-1)*VLOOKUP(Table1[[#This Row],[Route]],SegmentsPerRoute!$C$3:$L$297,10,FALSE),0), 0)</f>
        <v>58</v>
      </c>
      <c r="E597">
        <v>9</v>
      </c>
      <c r="F597" s="1">
        <v>20.367999999999999</v>
      </c>
      <c r="G597" t="s">
        <v>967</v>
      </c>
      <c r="H597" s="1">
        <v>50.756</v>
      </c>
      <c r="I597" t="s">
        <v>968</v>
      </c>
      <c r="K597" t="s">
        <v>1700</v>
      </c>
      <c r="L597" t="s">
        <v>2759</v>
      </c>
      <c r="M597" t="s">
        <v>2766</v>
      </c>
      <c r="N597" t="s">
        <v>392</v>
      </c>
    </row>
    <row r="598" spans="1:14" x14ac:dyDescent="0.25">
      <c r="A598" s="41" t="str">
        <f>Table1[[#This Row],[Route]]&amp;TEXT(Table1[[#This Row],[SegmentID]],"00")</f>
        <v>083A64</v>
      </c>
      <c r="B598" t="s">
        <v>966</v>
      </c>
      <c r="C598" s="3" t="s">
        <v>971</v>
      </c>
      <c r="D598">
        <f>IFERROR(ROUND(VLOOKUP(Table1[[#This Row],[Route]],SegmentsPerRoute!$C$3:$L$297,8,FALSE)+(Table1[[#This Row],[Sequence]]-1)*VLOOKUP(Table1[[#This Row],[Route]],SegmentsPerRoute!$C$3:$L$297,10,FALSE),0), 0)</f>
        <v>64</v>
      </c>
      <c r="E598">
        <f>E597+1</f>
        <v>10</v>
      </c>
      <c r="F598" s="1">
        <v>50.756</v>
      </c>
      <c r="G598" t="s">
        <v>968</v>
      </c>
      <c r="H598" s="1">
        <v>62.075000000000003</v>
      </c>
      <c r="I598" t="s">
        <v>820</v>
      </c>
      <c r="K598" t="s">
        <v>1700</v>
      </c>
      <c r="L598" t="s">
        <v>2760</v>
      </c>
      <c r="M598" t="s">
        <v>2765</v>
      </c>
      <c r="N598" t="s">
        <v>392</v>
      </c>
    </row>
    <row r="599" spans="1:14" x14ac:dyDescent="0.25">
      <c r="A599" s="41" t="str">
        <f>Table1[[#This Row],[Route]]&amp;TEXT(Table1[[#This Row],[SegmentID]],"00")</f>
        <v>083A69</v>
      </c>
      <c r="B599" t="s">
        <v>966</v>
      </c>
      <c r="C599" s="3" t="s">
        <v>971</v>
      </c>
      <c r="D599">
        <f>IFERROR(ROUND(VLOOKUP(Table1[[#This Row],[Route]],SegmentsPerRoute!$C$3:$L$297,8,FALSE)+(Table1[[#This Row],[Sequence]]-1)*VLOOKUP(Table1[[#This Row],[Route]],SegmentsPerRoute!$C$3:$L$297,10,FALSE),0), 0)</f>
        <v>69</v>
      </c>
      <c r="E599">
        <f t="shared" ref="E599:E602" si="6">E598+1</f>
        <v>11</v>
      </c>
      <c r="F599" s="1">
        <v>62.075000000000003</v>
      </c>
      <c r="G599" t="s">
        <v>820</v>
      </c>
      <c r="H599" s="1">
        <v>65.319999999999993</v>
      </c>
      <c r="I599" t="s">
        <v>330</v>
      </c>
      <c r="K599" t="s">
        <v>1700</v>
      </c>
      <c r="L599" t="s">
        <v>2761</v>
      </c>
      <c r="M599" t="s">
        <v>2764</v>
      </c>
      <c r="N599" t="s">
        <v>392</v>
      </c>
    </row>
    <row r="600" spans="1:14" x14ac:dyDescent="0.25">
      <c r="A600" s="41" t="str">
        <f>Table1[[#This Row],[Route]]&amp;TEXT(Table1[[#This Row],[SegmentID]],"00")</f>
        <v>083A74</v>
      </c>
      <c r="B600" t="s">
        <v>966</v>
      </c>
      <c r="C600" s="3" t="s">
        <v>971</v>
      </c>
      <c r="D600">
        <f>IFERROR(ROUND(VLOOKUP(Table1[[#This Row],[Route]],SegmentsPerRoute!$C$3:$L$297,8,FALSE)+(Table1[[#This Row],[Sequence]]-1)*VLOOKUP(Table1[[#This Row],[Route]],SegmentsPerRoute!$C$3:$L$297,10,FALSE),0), 0)</f>
        <v>74</v>
      </c>
      <c r="E600">
        <f t="shared" si="6"/>
        <v>12</v>
      </c>
      <c r="F600" s="1">
        <v>65.319999999999993</v>
      </c>
      <c r="G600" t="s">
        <v>330</v>
      </c>
      <c r="H600" s="1">
        <v>70.566000000000003</v>
      </c>
      <c r="I600" t="s">
        <v>969</v>
      </c>
      <c r="K600" t="s">
        <v>1700</v>
      </c>
      <c r="L600" t="s">
        <v>2761</v>
      </c>
      <c r="M600" t="s">
        <v>2764</v>
      </c>
      <c r="N600" t="s">
        <v>392</v>
      </c>
    </row>
    <row r="601" spans="1:14" x14ac:dyDescent="0.25">
      <c r="A601" s="41" t="str">
        <f>Table1[[#This Row],[Route]]&amp;TEXT(Table1[[#This Row],[SegmentID]],"00")</f>
        <v>083A80</v>
      </c>
      <c r="B601" t="s">
        <v>966</v>
      </c>
      <c r="C601" s="3" t="s">
        <v>972</v>
      </c>
      <c r="D601">
        <f>IFERROR(ROUND(VLOOKUP(Table1[[#This Row],[Route]],SegmentsPerRoute!$C$3:$L$297,8,FALSE)+(Table1[[#This Row],[Sequence]]-1)*VLOOKUP(Table1[[#This Row],[Route]],SegmentsPerRoute!$C$3:$L$297,10,FALSE),0), 0)</f>
        <v>80</v>
      </c>
      <c r="E601">
        <f t="shared" si="6"/>
        <v>13</v>
      </c>
      <c r="F601" s="1">
        <v>70.566000000000003</v>
      </c>
      <c r="G601" t="s">
        <v>969</v>
      </c>
      <c r="H601" s="1">
        <v>72.132999999999996</v>
      </c>
      <c r="I601" t="s">
        <v>970</v>
      </c>
      <c r="K601" t="s">
        <v>1701</v>
      </c>
      <c r="L601" t="s">
        <v>2762</v>
      </c>
      <c r="M601" t="s">
        <v>2763</v>
      </c>
    </row>
    <row r="602" spans="1:14" x14ac:dyDescent="0.25">
      <c r="A602" s="41" t="str">
        <f>Table1[[#This Row],[Route]]&amp;TEXT(Table1[[#This Row],[SegmentID]],"00")</f>
        <v>083A85</v>
      </c>
      <c r="B602" t="s">
        <v>966</v>
      </c>
      <c r="C602" s="3" t="s">
        <v>972</v>
      </c>
      <c r="D602">
        <f>IFERROR(ROUND(VLOOKUP(Table1[[#This Row],[Route]],SegmentsPerRoute!$C$3:$L$297,8,FALSE)+(Table1[[#This Row],[Sequence]]-1)*VLOOKUP(Table1[[#This Row],[Route]],SegmentsPerRoute!$C$3:$L$297,10,FALSE),0), 0)</f>
        <v>85</v>
      </c>
      <c r="E602">
        <f t="shared" si="6"/>
        <v>14</v>
      </c>
      <c r="F602" s="1">
        <v>72.132999999999996</v>
      </c>
      <c r="G602" t="s">
        <v>970</v>
      </c>
      <c r="H602" s="1">
        <v>77.266999999999996</v>
      </c>
      <c r="I602" t="s">
        <v>83</v>
      </c>
      <c r="K602" t="s">
        <v>1701</v>
      </c>
      <c r="L602" t="s">
        <v>2762</v>
      </c>
      <c r="M602" t="s">
        <v>2763</v>
      </c>
    </row>
    <row r="603" spans="1:14" x14ac:dyDescent="0.25">
      <c r="A603" s="41" t="str">
        <f>Table1[[#This Row],[Route]]&amp;TEXT(Table1[[#This Row],[SegmentID]],"00")</f>
        <v>084A01</v>
      </c>
      <c r="B603" t="s">
        <v>973</v>
      </c>
      <c r="D603">
        <f>IFERROR(ROUND(VLOOKUP(Table1[[#This Row],[Route]],SegmentsPerRoute!$C$3:$L$297,8,FALSE)+(Table1[[#This Row],[Sequence]]-1)*VLOOKUP(Table1[[#This Row],[Route]],SegmentsPerRoute!$C$3:$L$297,10,FALSE),0), 0)</f>
        <v>1</v>
      </c>
      <c r="E603">
        <v>1</v>
      </c>
      <c r="F603" s="1">
        <v>0</v>
      </c>
      <c r="G603" t="s">
        <v>231</v>
      </c>
      <c r="H603" s="1">
        <v>27.923999999999999</v>
      </c>
      <c r="I603" t="s">
        <v>974</v>
      </c>
      <c r="K603" t="s">
        <v>1695</v>
      </c>
      <c r="L603" t="s">
        <v>2767</v>
      </c>
      <c r="M603" t="s">
        <v>2768</v>
      </c>
      <c r="N603" t="s">
        <v>975</v>
      </c>
    </row>
    <row r="604" spans="1:14" x14ac:dyDescent="0.25">
      <c r="A604" s="41" t="str">
        <f>Table1[[#This Row],[Route]]&amp;TEXT(Table1[[#This Row],[SegmentID]],"00")</f>
        <v>085A15</v>
      </c>
      <c r="B604" t="s">
        <v>976</v>
      </c>
      <c r="C604" s="3" t="s">
        <v>979</v>
      </c>
      <c r="D604">
        <f>IFERROR(ROUND(VLOOKUP(Table1[[#This Row],[Route]],SegmentsPerRoute!$C$3:$L$297,8,FALSE)+(Table1[[#This Row],[Sequence]]-1)*VLOOKUP(Table1[[#This Row],[Route]],SegmentsPerRoute!$C$3:$L$297,10,FALSE),0), 0)</f>
        <v>15</v>
      </c>
      <c r="E604">
        <v>1</v>
      </c>
      <c r="F604" s="1">
        <v>127.651</v>
      </c>
      <c r="G604" t="s">
        <v>977</v>
      </c>
      <c r="H604" s="1">
        <v>131.56100000000001</v>
      </c>
      <c r="I604" t="s">
        <v>239</v>
      </c>
      <c r="J604" t="s">
        <v>4610</v>
      </c>
      <c r="K604" t="s">
        <v>1707</v>
      </c>
      <c r="N604" t="s">
        <v>229</v>
      </c>
    </row>
    <row r="605" spans="1:14" x14ac:dyDescent="0.25">
      <c r="A605" s="41" t="str">
        <f>Table1[[#This Row],[Route]]&amp;TEXT(Table1[[#This Row],[SegmentID]],"00")</f>
        <v>085A33</v>
      </c>
      <c r="B605" t="s">
        <v>976</v>
      </c>
      <c r="C605" s="11" t="s">
        <v>980</v>
      </c>
      <c r="D605">
        <f>IFERROR(ROUND(VLOOKUP(Table1[[#This Row],[Route]],SegmentsPerRoute!$C$3:$L$297,8,FALSE)+(Table1[[#This Row],[Sequence]]-1)*VLOOKUP(Table1[[#This Row],[Route]],SegmentsPerRoute!$C$3:$L$297,10,FALSE),0), 0)</f>
        <v>33</v>
      </c>
      <c r="E605">
        <v>2</v>
      </c>
      <c r="F605" s="1">
        <v>131.56100000000001</v>
      </c>
      <c r="G605" t="s">
        <v>239</v>
      </c>
      <c r="H605" s="1">
        <v>137.04</v>
      </c>
      <c r="I605" t="s">
        <v>978</v>
      </c>
      <c r="J605" t="s">
        <v>21</v>
      </c>
      <c r="K605" t="s">
        <v>1706</v>
      </c>
      <c r="N605" t="s">
        <v>229</v>
      </c>
    </row>
    <row r="606" spans="1:14" x14ac:dyDescent="0.25">
      <c r="A606" s="41" t="str">
        <f>Table1[[#This Row],[Route]]&amp;TEXT(Table1[[#This Row],[SegmentID]],"00")</f>
        <v>085B15</v>
      </c>
      <c r="B606" t="s">
        <v>981</v>
      </c>
      <c r="C606" s="3" t="s">
        <v>986</v>
      </c>
      <c r="D606">
        <f>IFERROR(ROUND(VLOOKUP(Table1[[#This Row],[Route]],SegmentsPerRoute!$C$3:$L$297,8,FALSE)+(Table1[[#This Row],[Sequence]]-1)*VLOOKUP(Table1[[#This Row],[Route]],SegmentsPerRoute!$C$3:$L$297,10,FALSE),0), 0)</f>
        <v>15</v>
      </c>
      <c r="E606">
        <v>1</v>
      </c>
      <c r="F606" s="1">
        <v>184.667</v>
      </c>
      <c r="G606" t="s">
        <v>982</v>
      </c>
      <c r="H606" s="1">
        <v>190.36699999999999</v>
      </c>
      <c r="I606" t="s">
        <v>983</v>
      </c>
      <c r="K606" t="s">
        <v>1704</v>
      </c>
      <c r="L606" t="s">
        <v>2769</v>
      </c>
      <c r="M606" t="s">
        <v>2778</v>
      </c>
      <c r="N606" t="s">
        <v>368</v>
      </c>
    </row>
    <row r="607" spans="1:14" x14ac:dyDescent="0.25">
      <c r="A607" s="41" t="str">
        <f>Table1[[#This Row],[Route]]&amp;TEXT(Table1[[#This Row],[SegmentID]],"00")</f>
        <v>085B33</v>
      </c>
      <c r="B607" t="s">
        <v>981</v>
      </c>
      <c r="C607" s="3" t="s">
        <v>987</v>
      </c>
      <c r="D607">
        <f>IFERROR(ROUND(VLOOKUP(Table1[[#This Row],[Route]],SegmentsPerRoute!$C$3:$L$297,8,FALSE)+(Table1[[#This Row],[Sequence]]-1)*VLOOKUP(Table1[[#This Row],[Route]],SegmentsPerRoute!$C$3:$L$297,10,FALSE),0), 0)</f>
        <v>33</v>
      </c>
      <c r="E607">
        <v>2</v>
      </c>
      <c r="F607" s="1">
        <v>190.36699999999999</v>
      </c>
      <c r="G607" t="s">
        <v>983</v>
      </c>
      <c r="H607" s="1">
        <v>200.38800000000001</v>
      </c>
      <c r="I607" t="s">
        <v>984</v>
      </c>
      <c r="K607" t="s">
        <v>1702</v>
      </c>
      <c r="L607" t="s">
        <v>2770</v>
      </c>
      <c r="M607" t="s">
        <v>2777</v>
      </c>
      <c r="N607" t="s">
        <v>989</v>
      </c>
    </row>
    <row r="608" spans="1:14" x14ac:dyDescent="0.25">
      <c r="A608" s="41" t="str">
        <f>Table1[[#This Row],[Route]]&amp;TEXT(Table1[[#This Row],[SegmentID]],"00")</f>
        <v>085B50</v>
      </c>
      <c r="B608" t="s">
        <v>981</v>
      </c>
      <c r="C608" s="3" t="s">
        <v>988</v>
      </c>
      <c r="D608">
        <f>IFERROR(ROUND(VLOOKUP(Table1[[#This Row],[Route]],SegmentsPerRoute!$C$3:$L$297,8,FALSE)+(Table1[[#This Row],[Sequence]]-1)*VLOOKUP(Table1[[#This Row],[Route]],SegmentsPerRoute!$C$3:$L$297,10,FALSE),0), 0)</f>
        <v>50</v>
      </c>
      <c r="E608">
        <v>3</v>
      </c>
      <c r="F608" s="1">
        <v>200.38800000000001</v>
      </c>
      <c r="G608" t="s">
        <v>984</v>
      </c>
      <c r="H608" s="1">
        <v>204.755</v>
      </c>
      <c r="I608" t="s">
        <v>331</v>
      </c>
      <c r="K608" t="s">
        <v>1704</v>
      </c>
      <c r="L608" t="s">
        <v>2771</v>
      </c>
      <c r="M608" t="s">
        <v>2776</v>
      </c>
      <c r="N608" t="s">
        <v>77</v>
      </c>
    </row>
    <row r="609" spans="1:14" x14ac:dyDescent="0.25">
      <c r="A609" s="41" t="str">
        <f>Table1[[#This Row],[Route]]&amp;TEXT(Table1[[#This Row],[SegmentID]],"00")</f>
        <v>085B68</v>
      </c>
      <c r="B609" t="s">
        <v>981</v>
      </c>
      <c r="C609" s="3" t="s">
        <v>988</v>
      </c>
      <c r="D609">
        <f>IFERROR(ROUND(VLOOKUP(Table1[[#This Row],[Route]],SegmentsPerRoute!$C$3:$L$297,8,FALSE)+(Table1[[#This Row],[Sequence]]-1)*VLOOKUP(Table1[[#This Row],[Route]],SegmentsPerRoute!$C$3:$L$297,10,FALSE),0), 0)</f>
        <v>68</v>
      </c>
      <c r="E609">
        <v>4</v>
      </c>
      <c r="F609" s="1">
        <v>204.755</v>
      </c>
      <c r="G609" t="s">
        <v>331</v>
      </c>
      <c r="H609" s="1">
        <v>206.78700000000001</v>
      </c>
      <c r="I609" t="s">
        <v>985</v>
      </c>
      <c r="K609" t="s">
        <v>1704</v>
      </c>
      <c r="L609" t="s">
        <v>2772</v>
      </c>
      <c r="M609" t="s">
        <v>2775</v>
      </c>
      <c r="N609" t="s">
        <v>77</v>
      </c>
    </row>
    <row r="610" spans="1:14" x14ac:dyDescent="0.25">
      <c r="A610" s="41" t="str">
        <f>Table1[[#This Row],[Route]]&amp;TEXT(Table1[[#This Row],[SegmentID]],"00")</f>
        <v>085B85</v>
      </c>
      <c r="B610" t="s">
        <v>981</v>
      </c>
      <c r="C610" s="3" t="s">
        <v>988</v>
      </c>
      <c r="D610">
        <f>IFERROR(ROUND(VLOOKUP(Table1[[#This Row],[Route]],SegmentsPerRoute!$C$3:$L$297,8,FALSE)+(Table1[[#This Row],[Sequence]]-1)*VLOOKUP(Table1[[#This Row],[Route]],SegmentsPerRoute!$C$3:$L$297,10,FALSE),0), 0)</f>
        <v>85</v>
      </c>
      <c r="E610">
        <v>5</v>
      </c>
      <c r="F610" s="1">
        <v>206.78700000000001</v>
      </c>
      <c r="G610" t="s">
        <v>985</v>
      </c>
      <c r="H610" s="1">
        <v>210.864</v>
      </c>
      <c r="I610" t="s">
        <v>11</v>
      </c>
      <c r="K610" t="s">
        <v>1704</v>
      </c>
      <c r="L610" t="s">
        <v>2773</v>
      </c>
      <c r="M610" t="s">
        <v>2774</v>
      </c>
      <c r="N610" t="s">
        <v>77</v>
      </c>
    </row>
    <row r="611" spans="1:14" x14ac:dyDescent="0.25">
      <c r="A611" s="41" t="str">
        <f>Table1[[#This Row],[Route]]&amp;TEXT(Table1[[#This Row],[SegmentID]],"00")</f>
        <v>085C15</v>
      </c>
      <c r="B611" t="s">
        <v>990</v>
      </c>
      <c r="D611">
        <f>IFERROR(ROUND(VLOOKUP(Table1[[#This Row],[Route]],SegmentsPerRoute!$C$3:$L$297,8,FALSE)+(Table1[[#This Row],[Sequence]]-1)*VLOOKUP(Table1[[#This Row],[Route]],SegmentsPerRoute!$C$3:$L$297,10,FALSE),0), 0)</f>
        <v>15</v>
      </c>
      <c r="E611">
        <v>1</v>
      </c>
      <c r="F611" s="1">
        <v>226.797</v>
      </c>
      <c r="G611" t="s">
        <v>87</v>
      </c>
      <c r="H611" s="1">
        <v>227.38800000000001</v>
      </c>
      <c r="I611" t="s">
        <v>991</v>
      </c>
      <c r="K611" t="s">
        <v>1693</v>
      </c>
      <c r="L611" t="s">
        <v>2779</v>
      </c>
      <c r="M611" t="s">
        <v>2790</v>
      </c>
      <c r="N611" t="s">
        <v>77</v>
      </c>
    </row>
    <row r="612" spans="1:14" x14ac:dyDescent="0.25">
      <c r="A612" s="41" t="str">
        <f>Table1[[#This Row],[Route]]&amp;TEXT(Table1[[#This Row],[SegmentID]],"00")</f>
        <v>085C21</v>
      </c>
      <c r="B612" t="s">
        <v>990</v>
      </c>
      <c r="D612">
        <f>IFERROR(ROUND(VLOOKUP(Table1[[#This Row],[Route]],SegmentsPerRoute!$C$3:$L$297,8,FALSE)+(Table1[[#This Row],[Sequence]]-1)*VLOOKUP(Table1[[#This Row],[Route]],SegmentsPerRoute!$C$3:$L$297,10,FALSE),0), 0)</f>
        <v>21</v>
      </c>
      <c r="E612">
        <v>2</v>
      </c>
      <c r="F612" s="1">
        <v>227.38800000000001</v>
      </c>
      <c r="G612" t="s">
        <v>991</v>
      </c>
      <c r="H612" s="1">
        <v>230.3</v>
      </c>
      <c r="I612" t="s">
        <v>992</v>
      </c>
      <c r="K612" t="s">
        <v>1693</v>
      </c>
      <c r="L612" t="s">
        <v>2779</v>
      </c>
      <c r="M612" t="s">
        <v>2790</v>
      </c>
      <c r="N612" t="s">
        <v>77</v>
      </c>
    </row>
    <row r="613" spans="1:14" x14ac:dyDescent="0.25">
      <c r="A613" s="41" t="str">
        <f>Table1[[#This Row],[Route]]&amp;TEXT(Table1[[#This Row],[SegmentID]],"00")</f>
        <v>085C28</v>
      </c>
      <c r="B613" t="s">
        <v>990</v>
      </c>
      <c r="D613">
        <f>IFERROR(ROUND(VLOOKUP(Table1[[#This Row],[Route]],SegmentsPerRoute!$C$3:$L$297,8,FALSE)+(Table1[[#This Row],[Sequence]]-1)*VLOOKUP(Table1[[#This Row],[Route]],SegmentsPerRoute!$C$3:$L$297,10,FALSE),0), 0)</f>
        <v>28</v>
      </c>
      <c r="E613">
        <v>3</v>
      </c>
      <c r="F613" s="1">
        <v>230.3</v>
      </c>
      <c r="G613" t="s">
        <v>992</v>
      </c>
      <c r="H613" s="1">
        <v>231.227</v>
      </c>
      <c r="I613" t="s">
        <v>820</v>
      </c>
      <c r="K613" t="s">
        <v>1693</v>
      </c>
      <c r="L613" t="s">
        <v>2780</v>
      </c>
      <c r="M613" t="s">
        <v>2789</v>
      </c>
      <c r="N613" t="s">
        <v>77</v>
      </c>
    </row>
    <row r="614" spans="1:14" x14ac:dyDescent="0.25">
      <c r="A614" s="41" t="str">
        <f>Table1[[#This Row],[Route]]&amp;TEXT(Table1[[#This Row],[SegmentID]],"00")</f>
        <v>085C34</v>
      </c>
      <c r="B614" t="s">
        <v>990</v>
      </c>
      <c r="D614">
        <f>IFERROR(ROUND(VLOOKUP(Table1[[#This Row],[Route]],SegmentsPerRoute!$C$3:$L$297,8,FALSE)+(Table1[[#This Row],[Sequence]]-1)*VLOOKUP(Table1[[#This Row],[Route]],SegmentsPerRoute!$C$3:$L$297,10,FALSE),0), 0)</f>
        <v>34</v>
      </c>
      <c r="E614">
        <v>4</v>
      </c>
      <c r="F614" s="1">
        <v>231.227</v>
      </c>
      <c r="G614" t="s">
        <v>820</v>
      </c>
      <c r="H614" s="1">
        <v>234.87100000000001</v>
      </c>
      <c r="I614" t="s">
        <v>993</v>
      </c>
      <c r="K614" t="s">
        <v>1693</v>
      </c>
      <c r="L614" t="s">
        <v>2780</v>
      </c>
      <c r="M614" t="s">
        <v>2789</v>
      </c>
      <c r="N614" t="s">
        <v>77</v>
      </c>
    </row>
    <row r="615" spans="1:14" x14ac:dyDescent="0.25">
      <c r="A615" s="41" t="str">
        <f>Table1[[#This Row],[Route]]&amp;TEXT(Table1[[#This Row],[SegmentID]],"00")</f>
        <v>085C41</v>
      </c>
      <c r="B615" t="s">
        <v>990</v>
      </c>
      <c r="D615">
        <f>IFERROR(ROUND(VLOOKUP(Table1[[#This Row],[Route]],SegmentsPerRoute!$C$3:$L$297,8,FALSE)+(Table1[[#This Row],[Sequence]]-1)*VLOOKUP(Table1[[#This Row],[Route]],SegmentsPerRoute!$C$3:$L$297,10,FALSE),0), 0)</f>
        <v>41</v>
      </c>
      <c r="E615">
        <v>5</v>
      </c>
      <c r="F615" s="1">
        <v>234.87100000000001</v>
      </c>
      <c r="G615" t="s">
        <v>993</v>
      </c>
      <c r="H615" s="1">
        <v>241.58500000000001</v>
      </c>
      <c r="I615" t="s">
        <v>994</v>
      </c>
      <c r="K615" t="s">
        <v>1693</v>
      </c>
      <c r="L615" t="s">
        <v>2780</v>
      </c>
      <c r="M615" t="s">
        <v>2789</v>
      </c>
      <c r="N615" t="s">
        <v>77</v>
      </c>
    </row>
    <row r="616" spans="1:14" x14ac:dyDescent="0.25">
      <c r="A616" s="41" t="str">
        <f>Table1[[#This Row],[Route]]&amp;TEXT(Table1[[#This Row],[SegmentID]],"00")</f>
        <v>085C47</v>
      </c>
      <c r="B616" t="s">
        <v>990</v>
      </c>
      <c r="D616">
        <f>IFERROR(ROUND(VLOOKUP(Table1[[#This Row],[Route]],SegmentsPerRoute!$C$3:$L$297,8,FALSE)+(Table1[[#This Row],[Sequence]]-1)*VLOOKUP(Table1[[#This Row],[Route]],SegmentsPerRoute!$C$3:$L$297,10,FALSE),0), 0)</f>
        <v>47</v>
      </c>
      <c r="E616">
        <v>6</v>
      </c>
      <c r="F616" s="1">
        <v>241.58500000000001</v>
      </c>
      <c r="G616" t="s">
        <v>994</v>
      </c>
      <c r="H616" s="1">
        <v>242.66</v>
      </c>
      <c r="I616" t="s">
        <v>995</v>
      </c>
      <c r="K616" t="s">
        <v>1693</v>
      </c>
      <c r="L616" t="s">
        <v>2781</v>
      </c>
      <c r="M616" t="s">
        <v>2788</v>
      </c>
      <c r="N616" t="s">
        <v>77</v>
      </c>
    </row>
    <row r="617" spans="1:14" x14ac:dyDescent="0.25">
      <c r="A617" s="41" t="str">
        <f>Table1[[#This Row],[Route]]&amp;TEXT(Table1[[#This Row],[SegmentID]],"00")</f>
        <v>085C53</v>
      </c>
      <c r="B617" t="s">
        <v>990</v>
      </c>
      <c r="D617">
        <f>IFERROR(ROUND(VLOOKUP(Table1[[#This Row],[Route]],SegmentsPerRoute!$C$3:$L$297,8,FALSE)+(Table1[[#This Row],[Sequence]]-1)*VLOOKUP(Table1[[#This Row],[Route]],SegmentsPerRoute!$C$3:$L$297,10,FALSE),0), 0)</f>
        <v>53</v>
      </c>
      <c r="E617">
        <v>7</v>
      </c>
      <c r="F617" s="1">
        <v>242.66</v>
      </c>
      <c r="G617" t="s">
        <v>995</v>
      </c>
      <c r="H617" s="1">
        <v>249.22200000000001</v>
      </c>
      <c r="I617" t="s">
        <v>1001</v>
      </c>
      <c r="K617" t="s">
        <v>1693</v>
      </c>
      <c r="L617" t="s">
        <v>2780</v>
      </c>
      <c r="M617" t="s">
        <v>2787</v>
      </c>
      <c r="N617" t="s">
        <v>77</v>
      </c>
    </row>
    <row r="618" spans="1:14" x14ac:dyDescent="0.25">
      <c r="A618" s="41" t="str">
        <f>Table1[[#This Row],[Route]]&amp;TEXT(Table1[[#This Row],[SegmentID]],"00")</f>
        <v>085C60</v>
      </c>
      <c r="B618" t="s">
        <v>990</v>
      </c>
      <c r="D618">
        <f>IFERROR(ROUND(VLOOKUP(Table1[[#This Row],[Route]],SegmentsPerRoute!$C$3:$L$297,8,FALSE)+(Table1[[#This Row],[Sequence]]-1)*VLOOKUP(Table1[[#This Row],[Route]],SegmentsPerRoute!$C$3:$L$297,10,FALSE),0), 0)</f>
        <v>60</v>
      </c>
      <c r="E618">
        <v>8</v>
      </c>
      <c r="F618" s="1">
        <v>249.22200000000001</v>
      </c>
      <c r="G618" t="s">
        <v>1001</v>
      </c>
      <c r="H618" s="1">
        <v>250.64599999999999</v>
      </c>
      <c r="I618" t="s">
        <v>996</v>
      </c>
      <c r="K618" t="s">
        <v>1693</v>
      </c>
      <c r="L618" t="s">
        <v>2782</v>
      </c>
      <c r="M618" t="s">
        <v>2786</v>
      </c>
      <c r="N618" t="s">
        <v>77</v>
      </c>
    </row>
    <row r="619" spans="1:14" x14ac:dyDescent="0.25">
      <c r="A619" s="41" t="str">
        <f>Table1[[#This Row],[Route]]&amp;TEXT(Table1[[#This Row],[SegmentID]],"00")</f>
        <v>085C66</v>
      </c>
      <c r="B619" t="s">
        <v>990</v>
      </c>
      <c r="D619">
        <f>IFERROR(ROUND(VLOOKUP(Table1[[#This Row],[Route]],SegmentsPerRoute!$C$3:$L$297,8,FALSE)+(Table1[[#This Row],[Sequence]]-1)*VLOOKUP(Table1[[#This Row],[Route]],SegmentsPerRoute!$C$3:$L$297,10,FALSE),0), 0)</f>
        <v>66</v>
      </c>
      <c r="E619">
        <v>9</v>
      </c>
      <c r="F619" s="1">
        <v>250.64599999999999</v>
      </c>
      <c r="G619" t="s">
        <v>996</v>
      </c>
      <c r="H619" s="1">
        <v>251.79499999999999</v>
      </c>
      <c r="I619" t="s">
        <v>997</v>
      </c>
      <c r="K619" t="s">
        <v>1693</v>
      </c>
      <c r="L619" t="s">
        <v>2783</v>
      </c>
      <c r="M619" t="s">
        <v>2785</v>
      </c>
    </row>
    <row r="620" spans="1:14" x14ac:dyDescent="0.25">
      <c r="A620" s="41" t="str">
        <f>Table1[[#This Row],[Route]]&amp;TEXT(Table1[[#This Row],[SegmentID]],"00")</f>
        <v>085C73</v>
      </c>
      <c r="B620" t="s">
        <v>990</v>
      </c>
      <c r="D620">
        <f>IFERROR(ROUND(VLOOKUP(Table1[[#This Row],[Route]],SegmentsPerRoute!$C$3:$L$297,8,FALSE)+(Table1[[#This Row],[Sequence]]-1)*VLOOKUP(Table1[[#This Row],[Route]],SegmentsPerRoute!$C$3:$L$297,10,FALSE),0), 0)</f>
        <v>73</v>
      </c>
      <c r="E620">
        <v>10</v>
      </c>
      <c r="F620" s="1">
        <v>251.79499999999999</v>
      </c>
      <c r="G620" t="s">
        <v>997</v>
      </c>
      <c r="H620" s="1">
        <v>253.809</v>
      </c>
      <c r="I620" t="s">
        <v>998</v>
      </c>
      <c r="K620" t="s">
        <v>1693</v>
      </c>
      <c r="L620" t="s">
        <v>2780</v>
      </c>
      <c r="M620" t="s">
        <v>2784</v>
      </c>
    </row>
    <row r="621" spans="1:14" x14ac:dyDescent="0.25">
      <c r="A621" s="41" t="str">
        <f>Table1[[#This Row],[Route]]&amp;TEXT(Table1[[#This Row],[SegmentID]],"00")</f>
        <v>085C79</v>
      </c>
      <c r="B621" t="s">
        <v>990</v>
      </c>
      <c r="D621">
        <f>IFERROR(ROUND(VLOOKUP(Table1[[#This Row],[Route]],SegmentsPerRoute!$C$3:$L$297,8,FALSE)+(Table1[[#This Row],[Sequence]]-1)*VLOOKUP(Table1[[#This Row],[Route]],SegmentsPerRoute!$C$3:$L$297,10,FALSE),0), 0)</f>
        <v>79</v>
      </c>
      <c r="E621">
        <v>11</v>
      </c>
      <c r="F621" s="1">
        <v>253.809</v>
      </c>
      <c r="G621" t="s">
        <v>998</v>
      </c>
      <c r="H621" s="1">
        <v>265.38299999999998</v>
      </c>
      <c r="I621" t="s">
        <v>999</v>
      </c>
      <c r="K621" t="s">
        <v>1693</v>
      </c>
      <c r="L621" t="s">
        <v>2780</v>
      </c>
      <c r="M621" t="s">
        <v>2784</v>
      </c>
      <c r="N621" t="s">
        <v>77</v>
      </c>
    </row>
    <row r="622" spans="1:14" x14ac:dyDescent="0.25">
      <c r="A622" s="41" t="str">
        <f>Table1[[#This Row],[Route]]&amp;TEXT(Table1[[#This Row],[SegmentID]],"00")</f>
        <v>085C85</v>
      </c>
      <c r="B622" t="s">
        <v>990</v>
      </c>
      <c r="D622">
        <f>IFERROR(ROUND(VLOOKUP(Table1[[#This Row],[Route]],SegmentsPerRoute!$C$3:$L$297,8,FALSE)+(Table1[[#This Row],[Sequence]]-1)*VLOOKUP(Table1[[#This Row],[Route]],SegmentsPerRoute!$C$3:$L$297,10,FALSE),0), 0)</f>
        <v>85</v>
      </c>
      <c r="E622">
        <v>12</v>
      </c>
      <c r="F622" s="1">
        <v>265.38299999999998</v>
      </c>
      <c r="G622" t="s">
        <v>999</v>
      </c>
      <c r="H622" s="1">
        <v>265.76299999999998</v>
      </c>
      <c r="I622" t="s">
        <v>1000</v>
      </c>
      <c r="J622" t="s">
        <v>4556</v>
      </c>
      <c r="K622" t="s">
        <v>1693</v>
      </c>
      <c r="L622" t="s">
        <v>2780</v>
      </c>
      <c r="M622" t="s">
        <v>2784</v>
      </c>
    </row>
    <row r="623" spans="1:14" x14ac:dyDescent="0.25">
      <c r="A623" s="41" t="str">
        <f>Table1[[#This Row],[Route]]&amp;TEXT(Table1[[#This Row],[SegmentID]],"00")</f>
        <v>085E15</v>
      </c>
      <c r="B623" t="s">
        <v>1002</v>
      </c>
      <c r="D623">
        <f>IFERROR(ROUND(VLOOKUP(Table1[[#This Row],[Route]],SegmentsPerRoute!$C$3:$L$297,8,FALSE)+(Table1[[#This Row],[Sequence]]-1)*VLOOKUP(Table1[[#This Row],[Route]],SegmentsPerRoute!$C$3:$L$297,10,FALSE),0), 0)</f>
        <v>15</v>
      </c>
      <c r="E623">
        <v>1</v>
      </c>
      <c r="F623" s="1">
        <v>0</v>
      </c>
      <c r="G623" t="s">
        <v>994</v>
      </c>
      <c r="H623" s="1">
        <v>1.5149999999999999</v>
      </c>
      <c r="I623" t="s">
        <v>1003</v>
      </c>
      <c r="K623" t="s">
        <v>1689</v>
      </c>
      <c r="L623" t="s">
        <v>2791</v>
      </c>
      <c r="M623" t="s">
        <v>2792</v>
      </c>
    </row>
    <row r="624" spans="1:14" x14ac:dyDescent="0.25">
      <c r="A624" s="41" t="str">
        <f>Table1[[#This Row],[Route]]&amp;TEXT(Table1[[#This Row],[SegmentID]],"00")</f>
        <v>085F15</v>
      </c>
      <c r="B624" t="s">
        <v>1004</v>
      </c>
      <c r="C624" s="3" t="s">
        <v>1006</v>
      </c>
      <c r="D624">
        <f>IFERROR(ROUND(VLOOKUP(Table1[[#This Row],[Route]],SegmentsPerRoute!$C$3:$L$297,8,FALSE)+(Table1[[#This Row],[Sequence]]-1)*VLOOKUP(Table1[[#This Row],[Route]],SegmentsPerRoute!$C$3:$L$297,10,FALSE),0), 0)</f>
        <v>15</v>
      </c>
      <c r="E624">
        <v>1</v>
      </c>
      <c r="F624" s="1">
        <v>0</v>
      </c>
      <c r="G624" t="s">
        <v>1005</v>
      </c>
      <c r="H624" s="1">
        <v>1.238</v>
      </c>
      <c r="I624" t="s">
        <v>996</v>
      </c>
      <c r="J624" t="s">
        <v>4611</v>
      </c>
      <c r="K624" t="s">
        <v>1707</v>
      </c>
      <c r="N624" t="s">
        <v>77</v>
      </c>
    </row>
    <row r="625" spans="1:14" x14ac:dyDescent="0.25">
      <c r="A625" s="41" t="str">
        <f>Table1[[#This Row],[Route]]&amp;TEXT(Table1[[#This Row],[SegmentID]],"00")</f>
        <v>085F85</v>
      </c>
      <c r="B625" t="s">
        <v>1004</v>
      </c>
      <c r="C625" s="3" t="s">
        <v>1007</v>
      </c>
      <c r="D625">
        <f>IFERROR(ROUND(VLOOKUP(Table1[[#This Row],[Route]],SegmentsPerRoute!$C$3:$L$297,8,FALSE)+(Table1[[#This Row],[Sequence]]-1)*VLOOKUP(Table1[[#This Row],[Route]],SegmentsPerRoute!$C$3:$L$297,10,FALSE),0), 0)</f>
        <v>85</v>
      </c>
      <c r="E625">
        <v>2</v>
      </c>
      <c r="F625" s="1">
        <v>1.238</v>
      </c>
      <c r="G625" t="s">
        <v>996</v>
      </c>
      <c r="H625" s="1">
        <v>2.69</v>
      </c>
      <c r="I625" t="s">
        <v>749</v>
      </c>
      <c r="J625" t="s">
        <v>4611</v>
      </c>
      <c r="K625" t="s">
        <v>1707</v>
      </c>
      <c r="N625" t="s">
        <v>77</v>
      </c>
    </row>
    <row r="626" spans="1:14" x14ac:dyDescent="0.25">
      <c r="A626" s="41" t="str">
        <f>Table1[[#This Row],[Route]]&amp;TEXT(Table1[[#This Row],[SegmentID]],"00")</f>
        <v>085G15</v>
      </c>
      <c r="B626" t="s">
        <v>1008</v>
      </c>
      <c r="D626">
        <f>IFERROR(ROUND(VLOOKUP(Table1[[#This Row],[Route]],SegmentsPerRoute!$C$3:$L$297,8,FALSE)+(Table1[[#This Row],[Sequence]]-1)*VLOOKUP(Table1[[#This Row],[Route]],SegmentsPerRoute!$C$3:$L$297,10,FALSE),0), 0)</f>
        <v>15</v>
      </c>
      <c r="E626">
        <v>1</v>
      </c>
      <c r="F626" s="1">
        <v>0</v>
      </c>
      <c r="G626" t="s">
        <v>1009</v>
      </c>
      <c r="H626" s="1">
        <v>0.23</v>
      </c>
      <c r="I626" t="s">
        <v>1000</v>
      </c>
      <c r="J626" t="s">
        <v>913</v>
      </c>
      <c r="K626" t="s">
        <v>1689</v>
      </c>
      <c r="L626" s="36"/>
      <c r="M626" s="36"/>
    </row>
    <row r="627" spans="1:14" x14ac:dyDescent="0.25">
      <c r="A627" s="41" t="str">
        <f>Table1[[#This Row],[Route]]&amp;TEXT(Table1[[#This Row],[SegmentID]],"00")</f>
        <v>085G85</v>
      </c>
      <c r="B627" t="s">
        <v>1008</v>
      </c>
      <c r="D627">
        <f>IFERROR(ROUND(VLOOKUP(Table1[[#This Row],[Route]],SegmentsPerRoute!$C$3:$L$297,8,FALSE)+(Table1[[#This Row],[Sequence]]-1)*VLOOKUP(Table1[[#This Row],[Route]],SegmentsPerRoute!$C$3:$L$297,10,FALSE),0), 0)</f>
        <v>85</v>
      </c>
      <c r="E627">
        <v>2</v>
      </c>
      <c r="F627" s="1">
        <v>0.23</v>
      </c>
      <c r="G627" t="s">
        <v>1000</v>
      </c>
      <c r="H627" s="1">
        <v>1.629</v>
      </c>
      <c r="I627" t="s">
        <v>1010</v>
      </c>
      <c r="K627" t="s">
        <v>1689</v>
      </c>
      <c r="L627" t="s">
        <v>2793</v>
      </c>
      <c r="M627" t="s">
        <v>2794</v>
      </c>
    </row>
    <row r="628" spans="1:14" x14ac:dyDescent="0.25">
      <c r="A628" s="41" t="str">
        <f>Table1[[#This Row],[Route]]&amp;TEXT(Table1[[#This Row],[SegmentID]],"00")</f>
        <v>085H15</v>
      </c>
      <c r="B628" t="s">
        <v>1011</v>
      </c>
      <c r="D628">
        <f>IFERROR(ROUND(VLOOKUP(Table1[[#This Row],[Route]],SegmentsPerRoute!$C$3:$L$297,8,FALSE)+(Table1[[#This Row],[Sequence]]-1)*VLOOKUP(Table1[[#This Row],[Route]],SegmentsPerRoute!$C$3:$L$297,10,FALSE),0), 0)</f>
        <v>15</v>
      </c>
      <c r="E628">
        <v>1</v>
      </c>
      <c r="F628" s="1">
        <v>0</v>
      </c>
      <c r="G628" t="s">
        <v>1012</v>
      </c>
      <c r="H628" s="1">
        <v>2.2389999999999999</v>
      </c>
      <c r="I628" t="s">
        <v>1013</v>
      </c>
      <c r="K628" t="s">
        <v>1689</v>
      </c>
      <c r="L628" t="s">
        <v>2795</v>
      </c>
      <c r="M628" t="s">
        <v>2796</v>
      </c>
      <c r="N628" t="s">
        <v>214</v>
      </c>
    </row>
    <row r="629" spans="1:14" x14ac:dyDescent="0.25">
      <c r="A629" s="41" t="str">
        <f>Table1[[#This Row],[Route]]&amp;TEXT(Table1[[#This Row],[SegmentID]],"00")</f>
        <v>085L15</v>
      </c>
      <c r="B629" t="s">
        <v>1014</v>
      </c>
      <c r="D629">
        <f>IFERROR(ROUND(VLOOKUP(Table1[[#This Row],[Route]],SegmentsPerRoute!$C$3:$L$297,8,FALSE)+(Table1[[#This Row],[Sequence]]-1)*VLOOKUP(Table1[[#This Row],[Route]],SegmentsPerRoute!$C$3:$L$297,10,FALSE),0), 0)</f>
        <v>15</v>
      </c>
      <c r="E629">
        <v>1</v>
      </c>
      <c r="F629" s="1">
        <v>265.84899999999999</v>
      </c>
      <c r="G629" t="s">
        <v>1000</v>
      </c>
      <c r="H629" s="1">
        <v>267.178</v>
      </c>
      <c r="I629" t="s">
        <v>1010</v>
      </c>
      <c r="K629" t="s">
        <v>1694</v>
      </c>
      <c r="L629" t="s">
        <v>2797</v>
      </c>
      <c r="M629" t="s">
        <v>2802</v>
      </c>
      <c r="N629" t="s">
        <v>214</v>
      </c>
    </row>
    <row r="630" spans="1:14" x14ac:dyDescent="0.25">
      <c r="A630" s="41" t="str">
        <f>Table1[[#This Row],[Route]]&amp;TEXT(Table1[[#This Row],[SegmentID]],"00")</f>
        <v>085L36</v>
      </c>
      <c r="B630" t="s">
        <v>1014</v>
      </c>
      <c r="D630">
        <f>IFERROR(ROUND(VLOOKUP(Table1[[#This Row],[Route]],SegmentsPerRoute!$C$3:$L$297,8,FALSE)+(Table1[[#This Row],[Sequence]]-1)*VLOOKUP(Table1[[#This Row],[Route]],SegmentsPerRoute!$C$3:$L$297,10,FALSE),0), 0)</f>
        <v>36</v>
      </c>
      <c r="E630">
        <v>2</v>
      </c>
      <c r="F630" s="1">
        <v>267.178</v>
      </c>
      <c r="G630" t="s">
        <v>1010</v>
      </c>
      <c r="H630" s="1">
        <v>270.25299999999999</v>
      </c>
      <c r="I630" t="s">
        <v>1015</v>
      </c>
      <c r="K630" t="s">
        <v>1694</v>
      </c>
      <c r="L630" t="s">
        <v>2798</v>
      </c>
      <c r="M630" t="s">
        <v>2801</v>
      </c>
      <c r="N630" t="s">
        <v>214</v>
      </c>
    </row>
    <row r="631" spans="1:14" x14ac:dyDescent="0.25">
      <c r="A631" s="41" t="str">
        <f>Table1[[#This Row],[Route]]&amp;TEXT(Table1[[#This Row],[SegmentID]],"00")</f>
        <v>085L57</v>
      </c>
      <c r="B631" t="s">
        <v>1014</v>
      </c>
      <c r="D631">
        <f>IFERROR(ROUND(VLOOKUP(Table1[[#This Row],[Route]],SegmentsPerRoute!$C$3:$L$297,8,FALSE)+(Table1[[#This Row],[Sequence]]-1)*VLOOKUP(Table1[[#This Row],[Route]],SegmentsPerRoute!$C$3:$L$297,10,FALSE),0), 0)</f>
        <v>57</v>
      </c>
      <c r="E631">
        <v>3</v>
      </c>
      <c r="F631" s="1">
        <v>270.25299999999999</v>
      </c>
      <c r="G631" t="s">
        <v>1015</v>
      </c>
      <c r="H631" s="1">
        <v>272.48399999999998</v>
      </c>
      <c r="I631" t="s">
        <v>1016</v>
      </c>
      <c r="K631" t="s">
        <v>1694</v>
      </c>
      <c r="L631" t="s">
        <v>2799</v>
      </c>
      <c r="M631" t="s">
        <v>2800</v>
      </c>
    </row>
    <row r="632" spans="1:14" x14ac:dyDescent="0.25">
      <c r="A632" s="41" t="str">
        <f>Table1[[#This Row],[Route]]&amp;TEXT(Table1[[#This Row],[SegmentID]],"00")</f>
        <v>085L78</v>
      </c>
      <c r="B632" t="s">
        <v>1014</v>
      </c>
      <c r="D632">
        <f>IFERROR(ROUND(VLOOKUP(Table1[[#This Row],[Route]],SegmentsPerRoute!$C$3:$L$297,8,FALSE)+(Table1[[#This Row],[Sequence]]-1)*VLOOKUP(Table1[[#This Row],[Route]],SegmentsPerRoute!$C$3:$L$297,10,FALSE),0), 0)</f>
        <v>78</v>
      </c>
      <c r="E632">
        <v>4</v>
      </c>
      <c r="F632" s="1">
        <v>272.48399999999998</v>
      </c>
      <c r="G632" t="s">
        <v>1016</v>
      </c>
      <c r="H632" s="1">
        <v>279.762</v>
      </c>
      <c r="I632" t="s">
        <v>1017</v>
      </c>
      <c r="K632" t="s">
        <v>1694</v>
      </c>
      <c r="L632" t="s">
        <v>2799</v>
      </c>
      <c r="M632" t="s">
        <v>2800</v>
      </c>
    </row>
    <row r="633" spans="1:14" x14ac:dyDescent="0.25">
      <c r="A633" s="41" t="str">
        <f>Table1[[#This Row],[Route]]&amp;TEXT(Table1[[#This Row],[SegmentID]],"00")</f>
        <v>085L99</v>
      </c>
      <c r="B633" t="s">
        <v>1014</v>
      </c>
      <c r="D633">
        <f>IFERROR(ROUND(VLOOKUP(Table1[[#This Row],[Route]],SegmentsPerRoute!$C$3:$L$297,8,FALSE)+(Table1[[#This Row],[Sequence]]-1)*VLOOKUP(Table1[[#This Row],[Route]],SegmentsPerRoute!$C$3:$L$297,10,FALSE),0), 0)</f>
        <v>99</v>
      </c>
      <c r="E633">
        <v>5</v>
      </c>
      <c r="F633" s="1">
        <v>279.762</v>
      </c>
      <c r="G633" t="s">
        <v>1017</v>
      </c>
      <c r="H633" s="1">
        <v>309.54199999999997</v>
      </c>
      <c r="I633" t="s">
        <v>251</v>
      </c>
      <c r="K633" t="s">
        <v>1694</v>
      </c>
      <c r="L633" t="s">
        <v>2799</v>
      </c>
      <c r="M633" t="s">
        <v>2800</v>
      </c>
    </row>
    <row r="634" spans="1:14" x14ac:dyDescent="0.25">
      <c r="A634" s="41" t="str">
        <f>Table1[[#This Row],[Route]]&amp;TEXT(Table1[[#This Row],[SegmentID]],"00")</f>
        <v>086A15</v>
      </c>
      <c r="B634" t="s">
        <v>1018</v>
      </c>
      <c r="D634">
        <f>IFERROR(ROUND(VLOOKUP(Table1[[#This Row],[Route]],SegmentsPerRoute!$C$3:$L$297,8,FALSE)+(Table1[[#This Row],[Sequence]]-1)*VLOOKUP(Table1[[#This Row],[Route]],SegmentsPerRoute!$C$3:$L$297,10,FALSE),0), 0)</f>
        <v>15</v>
      </c>
      <c r="E634">
        <v>1</v>
      </c>
      <c r="F634" s="1">
        <v>1.8540000000000001</v>
      </c>
      <c r="G634" t="s">
        <v>1019</v>
      </c>
      <c r="H634" s="1">
        <v>6.82</v>
      </c>
      <c r="I634" t="s">
        <v>1020</v>
      </c>
      <c r="K634" t="s">
        <v>1689</v>
      </c>
      <c r="L634" t="s">
        <v>2803</v>
      </c>
      <c r="M634" t="s">
        <v>2804</v>
      </c>
      <c r="N634" t="s">
        <v>392</v>
      </c>
    </row>
    <row r="635" spans="1:14" x14ac:dyDescent="0.25">
      <c r="A635" s="41" t="str">
        <f>Table1[[#This Row],[Route]]&amp;TEXT(Table1[[#This Row],[SegmentID]],"00")</f>
        <v>086A85</v>
      </c>
      <c r="B635" t="s">
        <v>1018</v>
      </c>
      <c r="D635">
        <f>IFERROR(ROUND(VLOOKUP(Table1[[#This Row],[Route]],SegmentsPerRoute!$C$3:$L$297,8,FALSE)+(Table1[[#This Row],[Sequence]]-1)*VLOOKUP(Table1[[#This Row],[Route]],SegmentsPerRoute!$C$3:$L$297,10,FALSE),0), 0)</f>
        <v>85</v>
      </c>
      <c r="E635">
        <v>2</v>
      </c>
      <c r="F635" s="1">
        <v>6.82</v>
      </c>
      <c r="G635" t="s">
        <v>1020</v>
      </c>
      <c r="H635" s="1">
        <v>59.279000000000003</v>
      </c>
      <c r="I635" t="s">
        <v>1021</v>
      </c>
      <c r="K635" t="s">
        <v>1689</v>
      </c>
      <c r="L635" t="s">
        <v>2803</v>
      </c>
      <c r="M635" t="s">
        <v>2804</v>
      </c>
      <c r="N635" t="s">
        <v>488</v>
      </c>
    </row>
    <row r="636" spans="1:14" x14ac:dyDescent="0.25">
      <c r="A636" s="41" t="str">
        <f>Table1[[#This Row],[Route]]&amp;TEXT(Table1[[#This Row],[SegmentID]],"00")</f>
        <v>086B15</v>
      </c>
      <c r="B636" t="s">
        <v>1022</v>
      </c>
      <c r="D636">
        <f>IFERROR(ROUND(VLOOKUP(Table1[[#This Row],[Route]],SegmentsPerRoute!$C$3:$L$297,8,FALSE)+(Table1[[#This Row],[Sequence]]-1)*VLOOKUP(Table1[[#This Row],[Route]],SegmentsPerRoute!$C$3:$L$297,10,FALSE),0), 0)</f>
        <v>15</v>
      </c>
      <c r="E636">
        <v>1</v>
      </c>
      <c r="F636" s="1">
        <v>100</v>
      </c>
      <c r="G636" t="s">
        <v>1023</v>
      </c>
      <c r="H636" s="1">
        <v>104.348</v>
      </c>
      <c r="I636" t="s">
        <v>1024</v>
      </c>
      <c r="K636" t="s">
        <v>1689</v>
      </c>
      <c r="L636" t="s">
        <v>2805</v>
      </c>
      <c r="M636" t="s">
        <v>2806</v>
      </c>
    </row>
    <row r="637" spans="1:14" x14ac:dyDescent="0.25">
      <c r="A637" s="41" t="str">
        <f>Table1[[#This Row],[Route]]&amp;TEXT(Table1[[#This Row],[SegmentID]],"00")</f>
        <v>088A15</v>
      </c>
      <c r="B637" t="s">
        <v>1025</v>
      </c>
      <c r="C637" s="3" t="s">
        <v>1029</v>
      </c>
      <c r="D637">
        <f>IFERROR(ROUND(VLOOKUP(Table1[[#This Row],[Route]],SegmentsPerRoute!$C$3:$L$297,8,FALSE)+(Table1[[#This Row],[Sequence]]-1)*VLOOKUP(Table1[[#This Row],[Route]],SegmentsPerRoute!$C$3:$L$297,10,FALSE),0), 0)</f>
        <v>15</v>
      </c>
      <c r="E637">
        <v>1</v>
      </c>
      <c r="F637" s="1">
        <v>0</v>
      </c>
      <c r="G637" t="s">
        <v>1026</v>
      </c>
      <c r="H637" s="1">
        <v>1.0900000000000001</v>
      </c>
      <c r="I637" t="s">
        <v>336</v>
      </c>
      <c r="K637" t="s">
        <v>1707</v>
      </c>
      <c r="L637" t="s">
        <v>2807</v>
      </c>
      <c r="M637" t="s">
        <v>2814</v>
      </c>
      <c r="N637" t="s">
        <v>1031</v>
      </c>
    </row>
    <row r="638" spans="1:14" x14ac:dyDescent="0.25">
      <c r="A638" s="41" t="str">
        <f>Table1[[#This Row],[Route]]&amp;TEXT(Table1[[#This Row],[SegmentID]],"00")</f>
        <v>088A29</v>
      </c>
      <c r="B638" t="s">
        <v>1025</v>
      </c>
      <c r="C638" s="3" t="s">
        <v>1029</v>
      </c>
      <c r="D638">
        <f>IFERROR(ROUND(VLOOKUP(Table1[[#This Row],[Route]],SegmentsPerRoute!$C$3:$L$297,8,FALSE)+(Table1[[#This Row],[Sequence]]-1)*VLOOKUP(Table1[[#This Row],[Route]],SegmentsPerRoute!$C$3:$L$297,10,FALSE),0), 0)</f>
        <v>29</v>
      </c>
      <c r="E638">
        <v>2</v>
      </c>
      <c r="F638" s="1">
        <v>1.0900000000000001</v>
      </c>
      <c r="G638" t="s">
        <v>336</v>
      </c>
      <c r="H638" s="1">
        <v>1.978</v>
      </c>
      <c r="I638" t="s">
        <v>335</v>
      </c>
      <c r="K638" t="s">
        <v>1707</v>
      </c>
      <c r="L638" t="s">
        <v>2808</v>
      </c>
      <c r="M638" t="s">
        <v>2813</v>
      </c>
    </row>
    <row r="639" spans="1:14" x14ac:dyDescent="0.25">
      <c r="A639" s="41" t="str">
        <f>Table1[[#This Row],[Route]]&amp;TEXT(Table1[[#This Row],[SegmentID]],"00")</f>
        <v>088A43</v>
      </c>
      <c r="B639" t="s">
        <v>1025</v>
      </c>
      <c r="C639" s="11" t="s">
        <v>1732</v>
      </c>
      <c r="D639">
        <f>IFERROR(ROUND(VLOOKUP(Table1[[#This Row],[Route]],SegmentsPerRoute!$C$3:$L$297,8,FALSE)+(Table1[[#This Row],[Sequence]]-1)*VLOOKUP(Table1[[#This Row],[Route]],SegmentsPerRoute!$C$3:$L$297,10,FALSE),0), 0)</f>
        <v>43</v>
      </c>
      <c r="E639">
        <v>3</v>
      </c>
      <c r="F639" s="1">
        <v>1.978</v>
      </c>
      <c r="G639" t="s">
        <v>335</v>
      </c>
      <c r="H639" s="1">
        <v>6.0119999999999996</v>
      </c>
      <c r="I639" t="s">
        <v>985</v>
      </c>
      <c r="J639" s="10"/>
      <c r="K639" t="s">
        <v>2040</v>
      </c>
      <c r="L639" t="s">
        <v>2809</v>
      </c>
      <c r="M639" t="s">
        <v>2812</v>
      </c>
      <c r="N639" t="s">
        <v>1032</v>
      </c>
    </row>
    <row r="640" spans="1:14" x14ac:dyDescent="0.25">
      <c r="A640" s="41" t="str">
        <f>Table1[[#This Row],[Route]]&amp;TEXT(Table1[[#This Row],[SegmentID]],"00")</f>
        <v>088A57</v>
      </c>
      <c r="B640" t="s">
        <v>1025</v>
      </c>
      <c r="C640" s="11" t="s">
        <v>1733</v>
      </c>
      <c r="D640">
        <f>IFERROR(ROUND(VLOOKUP(Table1[[#This Row],[Route]],SegmentsPerRoute!$C$3:$L$297,8,FALSE)+(Table1[[#This Row],[Sequence]]-1)*VLOOKUP(Table1[[#This Row],[Route]],SegmentsPerRoute!$C$3:$L$297,10,FALSE),0), 0)</f>
        <v>57</v>
      </c>
      <c r="E640">
        <v>4</v>
      </c>
      <c r="F640" s="1">
        <v>6.0119999999999996</v>
      </c>
      <c r="G640" t="s">
        <v>985</v>
      </c>
      <c r="H640" s="1">
        <v>8.7110000000000003</v>
      </c>
      <c r="I640" t="s">
        <v>334</v>
      </c>
      <c r="J640" s="10" t="s">
        <v>4623</v>
      </c>
      <c r="K640" t="s">
        <v>1724</v>
      </c>
      <c r="N640" t="s">
        <v>1033</v>
      </c>
    </row>
    <row r="641" spans="1:14" x14ac:dyDescent="0.25">
      <c r="A641" s="41" t="str">
        <f>Table1[[#This Row],[Route]]&amp;TEXT(Table1[[#This Row],[SegmentID]],"00")</f>
        <v>088A71</v>
      </c>
      <c r="B641" t="s">
        <v>1025</v>
      </c>
      <c r="C641" s="3" t="s">
        <v>1030</v>
      </c>
      <c r="D641">
        <f>IFERROR(ROUND(VLOOKUP(Table1[[#This Row],[Route]],SegmentsPerRoute!$C$3:$L$297,8,FALSE)+(Table1[[#This Row],[Sequence]]-1)*VLOOKUP(Table1[[#This Row],[Route]],SegmentsPerRoute!$C$3:$L$297,10,FALSE),0), 0)</f>
        <v>71</v>
      </c>
      <c r="E641">
        <v>5</v>
      </c>
      <c r="F641" s="1">
        <v>8.7110000000000003</v>
      </c>
      <c r="G641" t="s">
        <v>334</v>
      </c>
      <c r="H641" s="1">
        <v>11.56</v>
      </c>
      <c r="I641" t="s">
        <v>1027</v>
      </c>
      <c r="K641" t="s">
        <v>1706</v>
      </c>
      <c r="L641" t="s">
        <v>2810</v>
      </c>
      <c r="M641" t="s">
        <v>2811</v>
      </c>
      <c r="N641" t="s">
        <v>369</v>
      </c>
    </row>
    <row r="642" spans="1:14" x14ac:dyDescent="0.25">
      <c r="A642" s="41" t="str">
        <f>Table1[[#This Row],[Route]]&amp;TEXT(Table1[[#This Row],[SegmentID]],"00")</f>
        <v>088A85</v>
      </c>
      <c r="B642" t="s">
        <v>1025</v>
      </c>
      <c r="C642" s="3" t="s">
        <v>1030</v>
      </c>
      <c r="D642">
        <f>IFERROR(ROUND(VLOOKUP(Table1[[#This Row],[Route]],SegmentsPerRoute!$C$3:$L$297,8,FALSE)+(Table1[[#This Row],[Sequence]]-1)*VLOOKUP(Table1[[#This Row],[Route]],SegmentsPerRoute!$C$3:$L$297,10,FALSE),0), 0)</f>
        <v>85</v>
      </c>
      <c r="E642">
        <v>6</v>
      </c>
      <c r="F642" s="1">
        <v>11.56</v>
      </c>
      <c r="G642" t="s">
        <v>1027</v>
      </c>
      <c r="H642" s="1">
        <v>14.77</v>
      </c>
      <c r="I642" t="s">
        <v>1028</v>
      </c>
      <c r="K642" t="s">
        <v>1706</v>
      </c>
      <c r="L642" t="s">
        <v>2810</v>
      </c>
      <c r="M642" t="s">
        <v>2811</v>
      </c>
    </row>
    <row r="643" spans="1:14" x14ac:dyDescent="0.25">
      <c r="A643" s="41" t="str">
        <f>Table1[[#This Row],[Route]]&amp;TEXT(Table1[[#This Row],[SegmentID]],"00")</f>
        <v>088B15</v>
      </c>
      <c r="B643" t="s">
        <v>1034</v>
      </c>
      <c r="D643">
        <f>IFERROR(ROUND(VLOOKUP(Table1[[#This Row],[Route]],SegmentsPerRoute!$C$3:$L$297,8,FALSE)+(Table1[[#This Row],[Sequence]]-1)*VLOOKUP(Table1[[#This Row],[Route]],SegmentsPerRoute!$C$3:$L$297,10,FALSE),0), 0)</f>
        <v>15</v>
      </c>
      <c r="E643">
        <v>1</v>
      </c>
      <c r="F643" s="1">
        <v>16.827000000000002</v>
      </c>
      <c r="G643" t="s">
        <v>1035</v>
      </c>
      <c r="H643" s="1">
        <v>21.734000000000002</v>
      </c>
      <c r="I643" t="s">
        <v>1036</v>
      </c>
      <c r="K643" t="s">
        <v>1689</v>
      </c>
      <c r="L643" t="s">
        <v>2815</v>
      </c>
      <c r="M643" t="s">
        <v>2816</v>
      </c>
      <c r="N643" t="s">
        <v>392</v>
      </c>
    </row>
    <row r="644" spans="1:14" x14ac:dyDescent="0.25">
      <c r="A644" s="41" t="str">
        <f>Table1[[#This Row],[Route]]&amp;TEXT(Table1[[#This Row],[SegmentID]],"00")</f>
        <v>089A15</v>
      </c>
      <c r="B644" t="s">
        <v>1037</v>
      </c>
      <c r="D644">
        <f>IFERROR(ROUND(VLOOKUP(Table1[[#This Row],[Route]],SegmentsPerRoute!$C$3:$L$297,8,FALSE)+(Table1[[#This Row],[Sequence]]-1)*VLOOKUP(Table1[[#This Row],[Route]],SegmentsPerRoute!$C$3:$L$297,10,FALSE),0), 0)</f>
        <v>15</v>
      </c>
      <c r="E644">
        <v>1</v>
      </c>
      <c r="F644" s="1">
        <v>0</v>
      </c>
      <c r="G644" t="s">
        <v>1038</v>
      </c>
      <c r="H644" s="1">
        <v>34.340000000000003</v>
      </c>
      <c r="I644" t="s">
        <v>1039</v>
      </c>
      <c r="K644" t="s">
        <v>1689</v>
      </c>
      <c r="L644" t="s">
        <v>2817</v>
      </c>
      <c r="M644" t="s">
        <v>2818</v>
      </c>
      <c r="N644" t="s">
        <v>269</v>
      </c>
    </row>
    <row r="645" spans="1:14" x14ac:dyDescent="0.25">
      <c r="A645" s="41" t="str">
        <f>Table1[[#This Row],[Route]]&amp;TEXT(Table1[[#This Row],[SegmentID]],"00")</f>
        <v>090A01</v>
      </c>
      <c r="B645" t="s">
        <v>1040</v>
      </c>
      <c r="D645">
        <f>IFERROR(ROUND(VLOOKUP(Table1[[#This Row],[Route]],SegmentsPerRoute!$C$3:$L$297,8,FALSE)+(Table1[[#This Row],[Sequence]]-1)*VLOOKUP(Table1[[#This Row],[Route]],SegmentsPerRoute!$C$3:$L$297,10,FALSE),0), 0)</f>
        <v>1</v>
      </c>
      <c r="E645">
        <v>1</v>
      </c>
      <c r="F645" s="1">
        <v>0</v>
      </c>
      <c r="G645" t="s">
        <v>514</v>
      </c>
      <c r="H645" s="1">
        <v>33.874000000000002</v>
      </c>
      <c r="I645" t="s">
        <v>1041</v>
      </c>
      <c r="K645" t="s">
        <v>1695</v>
      </c>
      <c r="L645" t="s">
        <v>2819</v>
      </c>
      <c r="M645" t="s">
        <v>2820</v>
      </c>
      <c r="N645" t="s">
        <v>1042</v>
      </c>
    </row>
    <row r="646" spans="1:14" x14ac:dyDescent="0.25">
      <c r="A646" s="41" t="str">
        <f>Table1[[#This Row],[Route]]&amp;TEXT(Table1[[#This Row],[SegmentID]],"00")</f>
        <v>090B15</v>
      </c>
      <c r="B646" t="s">
        <v>1043</v>
      </c>
      <c r="D646">
        <f>IFERROR(ROUND(VLOOKUP(Table1[[#This Row],[Route]],SegmentsPerRoute!$C$3:$L$297,8,FALSE)+(Table1[[#This Row],[Sequence]]-1)*VLOOKUP(Table1[[#This Row],[Route]],SegmentsPerRoute!$C$3:$L$297,10,FALSE),0), 0)</f>
        <v>15</v>
      </c>
      <c r="E646">
        <v>1</v>
      </c>
      <c r="F646" s="1">
        <v>81.533000000000001</v>
      </c>
      <c r="G646" t="s">
        <v>1044</v>
      </c>
      <c r="H646" s="1">
        <v>89.858000000000004</v>
      </c>
      <c r="I646" t="s">
        <v>611</v>
      </c>
      <c r="J646" t="s">
        <v>21</v>
      </c>
      <c r="K646" t="s">
        <v>1709</v>
      </c>
      <c r="N646" t="s">
        <v>634</v>
      </c>
    </row>
    <row r="647" spans="1:14" ht="30" x14ac:dyDescent="0.25">
      <c r="A647" s="41" t="str">
        <f>Table1[[#This Row],[Route]]&amp;TEXT(Table1[[#This Row],[SegmentID]],"00")</f>
        <v>091A15</v>
      </c>
      <c r="B647" t="s">
        <v>1045</v>
      </c>
      <c r="D647">
        <f>IFERROR(ROUND(VLOOKUP(Table1[[#This Row],[Route]],SegmentsPerRoute!$C$3:$L$297,8,FALSE)+(Table1[[#This Row],[Sequence]]-1)*VLOOKUP(Table1[[#This Row],[Route]],SegmentsPerRoute!$C$3:$L$297,10,FALSE),0), 0)</f>
        <v>15</v>
      </c>
      <c r="E647">
        <v>1</v>
      </c>
      <c r="F647" s="1">
        <v>0</v>
      </c>
      <c r="G647" t="s">
        <v>1046</v>
      </c>
      <c r="H647" s="1">
        <v>22.605</v>
      </c>
      <c r="I647" t="s">
        <v>1047</v>
      </c>
      <c r="K647" t="s">
        <v>1689</v>
      </c>
      <c r="L647" t="s">
        <v>2821</v>
      </c>
      <c r="M647" t="s">
        <v>2822</v>
      </c>
      <c r="N647" s="4" t="s">
        <v>1048</v>
      </c>
    </row>
    <row r="648" spans="1:14" x14ac:dyDescent="0.25">
      <c r="A648" s="41" t="str">
        <f>Table1[[#This Row],[Route]]&amp;TEXT(Table1[[#This Row],[SegmentID]],"00")</f>
        <v>092A15</v>
      </c>
      <c r="B648" t="s">
        <v>1049</v>
      </c>
      <c r="C648" s="3" t="s">
        <v>1054</v>
      </c>
      <c r="D648">
        <f>IFERROR(ROUND(VLOOKUP(Table1[[#This Row],[Route]],SegmentsPerRoute!$C$3:$L$297,8,FALSE)+(Table1[[#This Row],[Sequence]]-1)*VLOOKUP(Table1[[#This Row],[Route]],SegmentsPerRoute!$C$3:$L$297,10,FALSE),0), 0)</f>
        <v>15</v>
      </c>
      <c r="E648">
        <v>1</v>
      </c>
      <c r="F648" s="1">
        <v>0</v>
      </c>
      <c r="G648" t="s">
        <v>1050</v>
      </c>
      <c r="H648" s="1">
        <v>3.8140000000000001</v>
      </c>
      <c r="I648" t="s">
        <v>1051</v>
      </c>
      <c r="K648" t="s">
        <v>1707</v>
      </c>
      <c r="L648" t="s">
        <v>2823</v>
      </c>
      <c r="M648" t="s">
        <v>2828</v>
      </c>
      <c r="N648" t="s">
        <v>633</v>
      </c>
    </row>
    <row r="649" spans="1:14" ht="30" x14ac:dyDescent="0.25">
      <c r="A649" s="41" t="str">
        <f>Table1[[#This Row],[Route]]&amp;TEXT(Table1[[#This Row],[SegmentID]],"00")</f>
        <v>092A50</v>
      </c>
      <c r="B649" t="s">
        <v>1049</v>
      </c>
      <c r="C649" s="3" t="s">
        <v>1054</v>
      </c>
      <c r="D649">
        <f>IFERROR(ROUND(VLOOKUP(Table1[[#This Row],[Route]],SegmentsPerRoute!$C$3:$L$297,8,FALSE)+(Table1[[#This Row],[Sequence]]-1)*VLOOKUP(Table1[[#This Row],[Route]],SegmentsPerRoute!$C$3:$L$297,10,FALSE),0), 0)</f>
        <v>50</v>
      </c>
      <c r="E649">
        <v>2</v>
      </c>
      <c r="F649" s="1">
        <v>3.8140000000000001</v>
      </c>
      <c r="G649" t="s">
        <v>1051</v>
      </c>
      <c r="H649" s="1">
        <v>20.722999999999999</v>
      </c>
      <c r="I649" t="s">
        <v>1052</v>
      </c>
      <c r="K649" t="s">
        <v>1707</v>
      </c>
      <c r="L649" t="s">
        <v>2824</v>
      </c>
      <c r="M649" t="s">
        <v>2827</v>
      </c>
      <c r="N649" s="4" t="s">
        <v>1056</v>
      </c>
    </row>
    <row r="650" spans="1:14" ht="30" x14ac:dyDescent="0.25">
      <c r="A650" s="41" t="str">
        <f>Table1[[#This Row],[Route]]&amp;TEXT(Table1[[#This Row],[SegmentID]],"00")</f>
        <v>092A85</v>
      </c>
      <c r="B650" t="s">
        <v>1049</v>
      </c>
      <c r="C650" s="3" t="s">
        <v>1055</v>
      </c>
      <c r="D650">
        <f>IFERROR(ROUND(VLOOKUP(Table1[[#This Row],[Route]],SegmentsPerRoute!$C$3:$L$297,8,FALSE)+(Table1[[#This Row],[Sequence]]-1)*VLOOKUP(Table1[[#This Row],[Route]],SegmentsPerRoute!$C$3:$L$297,10,FALSE),0), 0)</f>
        <v>85</v>
      </c>
      <c r="E650">
        <v>3</v>
      </c>
      <c r="F650" s="1">
        <v>20.722999999999999</v>
      </c>
      <c r="G650" t="s">
        <v>1052</v>
      </c>
      <c r="H650" s="1">
        <v>73.259</v>
      </c>
      <c r="I650" t="s">
        <v>1053</v>
      </c>
      <c r="K650" t="s">
        <v>1708</v>
      </c>
      <c r="L650" t="s">
        <v>2825</v>
      </c>
      <c r="M650" t="s">
        <v>2826</v>
      </c>
      <c r="N650" s="4" t="s">
        <v>1057</v>
      </c>
    </row>
    <row r="651" spans="1:14" x14ac:dyDescent="0.25">
      <c r="A651" s="41" t="str">
        <f>Table1[[#This Row],[Route]]&amp;TEXT(Table1[[#This Row],[SegmentID]],"00")</f>
        <v>093A15</v>
      </c>
      <c r="B651" t="s">
        <v>1058</v>
      </c>
      <c r="D651">
        <f>IFERROR(ROUND(VLOOKUP(Table1[[#This Row],[Route]],SegmentsPerRoute!$C$3:$L$297,8,FALSE)+(Table1[[#This Row],[Sequence]]-1)*VLOOKUP(Table1[[#This Row],[Route]],SegmentsPerRoute!$C$3:$L$297,10,FALSE),0), 0)</f>
        <v>15</v>
      </c>
      <c r="E651">
        <v>1</v>
      </c>
      <c r="F651" s="1">
        <v>0</v>
      </c>
      <c r="G651" t="s">
        <v>1059</v>
      </c>
      <c r="H651" s="1">
        <v>7.5730000000000004</v>
      </c>
      <c r="I651" t="s">
        <v>1060</v>
      </c>
      <c r="K651" t="s">
        <v>1693</v>
      </c>
      <c r="L651" t="s">
        <v>2829</v>
      </c>
      <c r="M651" t="s">
        <v>2835</v>
      </c>
    </row>
    <row r="652" spans="1:14" x14ac:dyDescent="0.25">
      <c r="A652" s="41" t="str">
        <f>Table1[[#This Row],[Route]]&amp;TEXT(Table1[[#This Row],[SegmentID]],"00")</f>
        <v>093A43</v>
      </c>
      <c r="B652" t="s">
        <v>1058</v>
      </c>
      <c r="D652">
        <f>IFERROR(ROUND(VLOOKUP(Table1[[#This Row],[Route]],SegmentsPerRoute!$C$3:$L$297,8,FALSE)+(Table1[[#This Row],[Sequence]]-1)*VLOOKUP(Table1[[#This Row],[Route]],SegmentsPerRoute!$C$3:$L$297,10,FALSE),0), 0)</f>
        <v>43</v>
      </c>
      <c r="E652">
        <v>3</v>
      </c>
      <c r="F652" s="1">
        <v>7.5730000000000004</v>
      </c>
      <c r="G652" t="s">
        <v>1060</v>
      </c>
      <c r="H652" s="1">
        <v>11.781000000000001</v>
      </c>
      <c r="I652" t="s">
        <v>1061</v>
      </c>
      <c r="K652" t="s">
        <v>1693</v>
      </c>
      <c r="L652" t="s">
        <v>2830</v>
      </c>
      <c r="M652" t="s">
        <v>2834</v>
      </c>
      <c r="N652" t="s">
        <v>476</v>
      </c>
    </row>
    <row r="653" spans="1:14" x14ac:dyDescent="0.25">
      <c r="A653" s="41" t="str">
        <f>Table1[[#This Row],[Route]]&amp;TEXT(Table1[[#This Row],[SegmentID]],"00")</f>
        <v>093A57</v>
      </c>
      <c r="B653" t="s">
        <v>1058</v>
      </c>
      <c r="D653">
        <f>IFERROR(ROUND(VLOOKUP(Table1[[#This Row],[Route]],SegmentsPerRoute!$C$3:$L$297,8,FALSE)+(Table1[[#This Row],[Sequence]]-1)*VLOOKUP(Table1[[#This Row],[Route]],SegmentsPerRoute!$C$3:$L$297,10,FALSE),0), 0)</f>
        <v>57</v>
      </c>
      <c r="E653">
        <v>4</v>
      </c>
      <c r="F653" s="1">
        <v>11.781000000000001</v>
      </c>
      <c r="G653" t="s">
        <v>1061</v>
      </c>
      <c r="H653" s="1">
        <v>13.632</v>
      </c>
      <c r="I653" t="s">
        <v>1062</v>
      </c>
      <c r="K653" t="s">
        <v>1693</v>
      </c>
      <c r="L653" t="s">
        <v>2830</v>
      </c>
      <c r="M653" t="s">
        <v>2834</v>
      </c>
    </row>
    <row r="654" spans="1:14" x14ac:dyDescent="0.25">
      <c r="A654" s="41" t="str">
        <f>Table1[[#This Row],[Route]]&amp;TEXT(Table1[[#This Row],[SegmentID]],"00")</f>
        <v>093A71</v>
      </c>
      <c r="B654" t="s">
        <v>1058</v>
      </c>
      <c r="D654">
        <f>IFERROR(ROUND(VLOOKUP(Table1[[#This Row],[Route]],SegmentsPerRoute!$C$3:$L$297,8,FALSE)+(Table1[[#This Row],[Sequence]]-1)*VLOOKUP(Table1[[#This Row],[Route]],SegmentsPerRoute!$C$3:$L$297,10,FALSE),0), 0)</f>
        <v>71</v>
      </c>
      <c r="E654">
        <v>5</v>
      </c>
      <c r="F654" s="1">
        <v>13.632</v>
      </c>
      <c r="G654" t="s">
        <v>1062</v>
      </c>
      <c r="H654" s="1">
        <v>17.422000000000001</v>
      </c>
      <c r="I654" t="s">
        <v>462</v>
      </c>
      <c r="K654" t="s">
        <v>1693</v>
      </c>
      <c r="L654" t="s">
        <v>2830</v>
      </c>
      <c r="M654" t="s">
        <v>2833</v>
      </c>
      <c r="N654" t="s">
        <v>1064</v>
      </c>
    </row>
    <row r="655" spans="1:14" ht="30" x14ac:dyDescent="0.25">
      <c r="A655" s="41" t="str">
        <f>Table1[[#This Row],[Route]]&amp;TEXT(Table1[[#This Row],[SegmentID]],"00")</f>
        <v>093A85</v>
      </c>
      <c r="B655" t="s">
        <v>1058</v>
      </c>
      <c r="D655">
        <f>IFERROR(ROUND(VLOOKUP(Table1[[#This Row],[Route]],SegmentsPerRoute!$C$3:$L$297,8,FALSE)+(Table1[[#This Row],[Sequence]]-1)*VLOOKUP(Table1[[#This Row],[Route]],SegmentsPerRoute!$C$3:$L$297,10,FALSE),0), 0)</f>
        <v>85</v>
      </c>
      <c r="E655">
        <v>6</v>
      </c>
      <c r="F655" s="1">
        <v>17.422000000000001</v>
      </c>
      <c r="G655" t="s">
        <v>462</v>
      </c>
      <c r="H655" s="1">
        <v>18.849</v>
      </c>
      <c r="I655" s="4" t="s">
        <v>1063</v>
      </c>
      <c r="K655" t="s">
        <v>1693</v>
      </c>
      <c r="L655" t="s">
        <v>2831</v>
      </c>
      <c r="M655" t="s">
        <v>2832</v>
      </c>
      <c r="N655" t="s">
        <v>475</v>
      </c>
    </row>
    <row r="656" spans="1:14" ht="30" x14ac:dyDescent="0.25">
      <c r="A656" s="41" t="str">
        <f>Table1[[#This Row],[Route]]&amp;TEXT(Table1[[#This Row],[SegmentID]],"00")</f>
        <v>094A15</v>
      </c>
      <c r="B656" t="s">
        <v>1065</v>
      </c>
      <c r="D656">
        <f>IFERROR(ROUND(VLOOKUP(Table1[[#This Row],[Route]],SegmentsPerRoute!$C$3:$L$297,8,FALSE)+(Table1[[#This Row],[Sequence]]-1)*VLOOKUP(Table1[[#This Row],[Route]],SegmentsPerRoute!$C$3:$L$297,10,FALSE),0), 0)</f>
        <v>15</v>
      </c>
      <c r="E656">
        <v>1</v>
      </c>
      <c r="F656" s="1">
        <v>0.54800000000000004</v>
      </c>
      <c r="G656" t="s">
        <v>1066</v>
      </c>
      <c r="H656" s="1">
        <v>54.581000000000003</v>
      </c>
      <c r="I656" t="s">
        <v>1067</v>
      </c>
      <c r="K656" t="s">
        <v>1689</v>
      </c>
      <c r="L656" t="s">
        <v>2836</v>
      </c>
      <c r="M656" t="s">
        <v>2837</v>
      </c>
      <c r="N656" s="4" t="s">
        <v>1069</v>
      </c>
    </row>
    <row r="657" spans="1:14" x14ac:dyDescent="0.25">
      <c r="A657" s="41" t="str">
        <f>Table1[[#This Row],[Route]]&amp;TEXT(Table1[[#This Row],[SegmentID]],"00")</f>
        <v>094A85</v>
      </c>
      <c r="B657" t="s">
        <v>1065</v>
      </c>
      <c r="D657">
        <f>IFERROR(ROUND(VLOOKUP(Table1[[#This Row],[Route]],SegmentsPerRoute!$C$3:$L$297,8,FALSE)+(Table1[[#This Row],[Sequence]]-1)*VLOOKUP(Table1[[#This Row],[Route]],SegmentsPerRoute!$C$3:$L$297,10,FALSE),0), 0)</f>
        <v>85</v>
      </c>
      <c r="E657">
        <v>2</v>
      </c>
      <c r="F657" s="1">
        <v>54.581000000000003</v>
      </c>
      <c r="G657" t="s">
        <v>1067</v>
      </c>
      <c r="H657" s="1">
        <v>86.174000000000007</v>
      </c>
      <c r="I657" t="s">
        <v>1068</v>
      </c>
      <c r="K657" t="s">
        <v>1689</v>
      </c>
      <c r="L657" t="s">
        <v>2836</v>
      </c>
      <c r="M657" t="s">
        <v>2837</v>
      </c>
    </row>
    <row r="658" spans="1:14" x14ac:dyDescent="0.25">
      <c r="A658" s="41" t="str">
        <f>Table1[[#This Row],[Route]]&amp;TEXT(Table1[[#This Row],[SegmentID]],"00")</f>
        <v>095A15</v>
      </c>
      <c r="B658" t="s">
        <v>1070</v>
      </c>
      <c r="D658">
        <f>IFERROR(ROUND(VLOOKUP(Table1[[#This Row],[Route]],SegmentsPerRoute!$C$3:$L$297,8,FALSE)+(Table1[[#This Row],[Sequence]]-1)*VLOOKUP(Table1[[#This Row],[Route]],SegmentsPerRoute!$C$3:$L$297,10,FALSE),0), 0)</f>
        <v>15</v>
      </c>
      <c r="E658">
        <v>1</v>
      </c>
      <c r="F658" s="1">
        <v>0</v>
      </c>
      <c r="G658" t="s">
        <v>985</v>
      </c>
      <c r="H658" s="1">
        <v>3.9750000000000001</v>
      </c>
      <c r="I658" t="s">
        <v>335</v>
      </c>
      <c r="K658" t="s">
        <v>1689</v>
      </c>
      <c r="L658" t="s">
        <v>2838</v>
      </c>
      <c r="M658" t="s">
        <v>2839</v>
      </c>
      <c r="N658" t="s">
        <v>155</v>
      </c>
    </row>
    <row r="659" spans="1:14" x14ac:dyDescent="0.25">
      <c r="A659" s="41" t="str">
        <f>Table1[[#This Row],[Route]]&amp;TEXT(Table1[[#This Row],[SegmentID]],"00")</f>
        <v>095A29</v>
      </c>
      <c r="B659" t="s">
        <v>1070</v>
      </c>
      <c r="D659">
        <f>IFERROR(ROUND(VLOOKUP(Table1[[#This Row],[Route]],SegmentsPerRoute!$C$3:$L$297,8,FALSE)+(Table1[[#This Row],[Sequence]]-1)*VLOOKUP(Table1[[#This Row],[Route]],SegmentsPerRoute!$C$3:$L$297,10,FALSE),0), 0)</f>
        <v>29</v>
      </c>
      <c r="E659">
        <v>2</v>
      </c>
      <c r="F659" s="1">
        <v>3.9750000000000001</v>
      </c>
      <c r="G659" t="s">
        <v>335</v>
      </c>
      <c r="H659" s="1">
        <v>5.0179999999999998</v>
      </c>
      <c r="I659" t="s">
        <v>336</v>
      </c>
      <c r="K659" t="s">
        <v>1689</v>
      </c>
      <c r="L659" t="s">
        <v>2838</v>
      </c>
      <c r="M659" t="s">
        <v>2839</v>
      </c>
    </row>
    <row r="660" spans="1:14" x14ac:dyDescent="0.25">
      <c r="A660" s="41" t="str">
        <f>Table1[[#This Row],[Route]]&amp;TEXT(Table1[[#This Row],[SegmentID]],"00")</f>
        <v>095A43</v>
      </c>
      <c r="B660" t="s">
        <v>1070</v>
      </c>
      <c r="D660">
        <f>IFERROR(ROUND(VLOOKUP(Table1[[#This Row],[Route]],SegmentsPerRoute!$C$3:$L$297,8,FALSE)+(Table1[[#This Row],[Sequence]]-1)*VLOOKUP(Table1[[#This Row],[Route]],SegmentsPerRoute!$C$3:$L$297,10,FALSE),0), 0)</f>
        <v>43</v>
      </c>
      <c r="E660">
        <v>3</v>
      </c>
      <c r="F660" s="1">
        <v>5.0179999999999998</v>
      </c>
      <c r="G660" t="s">
        <v>336</v>
      </c>
      <c r="H660" s="1">
        <v>6.0309999999999997</v>
      </c>
      <c r="I660" t="s">
        <v>337</v>
      </c>
      <c r="K660" t="s">
        <v>1689</v>
      </c>
      <c r="L660" t="s">
        <v>2838</v>
      </c>
      <c r="M660" t="s">
        <v>2839</v>
      </c>
      <c r="N660" t="s">
        <v>1071</v>
      </c>
    </row>
    <row r="661" spans="1:14" x14ac:dyDescent="0.25">
      <c r="A661" s="41" t="str">
        <f>Table1[[#This Row],[Route]]&amp;TEXT(Table1[[#This Row],[SegmentID]],"00")</f>
        <v>095A57</v>
      </c>
      <c r="B661" t="s">
        <v>1070</v>
      </c>
      <c r="D661">
        <f>IFERROR(ROUND(VLOOKUP(Table1[[#This Row],[Route]],SegmentsPerRoute!$C$3:$L$297,8,FALSE)+(Table1[[#This Row],[Sequence]]-1)*VLOOKUP(Table1[[#This Row],[Route]],SegmentsPerRoute!$C$3:$L$297,10,FALSE),0), 0)</f>
        <v>57</v>
      </c>
      <c r="E661">
        <v>4</v>
      </c>
      <c r="F661" s="1">
        <v>6.0309999999999997</v>
      </c>
      <c r="G661" t="s">
        <v>337</v>
      </c>
      <c r="H661" s="1">
        <v>9.0129999999999999</v>
      </c>
      <c r="I661" t="s">
        <v>16</v>
      </c>
      <c r="K661" t="s">
        <v>1689</v>
      </c>
      <c r="L661" t="s">
        <v>2838</v>
      </c>
      <c r="M661" t="s">
        <v>2839</v>
      </c>
    </row>
    <row r="662" spans="1:14" x14ac:dyDescent="0.25">
      <c r="A662" s="41" t="str">
        <f>Table1[[#This Row],[Route]]&amp;TEXT(Table1[[#This Row],[SegmentID]],"00")</f>
        <v>095A71</v>
      </c>
      <c r="B662" t="s">
        <v>1070</v>
      </c>
      <c r="D662">
        <f>IFERROR(ROUND(VLOOKUP(Table1[[#This Row],[Route]],SegmentsPerRoute!$C$3:$L$297,8,FALSE)+(Table1[[#This Row],[Sequence]]-1)*VLOOKUP(Table1[[#This Row],[Route]],SegmentsPerRoute!$C$3:$L$297,10,FALSE),0), 0)</f>
        <v>71</v>
      </c>
      <c r="E662">
        <v>5</v>
      </c>
      <c r="F662" s="1">
        <v>9.0129999999999999</v>
      </c>
      <c r="G662" t="s">
        <v>16</v>
      </c>
      <c r="H662" s="1">
        <v>9.8889999999999993</v>
      </c>
      <c r="I662" t="s">
        <v>87</v>
      </c>
      <c r="K662" t="s">
        <v>1689</v>
      </c>
      <c r="L662" t="s">
        <v>2838</v>
      </c>
      <c r="M662" t="s">
        <v>2839</v>
      </c>
    </row>
    <row r="663" spans="1:14" x14ac:dyDescent="0.25">
      <c r="A663" s="41" t="str">
        <f>Table1[[#This Row],[Route]]&amp;TEXT(Table1[[#This Row],[SegmentID]],"00")</f>
        <v>095A85</v>
      </c>
      <c r="B663" t="s">
        <v>1070</v>
      </c>
      <c r="D663">
        <f>IFERROR(ROUND(VLOOKUP(Table1[[#This Row],[Route]],SegmentsPerRoute!$C$3:$L$297,8,FALSE)+(Table1[[#This Row],[Sequence]]-1)*VLOOKUP(Table1[[#This Row],[Route]],SegmentsPerRoute!$C$3:$L$297,10,FALSE),0), 0)</f>
        <v>85</v>
      </c>
      <c r="E663">
        <v>6</v>
      </c>
      <c r="F663" s="1">
        <v>9.8889999999999993</v>
      </c>
      <c r="G663" t="s">
        <v>87</v>
      </c>
      <c r="H663" s="1">
        <v>14.375999999999999</v>
      </c>
      <c r="I663" t="s">
        <v>506</v>
      </c>
      <c r="K663" t="s">
        <v>1689</v>
      </c>
      <c r="L663" t="s">
        <v>2838</v>
      </c>
      <c r="M663" t="s">
        <v>2839</v>
      </c>
      <c r="N663" t="s">
        <v>76</v>
      </c>
    </row>
    <row r="664" spans="1:14" x14ac:dyDescent="0.25">
      <c r="A664" s="41" t="str">
        <f>Table1[[#This Row],[Route]]&amp;TEXT(Table1[[#This Row],[SegmentID]],"00")</f>
        <v>096A15</v>
      </c>
      <c r="B664" t="s">
        <v>1072</v>
      </c>
      <c r="D664">
        <f>IFERROR(ROUND(VLOOKUP(Table1[[#This Row],[Route]],SegmentsPerRoute!$C$3:$L$297,8,FALSE)+(Table1[[#This Row],[Sequence]]-1)*VLOOKUP(Table1[[#This Row],[Route]],SegmentsPerRoute!$C$3:$L$297,10,FALSE),0), 0)</f>
        <v>15</v>
      </c>
      <c r="E664">
        <v>1</v>
      </c>
      <c r="F664" s="1">
        <v>0</v>
      </c>
      <c r="G664" t="s">
        <v>1073</v>
      </c>
      <c r="H664" s="1">
        <v>16.608000000000001</v>
      </c>
      <c r="I664" t="s">
        <v>1074</v>
      </c>
      <c r="K664" t="s">
        <v>1689</v>
      </c>
      <c r="L664" t="s">
        <v>2840</v>
      </c>
      <c r="M664" t="s">
        <v>2845</v>
      </c>
      <c r="N664" t="s">
        <v>1078</v>
      </c>
    </row>
    <row r="665" spans="1:14" x14ac:dyDescent="0.25">
      <c r="A665" s="41" t="str">
        <f>Table1[[#This Row],[Route]]&amp;TEXT(Table1[[#This Row],[SegmentID]],"00")</f>
        <v>096A29</v>
      </c>
      <c r="B665" t="s">
        <v>1072</v>
      </c>
      <c r="D665">
        <f>IFERROR(ROUND(VLOOKUP(Table1[[#This Row],[Route]],SegmentsPerRoute!$C$3:$L$297,8,FALSE)+(Table1[[#This Row],[Sequence]]-1)*VLOOKUP(Table1[[#This Row],[Route]],SegmentsPerRoute!$C$3:$L$297,10,FALSE),0), 0)</f>
        <v>29</v>
      </c>
      <c r="E665">
        <v>2</v>
      </c>
      <c r="F665" s="1">
        <v>16.608000000000001</v>
      </c>
      <c r="G665" t="s">
        <v>1074</v>
      </c>
      <c r="H665" s="1">
        <v>26.273</v>
      </c>
      <c r="I665" t="s">
        <v>1075</v>
      </c>
      <c r="K665" t="s">
        <v>1689</v>
      </c>
      <c r="L665" t="s">
        <v>2840</v>
      </c>
      <c r="M665" t="s">
        <v>2845</v>
      </c>
      <c r="N665" t="s">
        <v>1079</v>
      </c>
    </row>
    <row r="666" spans="1:14" x14ac:dyDescent="0.25">
      <c r="A666" s="41" t="str">
        <f>Table1[[#This Row],[Route]]&amp;TEXT(Table1[[#This Row],[SegmentID]],"00")</f>
        <v>096A43</v>
      </c>
      <c r="B666" t="s">
        <v>1072</v>
      </c>
      <c r="D666">
        <f>IFERROR(ROUND(VLOOKUP(Table1[[#This Row],[Route]],SegmentsPerRoute!$C$3:$L$297,8,FALSE)+(Table1[[#This Row],[Sequence]]-1)*VLOOKUP(Table1[[#This Row],[Route]],SegmentsPerRoute!$C$3:$L$297,10,FALSE),0), 0)</f>
        <v>43</v>
      </c>
      <c r="E666">
        <v>3</v>
      </c>
      <c r="F666" s="1">
        <v>26.273</v>
      </c>
      <c r="G666" t="s">
        <v>1075</v>
      </c>
      <c r="H666" s="1">
        <v>52.784999999999997</v>
      </c>
      <c r="I666" t="s">
        <v>317</v>
      </c>
      <c r="K666" t="s">
        <v>1689</v>
      </c>
      <c r="L666" t="s">
        <v>2841</v>
      </c>
      <c r="M666" t="s">
        <v>2844</v>
      </c>
      <c r="N666" t="s">
        <v>1080</v>
      </c>
    </row>
    <row r="667" spans="1:14" x14ac:dyDescent="0.25">
      <c r="A667" s="41" t="str">
        <f>Table1[[#This Row],[Route]]&amp;TEXT(Table1[[#This Row],[SegmentID]],"00")</f>
        <v>096A57</v>
      </c>
      <c r="B667" t="s">
        <v>1072</v>
      </c>
      <c r="D667">
        <f>IFERROR(ROUND(VLOOKUP(Table1[[#This Row],[Route]],SegmentsPerRoute!$C$3:$L$297,8,FALSE)+(Table1[[#This Row],[Sequence]]-1)*VLOOKUP(Table1[[#This Row],[Route]],SegmentsPerRoute!$C$3:$L$297,10,FALSE),0), 0)</f>
        <v>57</v>
      </c>
      <c r="E667">
        <v>4</v>
      </c>
      <c r="F667" s="1">
        <v>52.784999999999997</v>
      </c>
      <c r="G667" t="s">
        <v>317</v>
      </c>
      <c r="H667" s="1">
        <v>56.091000000000001</v>
      </c>
      <c r="I667" t="s">
        <v>1076</v>
      </c>
      <c r="K667" t="s">
        <v>1689</v>
      </c>
      <c r="L667" t="s">
        <v>2842</v>
      </c>
      <c r="M667" t="s">
        <v>2843</v>
      </c>
      <c r="N667" t="s">
        <v>269</v>
      </c>
    </row>
    <row r="668" spans="1:14" x14ac:dyDescent="0.25">
      <c r="A668" s="41" t="str">
        <f>Table1[[#This Row],[Route]]&amp;TEXT(Table1[[#This Row],[SegmentID]],"00")</f>
        <v>096A71</v>
      </c>
      <c r="B668" t="s">
        <v>1072</v>
      </c>
      <c r="D668">
        <f>IFERROR(ROUND(VLOOKUP(Table1[[#This Row],[Route]],SegmentsPerRoute!$C$3:$L$297,8,FALSE)+(Table1[[#This Row],[Sequence]]-1)*VLOOKUP(Table1[[#This Row],[Route]],SegmentsPerRoute!$C$3:$L$297,10,FALSE),0), 0)</f>
        <v>71</v>
      </c>
      <c r="E668">
        <v>5</v>
      </c>
      <c r="F668" s="1">
        <v>56.091000000000001</v>
      </c>
      <c r="G668" t="s">
        <v>1076</v>
      </c>
      <c r="H668" s="1">
        <v>56.189</v>
      </c>
      <c r="I668" t="s">
        <v>11</v>
      </c>
      <c r="K668" t="s">
        <v>1689</v>
      </c>
      <c r="L668" t="s">
        <v>2842</v>
      </c>
      <c r="M668" t="s">
        <v>2843</v>
      </c>
    </row>
    <row r="669" spans="1:14" x14ac:dyDescent="0.25">
      <c r="A669" s="41" t="str">
        <f>Table1[[#This Row],[Route]]&amp;TEXT(Table1[[#This Row],[SegmentID]],"00")</f>
        <v>096A85</v>
      </c>
      <c r="B669" t="s">
        <v>1072</v>
      </c>
      <c r="D669">
        <f>IFERROR(ROUND(VLOOKUP(Table1[[#This Row],[Route]],SegmentsPerRoute!$C$3:$L$297,8,FALSE)+(Table1[[#This Row],[Sequence]]-1)*VLOOKUP(Table1[[#This Row],[Route]],SegmentsPerRoute!$C$3:$L$297,10,FALSE),0), 0)</f>
        <v>85</v>
      </c>
      <c r="E669">
        <v>6</v>
      </c>
      <c r="F669" s="1">
        <v>56.189</v>
      </c>
      <c r="G669" t="s">
        <v>11</v>
      </c>
      <c r="H669" s="1">
        <v>58.811999999999998</v>
      </c>
      <c r="I669" t="s">
        <v>1077</v>
      </c>
      <c r="K669" t="s">
        <v>1689</v>
      </c>
      <c r="L669" t="s">
        <v>2842</v>
      </c>
      <c r="M669" t="s">
        <v>2843</v>
      </c>
      <c r="N669" t="s">
        <v>229</v>
      </c>
    </row>
    <row r="670" spans="1:14" x14ac:dyDescent="0.25">
      <c r="A670" s="41" t="str">
        <f>Table1[[#This Row],[Route]]&amp;TEXT(Table1[[#This Row],[SegmentID]],"00")</f>
        <v>096B15</v>
      </c>
      <c r="B670" t="s">
        <v>1081</v>
      </c>
      <c r="D670">
        <f>IFERROR(ROUND(VLOOKUP(Table1[[#This Row],[Route]],SegmentsPerRoute!$C$3:$L$297,8,FALSE)+(Table1[[#This Row],[Sequence]]-1)*VLOOKUP(Table1[[#This Row],[Route]],SegmentsPerRoute!$C$3:$L$297,10,FALSE),0), 0)</f>
        <v>15</v>
      </c>
      <c r="E670">
        <v>1</v>
      </c>
      <c r="F670" s="1">
        <v>69.498999999999995</v>
      </c>
      <c r="G670" t="s">
        <v>1082</v>
      </c>
      <c r="H670" s="1">
        <v>75.495999999999995</v>
      </c>
      <c r="I670" t="s">
        <v>1083</v>
      </c>
      <c r="K670" t="s">
        <v>1693</v>
      </c>
      <c r="L670" t="s">
        <v>2846</v>
      </c>
      <c r="M670" t="s">
        <v>2851</v>
      </c>
      <c r="N670" t="s">
        <v>269</v>
      </c>
    </row>
    <row r="671" spans="1:14" x14ac:dyDescent="0.25">
      <c r="A671" s="41" t="str">
        <f>Table1[[#This Row],[Route]]&amp;TEXT(Table1[[#This Row],[SegmentID]],"00")</f>
        <v>096B38</v>
      </c>
      <c r="B671" t="s">
        <v>1081</v>
      </c>
      <c r="D671">
        <f>IFERROR(ROUND(VLOOKUP(Table1[[#This Row],[Route]],SegmentsPerRoute!$C$3:$L$297,8,FALSE)+(Table1[[#This Row],[Sequence]]-1)*VLOOKUP(Table1[[#This Row],[Route]],SegmentsPerRoute!$C$3:$L$297,10,FALSE),0), 0)</f>
        <v>38</v>
      </c>
      <c r="E671">
        <v>2</v>
      </c>
      <c r="F671" s="1">
        <v>75.495999999999995</v>
      </c>
      <c r="G671" t="s">
        <v>1083</v>
      </c>
      <c r="H671" s="1">
        <v>90.147999999999996</v>
      </c>
      <c r="I671" t="s">
        <v>1084</v>
      </c>
      <c r="K671" t="s">
        <v>1693</v>
      </c>
      <c r="L671" t="s">
        <v>2846</v>
      </c>
      <c r="M671" t="s">
        <v>2851</v>
      </c>
      <c r="N671" t="s">
        <v>269</v>
      </c>
    </row>
    <row r="672" spans="1:14" x14ac:dyDescent="0.25">
      <c r="A672" s="41" t="str">
        <f>Table1[[#This Row],[Route]]&amp;TEXT(Table1[[#This Row],[SegmentID]],"00")</f>
        <v>096B62</v>
      </c>
      <c r="B672" t="s">
        <v>1081</v>
      </c>
      <c r="D672">
        <f>IFERROR(ROUND(VLOOKUP(Table1[[#This Row],[Route]],SegmentsPerRoute!$C$3:$L$297,8,FALSE)+(Table1[[#This Row],[Sequence]]-1)*VLOOKUP(Table1[[#This Row],[Route]],SegmentsPerRoute!$C$3:$L$297,10,FALSE),0), 0)</f>
        <v>62</v>
      </c>
      <c r="E672">
        <v>3</v>
      </c>
      <c r="F672" s="1">
        <v>90.147999999999996</v>
      </c>
      <c r="G672" t="s">
        <v>1084</v>
      </c>
      <c r="H672" s="1">
        <v>99.58</v>
      </c>
      <c r="I672" t="s">
        <v>1085</v>
      </c>
      <c r="K672" t="s">
        <v>1693</v>
      </c>
      <c r="L672" t="s">
        <v>2847</v>
      </c>
      <c r="M672" t="s">
        <v>2850</v>
      </c>
      <c r="N672" t="s">
        <v>269</v>
      </c>
    </row>
    <row r="673" spans="1:14" x14ac:dyDescent="0.25">
      <c r="A673" s="41" t="str">
        <f>Table1[[#This Row],[Route]]&amp;TEXT(Table1[[#This Row],[SegmentID]],"00")</f>
        <v>096B85</v>
      </c>
      <c r="B673" t="s">
        <v>1081</v>
      </c>
      <c r="D673">
        <f>IFERROR(ROUND(VLOOKUP(Table1[[#This Row],[Route]],SegmentsPerRoute!$C$3:$L$297,8,FALSE)+(Table1[[#This Row],[Sequence]]-1)*VLOOKUP(Table1[[#This Row],[Route]],SegmentsPerRoute!$C$3:$L$297,10,FALSE),0), 0)</f>
        <v>85</v>
      </c>
      <c r="E673">
        <v>4</v>
      </c>
      <c r="F673" s="1">
        <v>99.58</v>
      </c>
      <c r="G673" t="s">
        <v>1085</v>
      </c>
      <c r="H673" s="1">
        <v>105.83</v>
      </c>
      <c r="I673" t="s">
        <v>1086</v>
      </c>
      <c r="K673" t="s">
        <v>1693</v>
      </c>
      <c r="L673" t="s">
        <v>2848</v>
      </c>
      <c r="M673" t="s">
        <v>2849</v>
      </c>
      <c r="N673" t="s">
        <v>269</v>
      </c>
    </row>
    <row r="674" spans="1:14" x14ac:dyDescent="0.25">
      <c r="A674" s="41" t="str">
        <f>Table1[[#This Row],[Route]]&amp;TEXT(Table1[[#This Row],[SegmentID]],"00")</f>
        <v>096C15</v>
      </c>
      <c r="B674" t="s">
        <v>1087</v>
      </c>
      <c r="D674">
        <f>IFERROR(ROUND(VLOOKUP(Table1[[#This Row],[Route]],SegmentsPerRoute!$C$3:$L$297,8,FALSE)+(Table1[[#This Row],[Sequence]]-1)*VLOOKUP(Table1[[#This Row],[Route]],SegmentsPerRoute!$C$3:$L$297,10,FALSE),0), 0)</f>
        <v>15</v>
      </c>
      <c r="E674">
        <v>1</v>
      </c>
      <c r="F674" s="1">
        <v>106.036</v>
      </c>
      <c r="G674" t="s">
        <v>1086</v>
      </c>
      <c r="H674" s="1">
        <v>166.114</v>
      </c>
      <c r="I674" t="s">
        <v>1088</v>
      </c>
      <c r="K674" t="s">
        <v>1689</v>
      </c>
      <c r="L674" t="s">
        <v>2852</v>
      </c>
      <c r="M674" t="s">
        <v>2853</v>
      </c>
      <c r="N674" t="s">
        <v>1089</v>
      </c>
    </row>
    <row r="675" spans="1:14" x14ac:dyDescent="0.25">
      <c r="A675" s="41" t="str">
        <f>Table1[[#This Row],[Route]]&amp;TEXT(Table1[[#This Row],[SegmentID]],"00")</f>
        <v>096D15</v>
      </c>
      <c r="B675" t="s">
        <v>1090</v>
      </c>
      <c r="D675">
        <f>IFERROR(ROUND(VLOOKUP(Table1[[#This Row],[Route]],SegmentsPerRoute!$C$3:$L$297,8,FALSE)+(Table1[[#This Row],[Sequence]]-1)*VLOOKUP(Table1[[#This Row],[Route]],SegmentsPerRoute!$C$3:$L$297,10,FALSE),0), 0)</f>
        <v>15</v>
      </c>
      <c r="E675">
        <v>1</v>
      </c>
      <c r="F675" s="1">
        <v>168.99199999999999</v>
      </c>
      <c r="G675" t="s">
        <v>1091</v>
      </c>
      <c r="H675" s="1">
        <v>193.05</v>
      </c>
      <c r="I675" t="s">
        <v>1093</v>
      </c>
      <c r="K675" t="s">
        <v>1695</v>
      </c>
      <c r="L675" t="s">
        <v>2854</v>
      </c>
      <c r="M675" t="s">
        <v>2857</v>
      </c>
      <c r="N675" t="s">
        <v>1094</v>
      </c>
    </row>
    <row r="676" spans="1:14" x14ac:dyDescent="0.25">
      <c r="A676" s="41" t="str">
        <f>Table1[[#This Row],[Route]]&amp;TEXT(Table1[[#This Row],[SegmentID]],"00")</f>
        <v>096D57</v>
      </c>
      <c r="B676" t="s">
        <v>1090</v>
      </c>
      <c r="D676">
        <f>IFERROR(ROUND(VLOOKUP(Table1[[#This Row],[Route]],SegmentsPerRoute!$C$3:$L$297,8,FALSE)+(Table1[[#This Row],[Sequence]]-1)*VLOOKUP(Table1[[#This Row],[Route]],SegmentsPerRoute!$C$3:$L$297,10,FALSE),0), 0)</f>
        <v>57</v>
      </c>
      <c r="E676">
        <v>2</v>
      </c>
      <c r="F676" s="1">
        <v>193.05</v>
      </c>
      <c r="G676" t="s">
        <v>1093</v>
      </c>
      <c r="H676" s="1">
        <v>193.85</v>
      </c>
      <c r="I676" t="s">
        <v>1092</v>
      </c>
      <c r="K676" t="s">
        <v>1695</v>
      </c>
      <c r="L676" t="s">
        <v>2854</v>
      </c>
      <c r="M676" t="s">
        <v>2857</v>
      </c>
    </row>
    <row r="677" spans="1:14" x14ac:dyDescent="0.25">
      <c r="A677" s="41" t="str">
        <f>Table1[[#This Row],[Route]]&amp;TEXT(Table1[[#This Row],[SegmentID]],"00")</f>
        <v>096D99</v>
      </c>
      <c r="B677" t="s">
        <v>1090</v>
      </c>
      <c r="D677">
        <f>IFERROR(ROUND(VLOOKUP(Table1[[#This Row],[Route]],SegmentsPerRoute!$C$3:$L$297,8,FALSE)+(Table1[[#This Row],[Sequence]]-1)*VLOOKUP(Table1[[#This Row],[Route]],SegmentsPerRoute!$C$3:$L$297,10,FALSE),0), 0)</f>
        <v>99</v>
      </c>
      <c r="E677">
        <v>3</v>
      </c>
      <c r="F677" s="1">
        <v>193.85</v>
      </c>
      <c r="G677" t="s">
        <v>1092</v>
      </c>
      <c r="H677" s="1">
        <v>207.45400000000001</v>
      </c>
      <c r="I677" t="s">
        <v>250</v>
      </c>
      <c r="K677" t="s">
        <v>1695</v>
      </c>
      <c r="L677" t="s">
        <v>2855</v>
      </c>
      <c r="M677" t="s">
        <v>2856</v>
      </c>
    </row>
    <row r="678" spans="1:14" x14ac:dyDescent="0.25">
      <c r="A678" s="41" t="str">
        <f>Table1[[#This Row],[Route]]&amp;TEXT(Table1[[#This Row],[SegmentID]],"00")</f>
        <v>097A15</v>
      </c>
      <c r="B678" t="s">
        <v>1095</v>
      </c>
      <c r="D678">
        <f>IFERROR(ROUND(VLOOKUP(Table1[[#This Row],[Route]],SegmentsPerRoute!$C$3:$L$297,8,FALSE)+(Table1[[#This Row],[Sequence]]-1)*VLOOKUP(Table1[[#This Row],[Route]],SegmentsPerRoute!$C$3:$L$297,10,FALSE),0), 0)</f>
        <v>15</v>
      </c>
      <c r="E678">
        <v>1</v>
      </c>
      <c r="F678" s="1">
        <v>0</v>
      </c>
      <c r="G678" t="s">
        <v>1096</v>
      </c>
      <c r="H678" s="1">
        <v>4.5839999999999996</v>
      </c>
      <c r="I678" t="s">
        <v>1097</v>
      </c>
      <c r="J678" t="s">
        <v>21</v>
      </c>
      <c r="K678" t="s">
        <v>1709</v>
      </c>
      <c r="N678" t="s">
        <v>1098</v>
      </c>
    </row>
    <row r="679" spans="1:14" x14ac:dyDescent="0.25">
      <c r="A679" s="43" t="str">
        <f>Table1[[#This Row],[Route]]&amp;TEXT(Table1[[#This Row],[SegmentID]],"00")</f>
        <v>100A15</v>
      </c>
      <c r="B679" t="s">
        <v>1099</v>
      </c>
      <c r="D679">
        <f>IFERROR(ROUND(VLOOKUP(Table1[[#This Row],[Route]],SegmentsPerRoute!$C$3:$L$297,8,FALSE)+(Table1[[#This Row],[Sequence]]-1)*VLOOKUP(Table1[[#This Row],[Route]],SegmentsPerRoute!$C$3:$L$297,10,FALSE),0), 0)</f>
        <v>15</v>
      </c>
      <c r="E679">
        <v>1</v>
      </c>
      <c r="F679" s="1">
        <v>0</v>
      </c>
      <c r="G679" t="s">
        <v>1100</v>
      </c>
      <c r="H679" s="1">
        <v>0.41899999999999998</v>
      </c>
      <c r="I679" t="s">
        <v>1101</v>
      </c>
      <c r="J679" t="s">
        <v>21</v>
      </c>
      <c r="K679" t="s">
        <v>1710</v>
      </c>
    </row>
    <row r="680" spans="1:14" x14ac:dyDescent="0.25">
      <c r="A680" s="41" t="str">
        <f>Table1[[#This Row],[Route]]&amp;TEXT(Table1[[#This Row],[SegmentID]],"00")</f>
        <v>101A15</v>
      </c>
      <c r="B680" t="s">
        <v>1102</v>
      </c>
      <c r="D680">
        <f>IFERROR(ROUND(VLOOKUP(Table1[[#This Row],[Route]],SegmentsPerRoute!$C$3:$L$297,8,FALSE)+(Table1[[#This Row],[Sequence]]-1)*VLOOKUP(Table1[[#This Row],[Route]],SegmentsPerRoute!$C$3:$L$297,10,FALSE),0), 0)</f>
        <v>15</v>
      </c>
      <c r="E680">
        <v>1</v>
      </c>
      <c r="F680" s="1">
        <v>0</v>
      </c>
      <c r="G680" t="s">
        <v>1103</v>
      </c>
      <c r="H680" s="1">
        <v>21.413</v>
      </c>
      <c r="I680" t="s">
        <v>1104</v>
      </c>
      <c r="J680" t="s">
        <v>21</v>
      </c>
      <c r="K680" t="s">
        <v>1709</v>
      </c>
      <c r="N680" t="s">
        <v>363</v>
      </c>
    </row>
    <row r="681" spans="1:14" x14ac:dyDescent="0.25">
      <c r="A681" s="41" t="str">
        <f>Table1[[#This Row],[Route]]&amp;TEXT(Table1[[#This Row],[SegmentID]],"00")</f>
        <v>103A15</v>
      </c>
      <c r="B681" t="s">
        <v>1105</v>
      </c>
      <c r="D681">
        <f>IFERROR(ROUND(VLOOKUP(Table1[[#This Row],[Route]],SegmentsPerRoute!$C$3:$L$297,8,FALSE)+(Table1[[#This Row],[Sequence]]-1)*VLOOKUP(Table1[[#This Row],[Route]],SegmentsPerRoute!$C$3:$L$297,10,FALSE),0), 0)</f>
        <v>15</v>
      </c>
      <c r="E681">
        <v>1</v>
      </c>
      <c r="F681" s="1">
        <v>8.2000000000000003E-2</v>
      </c>
      <c r="G681" t="s">
        <v>1106</v>
      </c>
      <c r="H681" s="1">
        <v>0.11899999999999999</v>
      </c>
      <c r="I681" t="s">
        <v>16</v>
      </c>
      <c r="J681" t="s">
        <v>21</v>
      </c>
      <c r="K681" t="s">
        <v>1709</v>
      </c>
    </row>
    <row r="682" spans="1:14" x14ac:dyDescent="0.25">
      <c r="A682" s="41" t="str">
        <f>Table1[[#This Row],[Route]]&amp;TEXT(Table1[[#This Row],[SegmentID]],"00")</f>
        <v>103A50</v>
      </c>
      <c r="B682" t="s">
        <v>1105</v>
      </c>
      <c r="D682">
        <f>IFERROR(ROUND(VLOOKUP(Table1[[#This Row],[Route]],SegmentsPerRoute!$C$3:$L$297,8,FALSE)+(Table1[[#This Row],[Sequence]]-1)*VLOOKUP(Table1[[#This Row],[Route]],SegmentsPerRoute!$C$3:$L$297,10,FALSE),0), 0)</f>
        <v>50</v>
      </c>
      <c r="E682">
        <v>2</v>
      </c>
      <c r="F682" s="1">
        <v>0.11899999999999999</v>
      </c>
      <c r="G682" t="s">
        <v>16</v>
      </c>
      <c r="H682" s="1">
        <v>13.265000000000001</v>
      </c>
      <c r="I682" t="s">
        <v>1107</v>
      </c>
      <c r="J682" t="s">
        <v>21</v>
      </c>
      <c r="K682" t="s">
        <v>1709</v>
      </c>
      <c r="N682" t="s">
        <v>1109</v>
      </c>
    </row>
    <row r="683" spans="1:14" x14ac:dyDescent="0.25">
      <c r="A683" s="41" t="str">
        <f>Table1[[#This Row],[Route]]&amp;TEXT(Table1[[#This Row],[SegmentID]],"00")</f>
        <v>103A85</v>
      </c>
      <c r="B683" t="s">
        <v>1105</v>
      </c>
      <c r="D683">
        <f>IFERROR(ROUND(VLOOKUP(Table1[[#This Row],[Route]],SegmentsPerRoute!$C$3:$L$297,8,FALSE)+(Table1[[#This Row],[Sequence]]-1)*VLOOKUP(Table1[[#This Row],[Route]],SegmentsPerRoute!$C$3:$L$297,10,FALSE),0), 0)</f>
        <v>85</v>
      </c>
      <c r="E683">
        <v>3</v>
      </c>
      <c r="F683" s="1">
        <v>13.265000000000001</v>
      </c>
      <c r="G683" t="s">
        <v>1107</v>
      </c>
      <c r="H683" s="1">
        <v>22.488</v>
      </c>
      <c r="I683" t="s">
        <v>1108</v>
      </c>
      <c r="J683" t="s">
        <v>21</v>
      </c>
      <c r="K683" t="s">
        <v>1709</v>
      </c>
    </row>
    <row r="684" spans="1:14" x14ac:dyDescent="0.25">
      <c r="A684" s="41" t="str">
        <f>Table1[[#This Row],[Route]]&amp;TEXT(Table1[[#This Row],[SegmentID]],"00")</f>
        <v>105A15</v>
      </c>
      <c r="B684" t="s">
        <v>1110</v>
      </c>
      <c r="D684">
        <f>IFERROR(ROUND(VLOOKUP(Table1[[#This Row],[Route]],SegmentsPerRoute!$C$3:$L$297,8,FALSE)+(Table1[[#This Row],[Sequence]]-1)*VLOOKUP(Table1[[#This Row],[Route]],SegmentsPerRoute!$C$3:$L$297,10,FALSE),0), 0)</f>
        <v>15</v>
      </c>
      <c r="E684">
        <v>1</v>
      </c>
      <c r="F684" s="1">
        <v>4.7309999999999999</v>
      </c>
      <c r="G684" t="s">
        <v>1111</v>
      </c>
      <c r="H684" s="1">
        <v>5.2110000000000003</v>
      </c>
      <c r="I684" t="s">
        <v>1112</v>
      </c>
      <c r="J684" t="s">
        <v>21</v>
      </c>
      <c r="K684" t="s">
        <v>1709</v>
      </c>
    </row>
    <row r="685" spans="1:14" x14ac:dyDescent="0.25">
      <c r="A685" s="41" t="str">
        <f>Table1[[#This Row],[Route]]&amp;TEXT(Table1[[#This Row],[SegmentID]],"00")</f>
        <v>105A85</v>
      </c>
      <c r="B685" t="s">
        <v>1110</v>
      </c>
      <c r="D685">
        <f>IFERROR(ROUND(VLOOKUP(Table1[[#This Row],[Route]],SegmentsPerRoute!$C$3:$L$297,8,FALSE)+(Table1[[#This Row],[Sequence]]-1)*VLOOKUP(Table1[[#This Row],[Route]],SegmentsPerRoute!$C$3:$L$297,10,FALSE),0), 0)</f>
        <v>85</v>
      </c>
      <c r="E685">
        <v>2</v>
      </c>
      <c r="F685" s="1">
        <v>5.2110000000000003</v>
      </c>
      <c r="G685" t="s">
        <v>1112</v>
      </c>
      <c r="H685" s="1">
        <v>9.48</v>
      </c>
      <c r="I685" t="s">
        <v>1113</v>
      </c>
      <c r="J685" t="s">
        <v>21</v>
      </c>
      <c r="K685" t="s">
        <v>1709</v>
      </c>
      <c r="N685" t="s">
        <v>367</v>
      </c>
    </row>
    <row r="686" spans="1:14" x14ac:dyDescent="0.25">
      <c r="A686" s="41" t="str">
        <f>Table1[[#This Row],[Route]]&amp;TEXT(Table1[[#This Row],[SegmentID]],"00")</f>
        <v>105B15</v>
      </c>
      <c r="B686" t="s">
        <v>1114</v>
      </c>
      <c r="D686">
        <f>IFERROR(ROUND(VLOOKUP(Table1[[#This Row],[Route]],SegmentsPerRoute!$C$3:$L$297,8,FALSE)+(Table1[[#This Row],[Sequence]]-1)*VLOOKUP(Table1[[#This Row],[Route]],SegmentsPerRoute!$C$3:$L$297,10,FALSE),0), 0)</f>
        <v>15</v>
      </c>
      <c r="E686">
        <v>1</v>
      </c>
      <c r="F686" s="1">
        <v>28.16</v>
      </c>
      <c r="G686" t="s">
        <v>1115</v>
      </c>
      <c r="H686" s="1">
        <v>32.628</v>
      </c>
      <c r="I686" t="s">
        <v>1116</v>
      </c>
      <c r="J686" t="s">
        <v>21</v>
      </c>
      <c r="K686" t="s">
        <v>1709</v>
      </c>
      <c r="N686" t="s">
        <v>767</v>
      </c>
    </row>
    <row r="687" spans="1:14" x14ac:dyDescent="0.25">
      <c r="A687" s="41" t="str">
        <f>Table1[[#This Row],[Route]]&amp;TEXT(Table1[[#This Row],[SegmentID]],"00")</f>
        <v>109A15</v>
      </c>
      <c r="B687" t="s">
        <v>1117</v>
      </c>
      <c r="D687">
        <f>IFERROR(ROUND(VLOOKUP(Table1[[#This Row],[Route]],SegmentsPerRoute!$C$3:$L$297,8,FALSE)+(Table1[[#This Row],[Sequence]]-1)*VLOOKUP(Table1[[#This Row],[Route]],SegmentsPerRoute!$C$3:$L$297,10,FALSE),0), 0)</f>
        <v>15</v>
      </c>
      <c r="E687">
        <v>1</v>
      </c>
      <c r="F687" s="1">
        <v>0</v>
      </c>
      <c r="G687" t="s">
        <v>1118</v>
      </c>
      <c r="H687" s="1">
        <v>56.01</v>
      </c>
      <c r="I687" t="s">
        <v>1119</v>
      </c>
      <c r="K687" t="s">
        <v>1689</v>
      </c>
      <c r="L687" t="s">
        <v>2858</v>
      </c>
      <c r="M687" t="s">
        <v>2861</v>
      </c>
      <c r="N687" t="s">
        <v>363</v>
      </c>
    </row>
    <row r="688" spans="1:14" x14ac:dyDescent="0.25">
      <c r="A688" s="41" t="str">
        <f>Table1[[#This Row],[Route]]&amp;TEXT(Table1[[#This Row],[SegmentID]],"00")</f>
        <v>109A38</v>
      </c>
      <c r="B688" t="s">
        <v>1117</v>
      </c>
      <c r="D688">
        <f>IFERROR(ROUND(VLOOKUP(Table1[[#This Row],[Route]],SegmentsPerRoute!$C$3:$L$297,8,FALSE)+(Table1[[#This Row],[Sequence]]-1)*VLOOKUP(Table1[[#This Row],[Route]],SegmentsPerRoute!$C$3:$L$297,10,FALSE),0), 0)</f>
        <v>38</v>
      </c>
      <c r="E688">
        <v>2</v>
      </c>
      <c r="F688" s="1">
        <v>56.01</v>
      </c>
      <c r="G688" t="s">
        <v>1119</v>
      </c>
      <c r="H688" s="1">
        <v>56.95</v>
      </c>
      <c r="I688" t="s">
        <v>1120</v>
      </c>
      <c r="K688" t="s">
        <v>1689</v>
      </c>
      <c r="L688" t="s">
        <v>2859</v>
      </c>
      <c r="M688" t="s">
        <v>2860</v>
      </c>
      <c r="N688" t="s">
        <v>269</v>
      </c>
    </row>
    <row r="689" spans="1:14" x14ac:dyDescent="0.25">
      <c r="A689" s="41" t="str">
        <f>Table1[[#This Row],[Route]]&amp;TEXT(Table1[[#This Row],[SegmentID]],"00")</f>
        <v>109A62</v>
      </c>
      <c r="B689" t="s">
        <v>1117</v>
      </c>
      <c r="D689">
        <f>IFERROR(ROUND(VLOOKUP(Table1[[#This Row],[Route]],SegmentsPerRoute!$C$3:$L$297,8,FALSE)+(Table1[[#This Row],[Sequence]]-1)*VLOOKUP(Table1[[#This Row],[Route]],SegmentsPerRoute!$C$3:$L$297,10,FALSE),0), 0)</f>
        <v>62</v>
      </c>
      <c r="E689">
        <v>3</v>
      </c>
      <c r="F689" s="1">
        <v>56.95</v>
      </c>
      <c r="G689" t="s">
        <v>1120</v>
      </c>
      <c r="H689" s="1">
        <v>63.255000000000003</v>
      </c>
      <c r="I689" t="s">
        <v>1121</v>
      </c>
      <c r="K689" t="s">
        <v>1689</v>
      </c>
      <c r="L689" t="s">
        <v>2859</v>
      </c>
      <c r="M689" t="s">
        <v>2860</v>
      </c>
    </row>
    <row r="690" spans="1:14" x14ac:dyDescent="0.25">
      <c r="A690" s="41" t="str">
        <f>Table1[[#This Row],[Route]]&amp;TEXT(Table1[[#This Row],[SegmentID]],"00")</f>
        <v>109A85</v>
      </c>
      <c r="B690" t="s">
        <v>1117</v>
      </c>
      <c r="D690">
        <f>IFERROR(ROUND(VLOOKUP(Table1[[#This Row],[Route]],SegmentsPerRoute!$C$3:$L$297,8,FALSE)+(Table1[[#This Row],[Sequence]]-1)*VLOOKUP(Table1[[#This Row],[Route]],SegmentsPerRoute!$C$3:$L$297,10,FALSE),0), 0)</f>
        <v>85</v>
      </c>
      <c r="E690">
        <v>4</v>
      </c>
      <c r="F690" s="1">
        <v>63.255000000000003</v>
      </c>
      <c r="G690" t="s">
        <v>1121</v>
      </c>
      <c r="H690" s="1">
        <v>65.326999999999998</v>
      </c>
      <c r="I690" t="s">
        <v>1122</v>
      </c>
      <c r="J690" t="s">
        <v>21</v>
      </c>
      <c r="K690" t="s">
        <v>1689</v>
      </c>
      <c r="N690" t="s">
        <v>1124</v>
      </c>
    </row>
    <row r="691" spans="1:14" x14ac:dyDescent="0.25">
      <c r="A691" s="41" t="str">
        <f>Table1[[#This Row],[Route]]&amp;TEXT(Table1[[#This Row],[SegmentID]],"00")</f>
        <v>109B15</v>
      </c>
      <c r="B691" t="s">
        <v>1123</v>
      </c>
      <c r="D691">
        <f>IFERROR(ROUND(VLOOKUP(Table1[[#This Row],[Route]],SegmentsPerRoute!$C$3:$L$297,8,FALSE)+(Table1[[#This Row],[Sequence]]-1)*VLOOKUP(Table1[[#This Row],[Route]],SegmentsPerRoute!$C$3:$L$297,10,FALSE),0), 0)</f>
        <v>15</v>
      </c>
      <c r="E691">
        <v>1</v>
      </c>
      <c r="F691" s="1">
        <v>0</v>
      </c>
      <c r="G691" t="s">
        <v>175</v>
      </c>
      <c r="H691" s="1">
        <v>0.184</v>
      </c>
      <c r="I691" t="s">
        <v>1125</v>
      </c>
      <c r="K691" t="s">
        <v>1689</v>
      </c>
      <c r="L691" t="s">
        <v>2863</v>
      </c>
      <c r="M691" t="s">
        <v>2862</v>
      </c>
    </row>
    <row r="692" spans="1:14" x14ac:dyDescent="0.25">
      <c r="A692" s="43" t="str">
        <f>Table1[[#This Row],[Route]]&amp;TEXT(Table1[[#This Row],[SegmentID]],"00")</f>
        <v>110A15</v>
      </c>
      <c r="B692" t="s">
        <v>1126</v>
      </c>
      <c r="D692">
        <f>IFERROR(ROUND(VLOOKUP(Table1[[#This Row],[Route]],SegmentsPerRoute!$C$3:$L$297,8,FALSE)+(Table1[[#This Row],[Sequence]]-1)*VLOOKUP(Table1[[#This Row],[Route]],SegmentsPerRoute!$C$3:$L$297,10,FALSE),0), 0)</f>
        <v>15</v>
      </c>
      <c r="E692">
        <v>1</v>
      </c>
      <c r="F692" s="1">
        <v>0</v>
      </c>
      <c r="G692" t="s">
        <v>1127</v>
      </c>
      <c r="H692" s="1">
        <v>0.14000000000000001</v>
      </c>
      <c r="I692" t="s">
        <v>1128</v>
      </c>
      <c r="J692" t="s">
        <v>21</v>
      </c>
      <c r="K692" t="s">
        <v>1710</v>
      </c>
    </row>
    <row r="693" spans="1:14" x14ac:dyDescent="0.25">
      <c r="A693" s="41" t="str">
        <f>Table1[[#This Row],[Route]]&amp;TEXT(Table1[[#This Row],[SegmentID]],"00")</f>
        <v>112A15</v>
      </c>
      <c r="B693" t="s">
        <v>1129</v>
      </c>
      <c r="D693">
        <f>IFERROR(ROUND(VLOOKUP(Table1[[#This Row],[Route]],SegmentsPerRoute!$C$3:$L$297,8,FALSE)+(Table1[[#This Row],[Sequence]]-1)*VLOOKUP(Table1[[#This Row],[Route]],SegmentsPerRoute!$C$3:$L$297,10,FALSE),0), 0)</f>
        <v>15</v>
      </c>
      <c r="E693">
        <v>1</v>
      </c>
      <c r="F693" s="1">
        <v>0</v>
      </c>
      <c r="G693" t="s">
        <v>1130</v>
      </c>
      <c r="H693" s="1">
        <v>13.138</v>
      </c>
      <c r="I693" t="s">
        <v>1131</v>
      </c>
      <c r="K693" t="s">
        <v>1689</v>
      </c>
      <c r="L693" t="s">
        <v>2864</v>
      </c>
      <c r="M693" t="s">
        <v>2867</v>
      </c>
      <c r="N693" t="s">
        <v>1133</v>
      </c>
    </row>
    <row r="694" spans="1:14" x14ac:dyDescent="0.25">
      <c r="A694" s="41" t="str">
        <f>Table1[[#This Row],[Route]]&amp;TEXT(Table1[[#This Row],[SegmentID]],"00")</f>
        <v>112A85</v>
      </c>
      <c r="B694" t="s">
        <v>1129</v>
      </c>
      <c r="D694">
        <f>IFERROR(ROUND(VLOOKUP(Table1[[#This Row],[Route]],SegmentsPerRoute!$C$3:$L$297,8,FALSE)+(Table1[[#This Row],[Sequence]]-1)*VLOOKUP(Table1[[#This Row],[Route]],SegmentsPerRoute!$C$3:$L$297,10,FALSE),0), 0)</f>
        <v>85</v>
      </c>
      <c r="E694">
        <f>E693+1</f>
        <v>2</v>
      </c>
      <c r="F694" s="1">
        <v>13.138</v>
      </c>
      <c r="G694" t="s">
        <v>1131</v>
      </c>
      <c r="H694" s="1">
        <v>27.802</v>
      </c>
      <c r="I694" t="s">
        <v>1132</v>
      </c>
      <c r="K694" t="s">
        <v>1689</v>
      </c>
      <c r="L694" t="s">
        <v>2865</v>
      </c>
      <c r="M694" t="s">
        <v>2866</v>
      </c>
    </row>
    <row r="695" spans="1:14" x14ac:dyDescent="0.25">
      <c r="A695" s="41" t="str">
        <f>Table1[[#This Row],[Route]]&amp;TEXT(Table1[[#This Row],[SegmentID]],"00")</f>
        <v>113A15</v>
      </c>
      <c r="B695" t="s">
        <v>1134</v>
      </c>
      <c r="D695">
        <f>IFERROR(ROUND(VLOOKUP(Table1[[#This Row],[Route]],SegmentsPerRoute!$C$3:$L$297,8,FALSE)+(Table1[[#This Row],[Sequence]]-1)*VLOOKUP(Table1[[#This Row],[Route]],SegmentsPerRoute!$C$3:$L$297,10,FALSE),0), 0)</f>
        <v>15</v>
      </c>
      <c r="E695">
        <v>1</v>
      </c>
      <c r="F695" s="1">
        <v>0</v>
      </c>
      <c r="G695" t="s">
        <v>1135</v>
      </c>
      <c r="H695" s="1">
        <v>18.829999999999998</v>
      </c>
      <c r="I695" t="s">
        <v>249</v>
      </c>
      <c r="K695" t="s">
        <v>1695</v>
      </c>
      <c r="L695" t="s">
        <v>2868</v>
      </c>
      <c r="M695" t="s">
        <v>2869</v>
      </c>
    </row>
    <row r="696" spans="1:14" x14ac:dyDescent="0.25">
      <c r="A696" s="41" t="str">
        <f>Table1[[#This Row],[Route]]&amp;TEXT(Table1[[#This Row],[SegmentID]],"00")</f>
        <v>114A15</v>
      </c>
      <c r="B696" t="s">
        <v>1136</v>
      </c>
      <c r="D696">
        <f>IFERROR(ROUND(VLOOKUP(Table1[[#This Row],[Route]],SegmentsPerRoute!$C$3:$L$297,8,FALSE)+(Table1[[#This Row],[Sequence]]-1)*VLOOKUP(Table1[[#This Row],[Route]],SegmentsPerRoute!$C$3:$L$297,10,FALSE),0), 0)</f>
        <v>15</v>
      </c>
      <c r="E696">
        <v>1</v>
      </c>
      <c r="F696" s="1">
        <v>0</v>
      </c>
      <c r="G696" t="s">
        <v>1137</v>
      </c>
      <c r="H696" s="1">
        <v>61.697000000000003</v>
      </c>
      <c r="I696" t="s">
        <v>1138</v>
      </c>
      <c r="J696" t="s">
        <v>4612</v>
      </c>
      <c r="K696" t="s">
        <v>1689</v>
      </c>
      <c r="N696" t="s">
        <v>1139</v>
      </c>
    </row>
    <row r="697" spans="1:14" x14ac:dyDescent="0.25">
      <c r="A697" s="41" t="str">
        <f>Table1[[#This Row],[Route]]&amp;TEXT(Table1[[#This Row],[SegmentID]],"00")</f>
        <v>115A15</v>
      </c>
      <c r="B697" t="s">
        <v>1140</v>
      </c>
      <c r="C697" s="3" t="s">
        <v>1147</v>
      </c>
      <c r="D697">
        <f>IFERROR(ROUND(VLOOKUP(Table1[[#This Row],[Route]],SegmentsPerRoute!$C$3:$L$297,8,FALSE)+(Table1[[#This Row],[Sequence]]-1)*VLOOKUP(Table1[[#This Row],[Route]],SegmentsPerRoute!$C$3:$L$297,10,FALSE),0), 0)</f>
        <v>15</v>
      </c>
      <c r="E697">
        <v>1</v>
      </c>
      <c r="F697" s="1">
        <v>0</v>
      </c>
      <c r="G697" t="s">
        <v>1141</v>
      </c>
      <c r="H697" s="1">
        <v>8.6940000000000008</v>
      </c>
      <c r="I697" t="s">
        <v>1142</v>
      </c>
      <c r="J697" t="s">
        <v>4606</v>
      </c>
      <c r="K697" t="s">
        <v>1702</v>
      </c>
      <c r="N697" t="s">
        <v>269</v>
      </c>
    </row>
    <row r="698" spans="1:14" x14ac:dyDescent="0.25">
      <c r="A698" s="55" t="str">
        <f>Table1[[#This Row],[Route]]&amp;TEXT(Table1[[#This Row],[SegmentID]],"00")</f>
        <v>115A33</v>
      </c>
      <c r="B698" s="10" t="s">
        <v>1140</v>
      </c>
      <c r="C698" s="11" t="s">
        <v>2034</v>
      </c>
      <c r="D698" s="10">
        <f>IFERROR(ROUND(VLOOKUP(Table1[[#This Row],[Route]],SegmentsPerRoute!$C$3:$L$297,8,FALSE)+(Table1[[#This Row],[Sequence]]-1)*VLOOKUP(Table1[[#This Row],[Route]],SegmentsPerRoute!$C$3:$L$297,10,FALSE),0), 0)</f>
        <v>33</v>
      </c>
      <c r="E698" s="10">
        <v>2</v>
      </c>
      <c r="F698" s="14">
        <v>8.6940000000000008</v>
      </c>
      <c r="G698" s="10" t="s">
        <v>1142</v>
      </c>
      <c r="H698" s="14">
        <v>8.9849999999999994</v>
      </c>
      <c r="I698" s="10" t="s">
        <v>1143</v>
      </c>
      <c r="J698" s="10"/>
      <c r="K698" s="10" t="s">
        <v>2040</v>
      </c>
      <c r="L698" s="10" t="s">
        <v>2870</v>
      </c>
      <c r="M698" s="10" t="s">
        <v>2875</v>
      </c>
      <c r="N698" t="s">
        <v>269</v>
      </c>
    </row>
    <row r="699" spans="1:14" x14ac:dyDescent="0.25">
      <c r="A699" s="41" t="str">
        <f>Table1[[#This Row],[Route]]&amp;TEXT(Table1[[#This Row],[SegmentID]],"00")</f>
        <v>115A50</v>
      </c>
      <c r="B699" t="s">
        <v>1140</v>
      </c>
      <c r="C699" s="3" t="s">
        <v>1148</v>
      </c>
      <c r="D699">
        <f>IFERROR(ROUND(VLOOKUP(Table1[[#This Row],[Route]],SegmentsPerRoute!$C$3:$L$297,8,FALSE)+(Table1[[#This Row],[Sequence]]-1)*VLOOKUP(Table1[[#This Row],[Route]],SegmentsPerRoute!$C$3:$L$297,10,FALSE),0), 0)</f>
        <v>50</v>
      </c>
      <c r="E699">
        <v>3</v>
      </c>
      <c r="F699" s="1">
        <v>8.9849999999999994</v>
      </c>
      <c r="G699" t="s">
        <v>1143</v>
      </c>
      <c r="H699" s="1">
        <v>11.045999999999999</v>
      </c>
      <c r="I699" t="s">
        <v>1144</v>
      </c>
      <c r="K699" t="s">
        <v>1702</v>
      </c>
      <c r="L699" t="s">
        <v>2871</v>
      </c>
      <c r="M699" t="s">
        <v>2874</v>
      </c>
      <c r="N699" t="s">
        <v>269</v>
      </c>
    </row>
    <row r="700" spans="1:14" x14ac:dyDescent="0.25">
      <c r="A700" s="41" t="str">
        <f>Table1[[#This Row],[Route]]&amp;TEXT(Table1[[#This Row],[SegmentID]],"00")</f>
        <v>115A68</v>
      </c>
      <c r="B700" t="s">
        <v>1140</v>
      </c>
      <c r="C700" s="3" t="s">
        <v>1148</v>
      </c>
      <c r="D700">
        <f>IFERROR(ROUND(VLOOKUP(Table1[[#This Row],[Route]],SegmentsPerRoute!$C$3:$L$297,8,FALSE)+(Table1[[#This Row],[Sequence]]-1)*VLOOKUP(Table1[[#This Row],[Route]],SegmentsPerRoute!$C$3:$L$297,10,FALSE),0), 0)</f>
        <v>68</v>
      </c>
      <c r="E700">
        <v>4</v>
      </c>
      <c r="F700" s="1">
        <v>11.045999999999999</v>
      </c>
      <c r="G700" t="s">
        <v>1144</v>
      </c>
      <c r="H700" s="1">
        <v>13.96</v>
      </c>
      <c r="I700" t="s">
        <v>1145</v>
      </c>
      <c r="K700" t="s">
        <v>1702</v>
      </c>
      <c r="L700" t="s">
        <v>2871</v>
      </c>
      <c r="M700" t="s">
        <v>2874</v>
      </c>
      <c r="N700" t="s">
        <v>269</v>
      </c>
    </row>
    <row r="701" spans="1:14" x14ac:dyDescent="0.25">
      <c r="A701" s="41" t="str">
        <f>Table1[[#This Row],[Route]]&amp;TEXT(Table1[[#This Row],[SegmentID]],"00")</f>
        <v>115A85</v>
      </c>
      <c r="B701" t="s">
        <v>1140</v>
      </c>
      <c r="C701" s="3" t="s">
        <v>1148</v>
      </c>
      <c r="D701">
        <f>IFERROR(ROUND(VLOOKUP(Table1[[#This Row],[Route]],SegmentsPerRoute!$C$3:$L$297,8,FALSE)+(Table1[[#This Row],[Sequence]]-1)*VLOOKUP(Table1[[#This Row],[Route]],SegmentsPerRoute!$C$3:$L$297,10,FALSE),0), 0)</f>
        <v>85</v>
      </c>
      <c r="E701">
        <v>5</v>
      </c>
      <c r="F701" s="1">
        <v>13.96</v>
      </c>
      <c r="G701" t="s">
        <v>1145</v>
      </c>
      <c r="H701" s="1">
        <v>47.496000000000002</v>
      </c>
      <c r="I701" t="s">
        <v>1146</v>
      </c>
      <c r="K701" t="s">
        <v>1702</v>
      </c>
      <c r="L701" t="s">
        <v>2872</v>
      </c>
      <c r="M701" t="s">
        <v>2873</v>
      </c>
      <c r="N701" t="s">
        <v>1149</v>
      </c>
    </row>
    <row r="702" spans="1:14" x14ac:dyDescent="0.25">
      <c r="A702" s="41" t="str">
        <f>Table1[[#This Row],[Route]]&amp;TEXT(Table1[[#This Row],[SegmentID]],"00")</f>
        <v>116A15</v>
      </c>
      <c r="B702" t="s">
        <v>1155</v>
      </c>
      <c r="D702">
        <f>IFERROR(ROUND(VLOOKUP(Table1[[#This Row],[Route]],SegmentsPerRoute!$C$3:$L$297,8,FALSE)+(Table1[[#This Row],[Sequence]]-1)*VLOOKUP(Table1[[#This Row],[Route]],SegmentsPerRoute!$C$3:$L$297,10,FALSE),0), 0)</f>
        <v>15</v>
      </c>
      <c r="E702">
        <v>1</v>
      </c>
      <c r="F702" s="1">
        <v>0</v>
      </c>
      <c r="G702" t="s">
        <v>1156</v>
      </c>
      <c r="H702" s="1">
        <v>27</v>
      </c>
      <c r="I702" t="s">
        <v>1157</v>
      </c>
      <c r="K702" t="s">
        <v>1689</v>
      </c>
      <c r="L702" t="s">
        <v>2876</v>
      </c>
      <c r="M702" t="s">
        <v>2877</v>
      </c>
    </row>
    <row r="703" spans="1:14" x14ac:dyDescent="0.25">
      <c r="A703" s="41" t="str">
        <f>Table1[[#This Row],[Route]]&amp;TEXT(Table1[[#This Row],[SegmentID]],"00")</f>
        <v>116A99</v>
      </c>
      <c r="B703" t="s">
        <v>1155</v>
      </c>
      <c r="D703">
        <f>IFERROR(ROUND(VLOOKUP(Table1[[#This Row],[Route]],SegmentsPerRoute!$C$3:$L$297,8,FALSE)+(Table1[[#This Row],[Sequence]]-1)*VLOOKUP(Table1[[#This Row],[Route]],SegmentsPerRoute!$C$3:$L$297,10,FALSE),0), 0)</f>
        <v>99</v>
      </c>
      <c r="E703">
        <v>2</v>
      </c>
      <c r="F703" s="1">
        <v>27</v>
      </c>
      <c r="G703" t="s">
        <v>1157</v>
      </c>
      <c r="H703" s="1">
        <v>32.322000000000003</v>
      </c>
      <c r="I703" t="s">
        <v>250</v>
      </c>
      <c r="J703" t="s">
        <v>21</v>
      </c>
      <c r="K703" t="s">
        <v>1689</v>
      </c>
    </row>
    <row r="704" spans="1:14" x14ac:dyDescent="0.25">
      <c r="A704" s="41" t="str">
        <f>Table1[[#This Row],[Route]]&amp;TEXT(Table1[[#This Row],[SegmentID]],"00")</f>
        <v>119A15</v>
      </c>
      <c r="B704" t="s">
        <v>1158</v>
      </c>
      <c r="C704" s="11" t="s">
        <v>1734</v>
      </c>
      <c r="D704">
        <f>IFERROR(ROUND(VLOOKUP(Table1[[#This Row],[Route]],SegmentsPerRoute!$C$3:$L$297,8,FALSE)+(Table1[[#This Row],[Sequence]]-1)*VLOOKUP(Table1[[#This Row],[Route]],SegmentsPerRoute!$C$3:$L$297,10,FALSE),0), 0)</f>
        <v>15</v>
      </c>
      <c r="E704">
        <v>1</v>
      </c>
      <c r="F704" s="1">
        <v>0</v>
      </c>
      <c r="G704" t="s">
        <v>1159</v>
      </c>
      <c r="H704" s="1">
        <v>12.492000000000001</v>
      </c>
      <c r="I704" t="s">
        <v>1160</v>
      </c>
      <c r="K704" t="s">
        <v>1724</v>
      </c>
      <c r="L704" t="s">
        <v>2878</v>
      </c>
      <c r="M704" t="s">
        <v>2883</v>
      </c>
      <c r="N704" t="s">
        <v>1164</v>
      </c>
    </row>
    <row r="705" spans="1:14" x14ac:dyDescent="0.25">
      <c r="A705" s="41" t="str">
        <f>Table1[[#This Row],[Route]]&amp;TEXT(Table1[[#This Row],[SegmentID]],"00")</f>
        <v>119A38</v>
      </c>
      <c r="B705" t="s">
        <v>1158</v>
      </c>
      <c r="C705" s="11" t="s">
        <v>1734</v>
      </c>
      <c r="D705">
        <f>IFERROR(ROUND(VLOOKUP(Table1[[#This Row],[Route]],SegmentsPerRoute!$C$3:$L$297,8,FALSE)+(Table1[[#This Row],[Sequence]]-1)*VLOOKUP(Table1[[#This Row],[Route]],SegmentsPerRoute!$C$3:$L$297,10,FALSE),0), 0)</f>
        <v>38</v>
      </c>
      <c r="E705">
        <v>2</v>
      </c>
      <c r="F705" s="1">
        <v>12.492000000000001</v>
      </c>
      <c r="G705" t="s">
        <v>1160</v>
      </c>
      <c r="H705" s="1">
        <v>22.748000000000001</v>
      </c>
      <c r="I705" t="s">
        <v>1161</v>
      </c>
      <c r="K705" t="s">
        <v>1724</v>
      </c>
      <c r="L705" t="s">
        <v>2878</v>
      </c>
      <c r="M705" t="s">
        <v>2883</v>
      </c>
      <c r="N705" t="s">
        <v>1165</v>
      </c>
    </row>
    <row r="706" spans="1:14" x14ac:dyDescent="0.25">
      <c r="A706" s="41" t="str">
        <f>Table1[[#This Row],[Route]]&amp;TEXT(Table1[[#This Row],[SegmentID]],"00")</f>
        <v>119A62</v>
      </c>
      <c r="B706" t="s">
        <v>1158</v>
      </c>
      <c r="C706" s="11" t="s">
        <v>1735</v>
      </c>
      <c r="D706">
        <f>IFERROR(ROUND(VLOOKUP(Table1[[#This Row],[Route]],SegmentsPerRoute!$C$3:$L$297,8,FALSE)+(Table1[[#This Row],[Sequence]]-1)*VLOOKUP(Table1[[#This Row],[Route]],SegmentsPerRoute!$C$3:$L$297,10,FALSE),0), 0)</f>
        <v>62</v>
      </c>
      <c r="E706">
        <v>3</v>
      </c>
      <c r="F706" s="1">
        <v>22.748000000000001</v>
      </c>
      <c r="G706" t="s">
        <v>1161</v>
      </c>
      <c r="H706" s="1">
        <v>25.754000000000001</v>
      </c>
      <c r="I706" t="s">
        <v>1162</v>
      </c>
      <c r="K706" t="s">
        <v>1724</v>
      </c>
      <c r="L706" t="s">
        <v>2879</v>
      </c>
      <c r="M706" t="s">
        <v>2882</v>
      </c>
      <c r="N706" t="s">
        <v>1166</v>
      </c>
    </row>
    <row r="707" spans="1:14" x14ac:dyDescent="0.25">
      <c r="A707" s="41" t="str">
        <f>Table1[[#This Row],[Route]]&amp;TEXT(Table1[[#This Row],[SegmentID]],"00")</f>
        <v>119A85</v>
      </c>
      <c r="B707" t="s">
        <v>1158</v>
      </c>
      <c r="C707" s="11" t="s">
        <v>1736</v>
      </c>
      <c r="D707">
        <f>IFERROR(ROUND(VLOOKUP(Table1[[#This Row],[Route]],SegmentsPerRoute!$C$3:$L$297,8,FALSE)+(Table1[[#This Row],[Sequence]]-1)*VLOOKUP(Table1[[#This Row],[Route]],SegmentsPerRoute!$C$3:$L$297,10,FALSE),0), 0)</f>
        <v>85</v>
      </c>
      <c r="E707">
        <v>4</v>
      </c>
      <c r="F707" s="1">
        <v>25.754000000000001</v>
      </c>
      <c r="G707" t="s">
        <v>1162</v>
      </c>
      <c r="H707" s="1">
        <v>41.892000000000003</v>
      </c>
      <c r="I707" t="s">
        <v>1163</v>
      </c>
      <c r="K707" t="s">
        <v>1724</v>
      </c>
      <c r="L707" t="s">
        <v>2880</v>
      </c>
      <c r="M707" t="s">
        <v>2881</v>
      </c>
      <c r="N707" t="s">
        <v>475</v>
      </c>
    </row>
    <row r="708" spans="1:14" x14ac:dyDescent="0.25">
      <c r="A708" s="41" t="str">
        <f>Table1[[#This Row],[Route]]&amp;TEXT(Table1[[#This Row],[SegmentID]],"00")</f>
        <v>119B15</v>
      </c>
      <c r="B708" t="s">
        <v>1167</v>
      </c>
      <c r="C708" s="11"/>
      <c r="D708">
        <f>IFERROR(ROUND(VLOOKUP(Table1[[#This Row],[Route]],SegmentsPerRoute!$C$3:$L$297,8,FALSE)+(Table1[[#This Row],[Sequence]]-1)*VLOOKUP(Table1[[#This Row],[Route]],SegmentsPerRoute!$C$3:$L$297,10,FALSE),0), 0)</f>
        <v>15</v>
      </c>
      <c r="E708">
        <v>1</v>
      </c>
      <c r="F708" s="1">
        <v>44.237000000000002</v>
      </c>
      <c r="G708" t="s">
        <v>1168</v>
      </c>
      <c r="H708" s="1">
        <v>44.984000000000002</v>
      </c>
      <c r="I708" t="s">
        <v>140</v>
      </c>
      <c r="K708" t="s">
        <v>1689</v>
      </c>
      <c r="L708" t="s">
        <v>2884</v>
      </c>
      <c r="M708" t="s">
        <v>2891</v>
      </c>
    </row>
    <row r="709" spans="1:14" x14ac:dyDescent="0.25">
      <c r="A709" s="41" t="str">
        <f>Table1[[#This Row],[Route]]&amp;TEXT(Table1[[#This Row],[SegmentID]],"00")</f>
        <v>119B38</v>
      </c>
      <c r="B709" t="s">
        <v>1167</v>
      </c>
      <c r="D709">
        <f>IFERROR(ROUND(VLOOKUP(Table1[[#This Row],[Route]],SegmentsPerRoute!$C$3:$L$297,8,FALSE)+(Table1[[#This Row],[Sequence]]-1)*VLOOKUP(Table1[[#This Row],[Route]],SegmentsPerRoute!$C$3:$L$297,10,FALSE),0), 0)</f>
        <v>38</v>
      </c>
      <c r="E709">
        <v>2</v>
      </c>
      <c r="F709" s="1">
        <v>44.984000000000002</v>
      </c>
      <c r="G709" t="s">
        <v>140</v>
      </c>
      <c r="H709" s="1">
        <v>49.533999999999999</v>
      </c>
      <c r="I709" t="s">
        <v>1169</v>
      </c>
      <c r="K709" t="s">
        <v>1689</v>
      </c>
      <c r="L709" t="s">
        <v>2885</v>
      </c>
      <c r="M709" t="s">
        <v>2890</v>
      </c>
      <c r="N709" t="s">
        <v>1173</v>
      </c>
    </row>
    <row r="710" spans="1:14" x14ac:dyDescent="0.25">
      <c r="A710" s="41" t="str">
        <f>Table1[[#This Row],[Route]]&amp;TEXT(Table1[[#This Row],[SegmentID]],"00")</f>
        <v>119B62</v>
      </c>
      <c r="B710" t="s">
        <v>1167</v>
      </c>
      <c r="D710">
        <f>IFERROR(ROUND(VLOOKUP(Table1[[#This Row],[Route]],SegmentsPerRoute!$C$3:$L$297,8,FALSE)+(Table1[[#This Row],[Sequence]]-1)*VLOOKUP(Table1[[#This Row],[Route]],SegmentsPerRoute!$C$3:$L$297,10,FALSE),0), 0)</f>
        <v>62</v>
      </c>
      <c r="E710">
        <v>3</v>
      </c>
      <c r="F710" s="1">
        <v>49.533999999999999</v>
      </c>
      <c r="G710" t="s">
        <v>1169</v>
      </c>
      <c r="H710" s="1">
        <v>56.201999999999998</v>
      </c>
      <c r="I710" t="s">
        <v>1170</v>
      </c>
      <c r="K710" t="s">
        <v>1689</v>
      </c>
      <c r="L710" t="s">
        <v>2886</v>
      </c>
      <c r="M710" t="s">
        <v>2889</v>
      </c>
      <c r="N710" t="s">
        <v>473</v>
      </c>
    </row>
    <row r="711" spans="1:14" x14ac:dyDescent="0.25">
      <c r="A711" s="41" t="str">
        <f>Table1[[#This Row],[Route]]&amp;TEXT(Table1[[#This Row],[SegmentID]],"00")</f>
        <v>119B85</v>
      </c>
      <c r="B711" t="s">
        <v>1167</v>
      </c>
      <c r="D711">
        <f>IFERROR(ROUND(VLOOKUP(Table1[[#This Row],[Route]],SegmentsPerRoute!$C$3:$L$297,8,FALSE)+(Table1[[#This Row],[Sequence]]-1)*VLOOKUP(Table1[[#This Row],[Route]],SegmentsPerRoute!$C$3:$L$297,10,FALSE),0), 0)</f>
        <v>85</v>
      </c>
      <c r="E711">
        <v>4</v>
      </c>
      <c r="F711" s="1">
        <v>56.201999999999998</v>
      </c>
      <c r="G711" t="s">
        <v>1170</v>
      </c>
      <c r="H711" s="1">
        <v>59.088999999999999</v>
      </c>
      <c r="I711" t="s">
        <v>1171</v>
      </c>
      <c r="K711" t="s">
        <v>1689</v>
      </c>
      <c r="L711" t="s">
        <v>2887</v>
      </c>
      <c r="M711" t="s">
        <v>2888</v>
      </c>
      <c r="N711" t="s">
        <v>1174</v>
      </c>
    </row>
    <row r="712" spans="1:14" x14ac:dyDescent="0.25">
      <c r="A712" s="41" t="str">
        <f>Table1[[#This Row],[Route]]&amp;TEXT(Table1[[#This Row],[SegmentID]],"00")</f>
        <v>119C15</v>
      </c>
      <c r="B712" t="s">
        <v>1172</v>
      </c>
      <c r="D712">
        <f>IFERROR(ROUND(VLOOKUP(Table1[[#This Row],[Route]],SegmentsPerRoute!$C$3:$L$297,8,FALSE)+(Table1[[#This Row],[Sequence]]-1)*VLOOKUP(Table1[[#This Row],[Route]],SegmentsPerRoute!$C$3:$L$297,10,FALSE),0), 0)</f>
        <v>15</v>
      </c>
      <c r="E712">
        <v>1</v>
      </c>
      <c r="F712" s="1">
        <v>59.088999999999999</v>
      </c>
      <c r="G712" t="s">
        <v>1181</v>
      </c>
      <c r="H712" s="1">
        <v>63.7</v>
      </c>
      <c r="I712" t="s">
        <v>1175</v>
      </c>
      <c r="K712" t="s">
        <v>1693</v>
      </c>
      <c r="L712" t="s">
        <v>2892</v>
      </c>
      <c r="M712" t="s">
        <v>2893</v>
      </c>
      <c r="N712" t="s">
        <v>371</v>
      </c>
    </row>
    <row r="713" spans="1:14" x14ac:dyDescent="0.25">
      <c r="A713" s="41" t="str">
        <f>Table1[[#This Row],[Route]]&amp;TEXT(Table1[[#This Row],[SegmentID]],"00")</f>
        <v>120A15</v>
      </c>
      <c r="B713" t="s">
        <v>1176</v>
      </c>
      <c r="D713">
        <f>IFERROR(ROUND(VLOOKUP(Table1[[#This Row],[Route]],SegmentsPerRoute!$C$3:$L$297,8,FALSE)+(Table1[[#This Row],[Sequence]]-1)*VLOOKUP(Table1[[#This Row],[Route]],SegmentsPerRoute!$C$3:$L$297,10,FALSE),0), 0)</f>
        <v>15</v>
      </c>
      <c r="E713">
        <v>1</v>
      </c>
      <c r="F713" s="1">
        <v>0</v>
      </c>
      <c r="G713" t="s">
        <v>1177</v>
      </c>
      <c r="H713" s="1">
        <v>7.1859999999999999</v>
      </c>
      <c r="I713" t="s">
        <v>1178</v>
      </c>
      <c r="J713" t="s">
        <v>4613</v>
      </c>
      <c r="K713" t="s">
        <v>1689</v>
      </c>
      <c r="N713" t="s">
        <v>1179</v>
      </c>
    </row>
    <row r="714" spans="1:14" x14ac:dyDescent="0.25">
      <c r="A714" s="41" t="str">
        <f>Table1[[#This Row],[Route]]&amp;TEXT(Table1[[#This Row],[SegmentID]],"00")</f>
        <v>121A15</v>
      </c>
      <c r="B714" t="s">
        <v>1180</v>
      </c>
      <c r="C714" s="3" t="s">
        <v>1186</v>
      </c>
      <c r="D714">
        <f>IFERROR(ROUND(VLOOKUP(Table1[[#This Row],[Route]],SegmentsPerRoute!$C$3:$L$297,8,FALSE)+(Table1[[#This Row],[Sequence]]-1)*VLOOKUP(Table1[[#This Row],[Route]],SegmentsPerRoute!$C$3:$L$297,10,FALSE),0), 0)</f>
        <v>15</v>
      </c>
      <c r="E714">
        <v>1</v>
      </c>
      <c r="F714" s="1">
        <v>0</v>
      </c>
      <c r="G714" t="s">
        <v>984</v>
      </c>
      <c r="H714" s="1">
        <v>7.4930000000000003</v>
      </c>
      <c r="I714" t="s">
        <v>985</v>
      </c>
      <c r="K714" t="s">
        <v>1708</v>
      </c>
      <c r="L714" t="s">
        <v>2894</v>
      </c>
      <c r="M714" t="s">
        <v>2905</v>
      </c>
    </row>
    <row r="715" spans="1:14" x14ac:dyDescent="0.25">
      <c r="A715" s="41" t="str">
        <f>Table1[[#This Row],[Route]]&amp;TEXT(Table1[[#This Row],[SegmentID]],"00")</f>
        <v>121A25</v>
      </c>
      <c r="B715" t="s">
        <v>1180</v>
      </c>
      <c r="C715" s="3" t="s">
        <v>1186</v>
      </c>
      <c r="D715">
        <f>IFERROR(ROUND(VLOOKUP(Table1[[#This Row],[Route]],SegmentsPerRoute!$C$3:$L$297,8,FALSE)+(Table1[[#This Row],[Sequence]]-1)*VLOOKUP(Table1[[#This Row],[Route]],SegmentsPerRoute!$C$3:$L$297,10,FALSE),0), 0)</f>
        <v>25</v>
      </c>
      <c r="E715">
        <v>2</v>
      </c>
      <c r="F715" s="1">
        <v>7.4930000000000003</v>
      </c>
      <c r="G715" t="s">
        <v>985</v>
      </c>
      <c r="H715" s="1">
        <v>9.0619999999999994</v>
      </c>
      <c r="I715" t="s">
        <v>1182</v>
      </c>
      <c r="K715" t="s">
        <v>1708</v>
      </c>
      <c r="L715" t="s">
        <v>2895</v>
      </c>
      <c r="M715" t="s">
        <v>2904</v>
      </c>
      <c r="N715" t="s">
        <v>155</v>
      </c>
    </row>
    <row r="716" spans="1:14" x14ac:dyDescent="0.25">
      <c r="A716" s="41" t="str">
        <f>Table1[[#This Row],[Route]]&amp;TEXT(Table1[[#This Row],[SegmentID]],"00")</f>
        <v>121A35</v>
      </c>
      <c r="B716" t="s">
        <v>1180</v>
      </c>
      <c r="C716" s="3" t="s">
        <v>1187</v>
      </c>
      <c r="D716">
        <f>IFERROR(ROUND(VLOOKUP(Table1[[#This Row],[Route]],SegmentsPerRoute!$C$3:$L$297,8,FALSE)+(Table1[[#This Row],[Sequence]]-1)*VLOOKUP(Table1[[#This Row],[Route]],SegmentsPerRoute!$C$3:$L$297,10,FALSE),0), 0)</f>
        <v>35</v>
      </c>
      <c r="E716">
        <v>3</v>
      </c>
      <c r="F716" s="1">
        <v>9.0619999999999994</v>
      </c>
      <c r="G716" t="s">
        <v>1182</v>
      </c>
      <c r="H716" s="1">
        <v>12.444000000000001</v>
      </c>
      <c r="I716" t="s">
        <v>336</v>
      </c>
      <c r="K716" t="s">
        <v>1708</v>
      </c>
      <c r="L716" t="s">
        <v>2896</v>
      </c>
      <c r="M716" t="s">
        <v>2903</v>
      </c>
      <c r="N716" t="s">
        <v>1188</v>
      </c>
    </row>
    <row r="717" spans="1:14" x14ac:dyDescent="0.25">
      <c r="A717" s="41" t="str">
        <f>Table1[[#This Row],[Route]]&amp;TEXT(Table1[[#This Row],[SegmentID]],"00")</f>
        <v>121A45</v>
      </c>
      <c r="B717" t="s">
        <v>1180</v>
      </c>
      <c r="C717" s="3" t="s">
        <v>1187</v>
      </c>
      <c r="D717">
        <f>IFERROR(ROUND(VLOOKUP(Table1[[#This Row],[Route]],SegmentsPerRoute!$C$3:$L$297,8,FALSE)+(Table1[[#This Row],[Sequence]]-1)*VLOOKUP(Table1[[#This Row],[Route]],SegmentsPerRoute!$C$3:$L$297,10,FALSE),0), 0)</f>
        <v>45</v>
      </c>
      <c r="E717">
        <v>4</v>
      </c>
      <c r="F717" s="1">
        <v>12.444000000000001</v>
      </c>
      <c r="G717" t="s">
        <v>336</v>
      </c>
      <c r="H717" s="1">
        <v>13.596</v>
      </c>
      <c r="I717" t="s">
        <v>337</v>
      </c>
      <c r="K717" t="s">
        <v>1708</v>
      </c>
      <c r="L717" t="s">
        <v>2897</v>
      </c>
      <c r="M717" t="s">
        <v>2902</v>
      </c>
      <c r="N717" t="s">
        <v>1189</v>
      </c>
    </row>
    <row r="718" spans="1:14" x14ac:dyDescent="0.25">
      <c r="A718" s="41" t="str">
        <f>Table1[[#This Row],[Route]]&amp;TEXT(Table1[[#This Row],[SegmentID]],"00")</f>
        <v>121A55</v>
      </c>
      <c r="B718" t="s">
        <v>1180</v>
      </c>
      <c r="C718" s="3" t="s">
        <v>1187</v>
      </c>
      <c r="D718">
        <f>IFERROR(ROUND(VLOOKUP(Table1[[#This Row],[Route]],SegmentsPerRoute!$C$3:$L$297,8,FALSE)+(Table1[[#This Row],[Sequence]]-1)*VLOOKUP(Table1[[#This Row],[Route]],SegmentsPerRoute!$C$3:$L$297,10,FALSE),0), 0)</f>
        <v>55</v>
      </c>
      <c r="E718">
        <v>5</v>
      </c>
      <c r="F718" s="1">
        <v>13.596</v>
      </c>
      <c r="G718" t="s">
        <v>337</v>
      </c>
      <c r="H718" s="1">
        <v>16.79</v>
      </c>
      <c r="I718" t="s">
        <v>16</v>
      </c>
      <c r="K718" t="s">
        <v>1708</v>
      </c>
      <c r="L718" t="s">
        <v>2897</v>
      </c>
      <c r="M718" t="s">
        <v>2902</v>
      </c>
      <c r="N718" t="s">
        <v>76</v>
      </c>
    </row>
    <row r="719" spans="1:14" x14ac:dyDescent="0.25">
      <c r="A719" s="41" t="str">
        <f>Table1[[#This Row],[Route]]&amp;TEXT(Table1[[#This Row],[SegmentID]],"00")</f>
        <v>121A65</v>
      </c>
      <c r="B719" t="s">
        <v>1180</v>
      </c>
      <c r="C719" s="3" t="s">
        <v>1187</v>
      </c>
      <c r="D719">
        <f>IFERROR(ROUND(VLOOKUP(Table1[[#This Row],[Route]],SegmentsPerRoute!$C$3:$L$297,8,FALSE)+(Table1[[#This Row],[Sequence]]-1)*VLOOKUP(Table1[[#This Row],[Route]],SegmentsPerRoute!$C$3:$L$297,10,FALSE),0), 0)</f>
        <v>65</v>
      </c>
      <c r="E719">
        <v>6</v>
      </c>
      <c r="F719" s="1">
        <v>16.79</v>
      </c>
      <c r="G719" t="s">
        <v>16</v>
      </c>
      <c r="H719" s="1">
        <v>25.683</v>
      </c>
      <c r="I719" t="s">
        <v>1183</v>
      </c>
      <c r="K719" t="s">
        <v>1708</v>
      </c>
      <c r="L719" t="s">
        <v>2898</v>
      </c>
      <c r="M719" t="s">
        <v>2901</v>
      </c>
      <c r="N719" t="s">
        <v>1190</v>
      </c>
    </row>
    <row r="720" spans="1:14" x14ac:dyDescent="0.25">
      <c r="A720" s="41" t="str">
        <f>Table1[[#This Row],[Route]]&amp;TEXT(Table1[[#This Row],[SegmentID]],"00")</f>
        <v>121A75</v>
      </c>
      <c r="B720" t="s">
        <v>1180</v>
      </c>
      <c r="C720" s="3" t="s">
        <v>1187</v>
      </c>
      <c r="D720">
        <f>IFERROR(ROUND(VLOOKUP(Table1[[#This Row],[Route]],SegmentsPerRoute!$C$3:$L$297,8,FALSE)+(Table1[[#This Row],[Sequence]]-1)*VLOOKUP(Table1[[#This Row],[Route]],SegmentsPerRoute!$C$3:$L$297,10,FALSE),0), 0)</f>
        <v>75</v>
      </c>
      <c r="E720">
        <v>7</v>
      </c>
      <c r="F720" s="1">
        <v>25.683</v>
      </c>
      <c r="G720" t="s">
        <v>1183</v>
      </c>
      <c r="H720" s="1">
        <v>26.02</v>
      </c>
      <c r="I720" t="s">
        <v>1184</v>
      </c>
      <c r="K720" t="s">
        <v>1708</v>
      </c>
      <c r="L720" t="s">
        <v>2898</v>
      </c>
      <c r="M720" t="s">
        <v>2901</v>
      </c>
    </row>
    <row r="721" spans="1:14" x14ac:dyDescent="0.25">
      <c r="A721" s="41" t="str">
        <f>Table1[[#This Row],[Route]]&amp;TEXT(Table1[[#This Row],[SegmentID]],"00")</f>
        <v>121A85</v>
      </c>
      <c r="B721" t="s">
        <v>1180</v>
      </c>
      <c r="C721" s="3" t="s">
        <v>1187</v>
      </c>
      <c r="D721">
        <f>IFERROR(ROUND(VLOOKUP(Table1[[#This Row],[Route]],SegmentsPerRoute!$C$3:$L$297,8,FALSE)+(Table1[[#This Row],[Sequence]]-1)*VLOOKUP(Table1[[#This Row],[Route]],SegmentsPerRoute!$C$3:$L$297,10,FALSE),0), 0)</f>
        <v>85</v>
      </c>
      <c r="E721">
        <v>8</v>
      </c>
      <c r="F721" s="1">
        <v>26.02</v>
      </c>
      <c r="G721" t="s">
        <v>1184</v>
      </c>
      <c r="H721" s="1">
        <v>26.452000000000002</v>
      </c>
      <c r="I721" t="s">
        <v>10</v>
      </c>
      <c r="K721" t="s">
        <v>1708</v>
      </c>
      <c r="L721" t="s">
        <v>2899</v>
      </c>
      <c r="M721" t="s">
        <v>2900</v>
      </c>
    </row>
    <row r="722" spans="1:14" x14ac:dyDescent="0.25">
      <c r="A722" s="41" t="str">
        <f>Table1[[#This Row],[Route]]&amp;TEXT(Table1[[#This Row],[SegmentID]],"00")</f>
        <v>121B15</v>
      </c>
      <c r="B722" t="s">
        <v>1185</v>
      </c>
      <c r="D722">
        <f>IFERROR(ROUND(VLOOKUP(Table1[[#This Row],[Route]],SegmentsPerRoute!$C$3:$L$297,8,FALSE)+(Table1[[#This Row],[Sequence]]-1)*VLOOKUP(Table1[[#This Row],[Route]],SegmentsPerRoute!$C$3:$L$297,10,FALSE),0), 0)</f>
        <v>15</v>
      </c>
      <c r="E722">
        <v>1</v>
      </c>
      <c r="F722" s="1">
        <v>0</v>
      </c>
      <c r="G722" t="s">
        <v>1191</v>
      </c>
      <c r="H722" s="1">
        <v>4.4130000000000003</v>
      </c>
      <c r="I722" t="s">
        <v>984</v>
      </c>
      <c r="J722" t="s">
        <v>21</v>
      </c>
      <c r="K722" t="s">
        <v>1709</v>
      </c>
      <c r="N722" t="s">
        <v>77</v>
      </c>
    </row>
    <row r="723" spans="1:14" ht="45" x14ac:dyDescent="0.25">
      <c r="A723" s="41" t="str">
        <f>Table1[[#This Row],[Route]]&amp;TEXT(Table1[[#This Row],[SegmentID]],"00")</f>
        <v>125A15</v>
      </c>
      <c r="B723" t="s">
        <v>1192</v>
      </c>
      <c r="D723">
        <f>IFERROR(ROUND(VLOOKUP(Table1[[#This Row],[Route]],SegmentsPerRoute!$C$3:$L$297,8,FALSE)+(Table1[[#This Row],[Sequence]]-1)*VLOOKUP(Table1[[#This Row],[Route]],SegmentsPerRoute!$C$3:$L$297,10,FALSE),0), 0)</f>
        <v>15</v>
      </c>
      <c r="E723">
        <v>1</v>
      </c>
      <c r="F723" s="1">
        <v>0</v>
      </c>
      <c r="G723" t="s">
        <v>1193</v>
      </c>
      <c r="H723" s="1">
        <v>52.02</v>
      </c>
      <c r="I723" t="s">
        <v>1194</v>
      </c>
      <c r="K723" t="s">
        <v>1695</v>
      </c>
      <c r="L723" t="s">
        <v>2906</v>
      </c>
      <c r="M723" t="s">
        <v>2911</v>
      </c>
      <c r="N723" s="4" t="s">
        <v>1200</v>
      </c>
    </row>
    <row r="724" spans="1:14" x14ac:dyDescent="0.25">
      <c r="A724" s="41" t="str">
        <f>Table1[[#This Row],[Route]]&amp;TEXT(Table1[[#This Row],[SegmentID]],"00")</f>
        <v>125A43</v>
      </c>
      <c r="B724" t="s">
        <v>1192</v>
      </c>
      <c r="D724">
        <f>IFERROR(ROUND(VLOOKUP(Table1[[#This Row],[Route]],SegmentsPerRoute!$C$3:$L$297,8,FALSE)+(Table1[[#This Row],[Sequence]]-1)*VLOOKUP(Table1[[#This Row],[Route]],SegmentsPerRoute!$C$3:$L$297,10,FALSE),0), 0)</f>
        <v>43</v>
      </c>
      <c r="E724">
        <v>2</v>
      </c>
      <c r="F724" s="1">
        <v>52.02</v>
      </c>
      <c r="G724" t="s">
        <v>1194</v>
      </c>
      <c r="H724" s="1">
        <v>53.287999999999997</v>
      </c>
      <c r="I724" t="s">
        <v>1195</v>
      </c>
      <c r="K724" t="s">
        <v>1695</v>
      </c>
      <c r="L724" t="s">
        <v>2907</v>
      </c>
      <c r="M724" t="s">
        <v>2910</v>
      </c>
      <c r="N724" t="s">
        <v>1201</v>
      </c>
    </row>
    <row r="725" spans="1:14" x14ac:dyDescent="0.25">
      <c r="A725" s="41" t="str">
        <f>Table1[[#This Row],[Route]]&amp;TEXT(Table1[[#This Row],[SegmentID]],"00")</f>
        <v>125A71</v>
      </c>
      <c r="B725" t="s">
        <v>1192</v>
      </c>
      <c r="D725">
        <f>IFERROR(ROUND(VLOOKUP(Table1[[#This Row],[Route]],SegmentsPerRoute!$C$3:$L$297,8,FALSE)+(Table1[[#This Row],[Sequence]]-1)*VLOOKUP(Table1[[#This Row],[Route]],SegmentsPerRoute!$C$3:$L$297,10,FALSE),0), 0)</f>
        <v>71</v>
      </c>
      <c r="E725">
        <v>3</v>
      </c>
      <c r="F725" s="1">
        <v>53.287999999999997</v>
      </c>
      <c r="G725" t="s">
        <v>1195</v>
      </c>
      <c r="H725" s="1">
        <v>66.558000000000007</v>
      </c>
      <c r="I725" t="s">
        <v>1196</v>
      </c>
      <c r="K725" t="s">
        <v>1695</v>
      </c>
      <c r="L725" t="s">
        <v>2907</v>
      </c>
      <c r="M725" t="s">
        <v>2910</v>
      </c>
      <c r="N725" t="s">
        <v>1202</v>
      </c>
    </row>
    <row r="726" spans="1:14" x14ac:dyDescent="0.25">
      <c r="A726" s="41" t="str">
        <f>Table1[[#This Row],[Route]]&amp;TEXT(Table1[[#This Row],[SegmentID]],"00")</f>
        <v>125A99</v>
      </c>
      <c r="B726" t="s">
        <v>1192</v>
      </c>
      <c r="D726">
        <f>IFERROR(ROUND(VLOOKUP(Table1[[#This Row],[Route]],SegmentsPerRoute!$C$3:$L$297,8,FALSE)+(Table1[[#This Row],[Sequence]]-1)*VLOOKUP(Table1[[#This Row],[Route]],SegmentsPerRoute!$C$3:$L$297,10,FALSE),0), 0)</f>
        <v>99</v>
      </c>
      <c r="E726">
        <v>4</v>
      </c>
      <c r="F726" s="1">
        <v>66.558000000000007</v>
      </c>
      <c r="G726" t="s">
        <v>1196</v>
      </c>
      <c r="H726" s="1">
        <v>75.406000000000006</v>
      </c>
      <c r="I726" t="s">
        <v>251</v>
      </c>
      <c r="K726" t="s">
        <v>1695</v>
      </c>
      <c r="L726" t="s">
        <v>2908</v>
      </c>
      <c r="M726" t="s">
        <v>2909</v>
      </c>
      <c r="N726" t="s">
        <v>1198</v>
      </c>
    </row>
    <row r="727" spans="1:14" x14ac:dyDescent="0.25">
      <c r="A727" s="41" t="str">
        <f>Table1[[#This Row],[Route]]&amp;TEXT(Table1[[#This Row],[SegmentID]],"00")</f>
        <v>127A15</v>
      </c>
      <c r="B727" t="s">
        <v>1197</v>
      </c>
      <c r="D727">
        <f>IFERROR(ROUND(VLOOKUP(Table1[[#This Row],[Route]],SegmentsPerRoute!$C$3:$L$297,8,FALSE)+(Table1[[#This Row],[Sequence]]-1)*VLOOKUP(Table1[[#This Row],[Route]],SegmentsPerRoute!$C$3:$L$297,10,FALSE),0), 0)</f>
        <v>15</v>
      </c>
      <c r="E727">
        <v>1</v>
      </c>
      <c r="F727" s="1">
        <v>0</v>
      </c>
      <c r="G727" t="s">
        <v>1199</v>
      </c>
      <c r="H727" s="1">
        <v>9.202</v>
      </c>
      <c r="I727" t="s">
        <v>251</v>
      </c>
      <c r="K727" t="s">
        <v>1695</v>
      </c>
      <c r="L727" t="s">
        <v>2912</v>
      </c>
      <c r="M727" t="s">
        <v>2913</v>
      </c>
      <c r="N727" t="s">
        <v>1203</v>
      </c>
    </row>
    <row r="728" spans="1:14" x14ac:dyDescent="0.25">
      <c r="A728" s="41" t="str">
        <f>Table1[[#This Row],[Route]]&amp;TEXT(Table1[[#This Row],[SegmentID]],"00")</f>
        <v>128A15</v>
      </c>
      <c r="B728" t="s">
        <v>1204</v>
      </c>
      <c r="D728">
        <f>IFERROR(ROUND(VLOOKUP(Table1[[#This Row],[Route]],SegmentsPerRoute!$C$3:$L$297,8,FALSE)+(Table1[[#This Row],[Sequence]]-1)*VLOOKUP(Table1[[#This Row],[Route]],SegmentsPerRoute!$C$3:$L$297,10,FALSE),0), 0)</f>
        <v>15</v>
      </c>
      <c r="E728">
        <v>1</v>
      </c>
      <c r="F728" s="1">
        <v>0</v>
      </c>
      <c r="G728" t="s">
        <v>904</v>
      </c>
      <c r="H728" s="1">
        <v>7.9729999999999999</v>
      </c>
      <c r="I728" t="s">
        <v>465</v>
      </c>
      <c r="K728" t="s">
        <v>1692</v>
      </c>
      <c r="L728" t="s">
        <v>2914</v>
      </c>
      <c r="M728" t="s">
        <v>2915</v>
      </c>
      <c r="N728" t="s">
        <v>476</v>
      </c>
    </row>
    <row r="729" spans="1:14" x14ac:dyDescent="0.25">
      <c r="A729" s="41" t="str">
        <f>Table1[[#This Row],[Route]]&amp;TEXT(Table1[[#This Row],[SegmentID]],"00")</f>
        <v>128A62</v>
      </c>
      <c r="B729" t="s">
        <v>1204</v>
      </c>
      <c r="D729">
        <f>IFERROR(ROUND(VLOOKUP(Table1[[#This Row],[Route]],SegmentsPerRoute!$C$3:$L$297,8,FALSE)+(Table1[[#This Row],[Sequence]]-1)*VLOOKUP(Table1[[#This Row],[Route]],SegmentsPerRoute!$C$3:$L$297,10,FALSE),0), 0)</f>
        <v>62</v>
      </c>
      <c r="E729">
        <v>3</v>
      </c>
      <c r="F729" s="1">
        <v>7.9729999999999999</v>
      </c>
      <c r="G729" t="s">
        <v>465</v>
      </c>
      <c r="H729" s="1">
        <v>8.6890000000000001</v>
      </c>
      <c r="I729" t="s">
        <v>1205</v>
      </c>
      <c r="J729" t="s">
        <v>21</v>
      </c>
      <c r="K729" t="s">
        <v>1692</v>
      </c>
    </row>
    <row r="730" spans="1:14" x14ac:dyDescent="0.25">
      <c r="A730" s="41" t="str">
        <f>Table1[[#This Row],[Route]]&amp;TEXT(Table1[[#This Row],[SegmentID]],"00")</f>
        <v>128B15</v>
      </c>
      <c r="B730" t="s">
        <v>1206</v>
      </c>
      <c r="D730">
        <f>IFERROR(ROUND(VLOOKUP(Table1[[#This Row],[Route]],SegmentsPerRoute!$C$3:$L$297,8,FALSE)+(Table1[[#This Row],[Sequence]]-1)*VLOOKUP(Table1[[#This Row],[Route]],SegmentsPerRoute!$C$3:$L$297,10,FALSE),0), 0)</f>
        <v>15</v>
      </c>
      <c r="E730">
        <v>1</v>
      </c>
      <c r="F730" s="1">
        <v>12.167999999999999</v>
      </c>
      <c r="G730" t="s">
        <v>466</v>
      </c>
      <c r="H730" s="1">
        <v>14.113</v>
      </c>
      <c r="I730" t="s">
        <v>11</v>
      </c>
      <c r="K730" t="s">
        <v>1692</v>
      </c>
      <c r="L730" t="s">
        <v>2916</v>
      </c>
      <c r="M730" t="s">
        <v>2917</v>
      </c>
    </row>
    <row r="731" spans="1:14" x14ac:dyDescent="0.25">
      <c r="A731" s="41" t="str">
        <f>Table1[[#This Row],[Route]]&amp;TEXT(Table1[[#This Row],[SegmentID]],"00")</f>
        <v>131A15</v>
      </c>
      <c r="B731" t="s">
        <v>1207</v>
      </c>
      <c r="D731">
        <f>IFERROR(ROUND(VLOOKUP(Table1[[#This Row],[Route]],SegmentsPerRoute!$C$3:$L$297,8,FALSE)+(Table1[[#This Row],[Sequence]]-1)*VLOOKUP(Table1[[#This Row],[Route]],SegmentsPerRoute!$C$3:$L$297,10,FALSE),0), 0)</f>
        <v>15</v>
      </c>
      <c r="E731">
        <v>1</v>
      </c>
      <c r="F731" s="1">
        <v>0</v>
      </c>
      <c r="G731" t="s">
        <v>1208</v>
      </c>
      <c r="H731" s="1">
        <v>0.32300000000000001</v>
      </c>
      <c r="I731" t="s">
        <v>1209</v>
      </c>
      <c r="K731" t="s">
        <v>1692</v>
      </c>
      <c r="L731" t="s">
        <v>2918</v>
      </c>
      <c r="M731" t="s">
        <v>2919</v>
      </c>
    </row>
    <row r="732" spans="1:14" x14ac:dyDescent="0.25">
      <c r="A732" s="41" t="str">
        <f>Table1[[#This Row],[Route]]&amp;TEXT(Table1[[#This Row],[SegmentID]],"00")</f>
        <v>131B15</v>
      </c>
      <c r="B732" t="s">
        <v>1210</v>
      </c>
      <c r="D732">
        <f>IFERROR(ROUND(VLOOKUP(Table1[[#This Row],[Route]],SegmentsPerRoute!$C$3:$L$297,8,FALSE)+(Table1[[#This Row],[Sequence]]-1)*VLOOKUP(Table1[[#This Row],[Route]],SegmentsPerRoute!$C$3:$L$297,10,FALSE),0), 0)</f>
        <v>15</v>
      </c>
      <c r="E732">
        <v>1</v>
      </c>
      <c r="F732" s="1">
        <v>5.2999999999999999E-2</v>
      </c>
      <c r="G732" t="s">
        <v>1211</v>
      </c>
      <c r="H732" s="1">
        <v>32.904000000000003</v>
      </c>
      <c r="I732" t="s">
        <v>1227</v>
      </c>
      <c r="K732" t="s">
        <v>1692</v>
      </c>
      <c r="L732" t="s">
        <v>2920</v>
      </c>
      <c r="M732" t="s">
        <v>2922</v>
      </c>
      <c r="N732" t="s">
        <v>1212</v>
      </c>
    </row>
    <row r="733" spans="1:14" x14ac:dyDescent="0.25">
      <c r="A733" s="41" t="str">
        <f>Table1[[#This Row],[Route]]&amp;TEXT(Table1[[#This Row],[SegmentID]],"00")</f>
        <v>131B85</v>
      </c>
      <c r="B733" t="s">
        <v>1210</v>
      </c>
      <c r="D733">
        <f>IFERROR(ROUND(VLOOKUP(Table1[[#This Row],[Route]],SegmentsPerRoute!$C$3:$L$297,8,FALSE)+(Table1[[#This Row],[Sequence]]-1)*VLOOKUP(Table1[[#This Row],[Route]],SegmentsPerRoute!$C$3:$L$297,10,FALSE),0), 0)</f>
        <v>85</v>
      </c>
      <c r="E733">
        <v>2</v>
      </c>
      <c r="F733" s="1">
        <v>32.904000000000003</v>
      </c>
      <c r="G733" t="s">
        <v>1227</v>
      </c>
      <c r="H733" s="1">
        <v>68.721000000000004</v>
      </c>
      <c r="I733" t="s">
        <v>1213</v>
      </c>
      <c r="K733" t="s">
        <v>1692</v>
      </c>
      <c r="L733" t="s">
        <v>2921</v>
      </c>
      <c r="M733" t="s">
        <v>2922</v>
      </c>
      <c r="N733" t="s">
        <v>1214</v>
      </c>
    </row>
    <row r="734" spans="1:14" x14ac:dyDescent="0.25">
      <c r="A734" s="41" t="str">
        <f>Table1[[#This Row],[Route]]&amp;TEXT(Table1[[#This Row],[SegmentID]],"00")</f>
        <v>133A15</v>
      </c>
      <c r="B734" t="s">
        <v>1222</v>
      </c>
      <c r="D734">
        <f>IFERROR(ROUND(VLOOKUP(Table1[[#This Row],[Route]],SegmentsPerRoute!$C$3:$L$297,8,FALSE)+(Table1[[#This Row],[Sequence]]-1)*VLOOKUP(Table1[[#This Row],[Route]],SegmentsPerRoute!$C$3:$L$297,10,FALSE),0), 0)</f>
        <v>15</v>
      </c>
      <c r="E734">
        <v>1</v>
      </c>
      <c r="F734" s="1">
        <v>0</v>
      </c>
      <c r="G734" t="s">
        <v>1215</v>
      </c>
      <c r="H734" s="1">
        <v>12.17</v>
      </c>
      <c r="I734" t="s">
        <v>1216</v>
      </c>
      <c r="K734" t="s">
        <v>1693</v>
      </c>
      <c r="L734" t="s">
        <v>2923</v>
      </c>
      <c r="M734" t="s">
        <v>2925</v>
      </c>
      <c r="N734" t="s">
        <v>1219</v>
      </c>
    </row>
    <row r="735" spans="1:14" x14ac:dyDescent="0.25">
      <c r="A735" s="41" t="str">
        <f>Table1[[#This Row],[Route]]&amp;TEXT(Table1[[#This Row],[SegmentID]],"00")</f>
        <v>133A50</v>
      </c>
      <c r="B735" t="s">
        <v>1222</v>
      </c>
      <c r="D735">
        <f>IFERROR(ROUND(VLOOKUP(Table1[[#This Row],[Route]],SegmentsPerRoute!$C$3:$L$297,8,FALSE)+(Table1[[#This Row],[Sequence]]-1)*VLOOKUP(Table1[[#This Row],[Route]],SegmentsPerRoute!$C$3:$L$297,10,FALSE),0), 0)</f>
        <v>50</v>
      </c>
      <c r="E735">
        <v>2</v>
      </c>
      <c r="F735" s="1">
        <v>12.17</v>
      </c>
      <c r="G735" t="s">
        <v>1216</v>
      </c>
      <c r="H735" s="1">
        <v>16.158000000000001</v>
      </c>
      <c r="I735" t="s">
        <v>1217</v>
      </c>
      <c r="K735" t="s">
        <v>1693</v>
      </c>
      <c r="L735" t="s">
        <v>2924</v>
      </c>
      <c r="M735" t="s">
        <v>2926</v>
      </c>
      <c r="N735" t="s">
        <v>1219</v>
      </c>
    </row>
    <row r="736" spans="1:14" ht="30" x14ac:dyDescent="0.25">
      <c r="A736" s="41" t="str">
        <f>Table1[[#This Row],[Route]]&amp;TEXT(Table1[[#This Row],[SegmentID]],"00")</f>
        <v>133A85</v>
      </c>
      <c r="B736" t="s">
        <v>1222</v>
      </c>
      <c r="D736">
        <f>IFERROR(ROUND(VLOOKUP(Table1[[#This Row],[Route]],SegmentsPerRoute!$C$3:$L$297,8,FALSE)+(Table1[[#This Row],[Sequence]]-1)*VLOOKUP(Table1[[#This Row],[Route]],SegmentsPerRoute!$C$3:$L$297,10,FALSE),0), 0)</f>
        <v>85</v>
      </c>
      <c r="E736">
        <v>3</v>
      </c>
      <c r="F736" s="1">
        <v>16.158000000000001</v>
      </c>
      <c r="G736" t="s">
        <v>1217</v>
      </c>
      <c r="H736" s="1">
        <v>68.820999999999998</v>
      </c>
      <c r="I736" t="s">
        <v>1218</v>
      </c>
      <c r="K736" t="s">
        <v>1693</v>
      </c>
      <c r="L736" t="s">
        <v>2923</v>
      </c>
      <c r="M736" t="s">
        <v>2925</v>
      </c>
      <c r="N736" s="4" t="s">
        <v>1220</v>
      </c>
    </row>
    <row r="737" spans="1:14" x14ac:dyDescent="0.25">
      <c r="A737" s="41" t="str">
        <f>Table1[[#This Row],[Route]]&amp;TEXT(Table1[[#This Row],[SegmentID]],"00")</f>
        <v>133B15</v>
      </c>
      <c r="B737" t="s">
        <v>1223</v>
      </c>
      <c r="D737">
        <f>IFERROR(ROUND(VLOOKUP(Table1[[#This Row],[Route]],SegmentsPerRoute!$C$3:$L$297,8,FALSE)+(Table1[[#This Row],[Sequence]]-1)*VLOOKUP(Table1[[#This Row],[Route]],SegmentsPerRoute!$C$3:$L$297,10,FALSE),0), 0)</f>
        <v>15</v>
      </c>
      <c r="E737">
        <v>1</v>
      </c>
      <c r="F737" s="1">
        <v>12.159000000000001</v>
      </c>
      <c r="G737" t="s">
        <v>1225</v>
      </c>
      <c r="H737" s="1">
        <v>16.067</v>
      </c>
      <c r="I737" t="s">
        <v>1221</v>
      </c>
      <c r="J737" t="s">
        <v>4614</v>
      </c>
      <c r="K737" t="s">
        <v>1692</v>
      </c>
      <c r="N737" t="s">
        <v>1219</v>
      </c>
    </row>
    <row r="738" spans="1:14" x14ac:dyDescent="0.25">
      <c r="A738" s="41" t="str">
        <f>Table1[[#This Row],[Route]]&amp;TEXT(Table1[[#This Row],[SegmentID]],"00")</f>
        <v>134A15</v>
      </c>
      <c r="B738" t="s">
        <v>1224</v>
      </c>
      <c r="D738">
        <f>IFERROR(ROUND(VLOOKUP(Table1[[#This Row],[Route]],SegmentsPerRoute!$C$3:$L$297,8,FALSE)+(Table1[[#This Row],[Sequence]]-1)*VLOOKUP(Table1[[#This Row],[Route]],SegmentsPerRoute!$C$3:$L$297,10,FALSE),0), 0)</f>
        <v>15</v>
      </c>
      <c r="E738">
        <v>1</v>
      </c>
      <c r="F738" s="1">
        <v>0</v>
      </c>
      <c r="G738" t="s">
        <v>1228</v>
      </c>
      <c r="H738" s="1">
        <v>27.163</v>
      </c>
      <c r="I738" t="s">
        <v>1226</v>
      </c>
      <c r="K738" t="s">
        <v>1692</v>
      </c>
      <c r="L738" t="s">
        <v>2927</v>
      </c>
      <c r="M738" t="s">
        <v>2928</v>
      </c>
      <c r="N738" t="s">
        <v>1229</v>
      </c>
    </row>
    <row r="739" spans="1:14" x14ac:dyDescent="0.25">
      <c r="A739" s="41" t="str">
        <f>Table1[[#This Row],[Route]]&amp;TEXT(Table1[[#This Row],[SegmentID]],"00")</f>
        <v>135A15</v>
      </c>
      <c r="B739" t="s">
        <v>1230</v>
      </c>
      <c r="D739">
        <f>IFERROR(ROUND(VLOOKUP(Table1[[#This Row],[Route]],SegmentsPerRoute!$C$3:$L$297,8,FALSE)+(Table1[[#This Row],[Sequence]]-1)*VLOOKUP(Table1[[#This Row],[Route]],SegmentsPerRoute!$C$3:$L$297,10,FALSE),0), 0)</f>
        <v>15</v>
      </c>
      <c r="E739">
        <v>1</v>
      </c>
      <c r="F739" s="1">
        <v>0</v>
      </c>
      <c r="G739" t="s">
        <v>1231</v>
      </c>
      <c r="H739" s="1">
        <v>27.484000000000002</v>
      </c>
      <c r="I739" t="s">
        <v>1232</v>
      </c>
      <c r="J739" t="s">
        <v>21</v>
      </c>
      <c r="K739" t="s">
        <v>1709</v>
      </c>
      <c r="N739" t="s">
        <v>1233</v>
      </c>
    </row>
    <row r="740" spans="1:14" x14ac:dyDescent="0.25">
      <c r="A740" s="41" t="str">
        <f>Table1[[#This Row],[Route]]&amp;TEXT(Table1[[#This Row],[SegmentID]],"00")</f>
        <v>136A15</v>
      </c>
      <c r="B740" t="s">
        <v>1234</v>
      </c>
      <c r="D740">
        <f>IFERROR(ROUND(VLOOKUP(Table1[[#This Row],[Route]],SegmentsPerRoute!$C$3:$L$297,8,FALSE)+(Table1[[#This Row],[Sequence]]-1)*VLOOKUP(Table1[[#This Row],[Route]],SegmentsPerRoute!$C$3:$L$297,10,FALSE),0), 0)</f>
        <v>15</v>
      </c>
      <c r="E740">
        <v>1</v>
      </c>
      <c r="F740" s="1">
        <v>0</v>
      </c>
      <c r="G740" t="s">
        <v>223</v>
      </c>
      <c r="H740" s="1">
        <v>4.4690000000000003</v>
      </c>
      <c r="I740" t="s">
        <v>1235</v>
      </c>
      <c r="J740" t="s">
        <v>21</v>
      </c>
      <c r="K740" t="s">
        <v>1709</v>
      </c>
    </row>
    <row r="741" spans="1:14" x14ac:dyDescent="0.25">
      <c r="A741" s="41" t="str">
        <f>Table1[[#This Row],[Route]]&amp;TEXT(Table1[[#This Row],[SegmentID]],"00")</f>
        <v>138A15</v>
      </c>
      <c r="B741" t="s">
        <v>1236</v>
      </c>
      <c r="C741" s="3" t="s">
        <v>1246</v>
      </c>
      <c r="D741">
        <f>IFERROR(ROUND(VLOOKUP(Table1[[#This Row],[Route]],SegmentsPerRoute!$C$3:$L$297,8,FALSE)+(Table1[[#This Row],[Sequence]]-1)*VLOOKUP(Table1[[#This Row],[Route]],SegmentsPerRoute!$C$3:$L$297,10,FALSE),0), 0)</f>
        <v>15</v>
      </c>
      <c r="E741">
        <v>1</v>
      </c>
      <c r="F741" s="1">
        <v>0</v>
      </c>
      <c r="G741" t="s">
        <v>1237</v>
      </c>
      <c r="H741" s="1">
        <v>0.54600000000000004</v>
      </c>
      <c r="I741" t="s">
        <v>1238</v>
      </c>
      <c r="K741" t="s">
        <v>1708</v>
      </c>
      <c r="L741" t="s">
        <v>2930</v>
      </c>
      <c r="M741" t="s">
        <v>2929</v>
      </c>
    </row>
    <row r="742" spans="1:14" x14ac:dyDescent="0.25">
      <c r="A742" s="41" t="str">
        <f>Table1[[#This Row],[Route]]&amp;TEXT(Table1[[#This Row],[SegmentID]],"00")</f>
        <v>138A27</v>
      </c>
      <c r="B742" t="s">
        <v>1236</v>
      </c>
      <c r="C742" s="3" t="s">
        <v>1246</v>
      </c>
      <c r="D742">
        <f>IFERROR(ROUND(VLOOKUP(Table1[[#This Row],[Route]],SegmentsPerRoute!$C$3:$L$297,8,FALSE)+(Table1[[#This Row],[Sequence]]-1)*VLOOKUP(Table1[[#This Row],[Route]],SegmentsPerRoute!$C$3:$L$297,10,FALSE),0), 0)</f>
        <v>27</v>
      </c>
      <c r="E742">
        <v>2</v>
      </c>
      <c r="F742" s="1">
        <v>0.54600000000000004</v>
      </c>
      <c r="G742" t="s">
        <v>1238</v>
      </c>
      <c r="H742" s="1">
        <v>8.9700000000000006</v>
      </c>
      <c r="I742" t="s">
        <v>1239</v>
      </c>
      <c r="K742" t="s">
        <v>1708</v>
      </c>
      <c r="L742" t="s">
        <v>2930</v>
      </c>
      <c r="M742" t="s">
        <v>2940</v>
      </c>
      <c r="N742" t="s">
        <v>77</v>
      </c>
    </row>
    <row r="743" spans="1:14" x14ac:dyDescent="0.25">
      <c r="A743" s="41" t="str">
        <f>Table1[[#This Row],[Route]]&amp;TEXT(Table1[[#This Row],[SegmentID]],"00")</f>
        <v>138A39</v>
      </c>
      <c r="B743" t="s">
        <v>1236</v>
      </c>
      <c r="C743" s="3" t="s">
        <v>1247</v>
      </c>
      <c r="D743">
        <f>IFERROR(ROUND(VLOOKUP(Table1[[#This Row],[Route]],SegmentsPerRoute!$C$3:$L$297,8,FALSE)+(Table1[[#This Row],[Sequence]]-1)*VLOOKUP(Table1[[#This Row],[Route]],SegmentsPerRoute!$C$3:$L$297,10,FALSE),0), 0)</f>
        <v>39</v>
      </c>
      <c r="E743">
        <v>3</v>
      </c>
      <c r="F743" s="1">
        <v>8.9700000000000006</v>
      </c>
      <c r="G743" t="s">
        <v>1239</v>
      </c>
      <c r="H743" s="1">
        <v>27.503</v>
      </c>
      <c r="I743" t="s">
        <v>1240</v>
      </c>
      <c r="K743" t="s">
        <v>1708</v>
      </c>
      <c r="L743" t="s">
        <v>2931</v>
      </c>
      <c r="M743" t="s">
        <v>2939</v>
      </c>
      <c r="N743" t="s">
        <v>77</v>
      </c>
    </row>
    <row r="744" spans="1:14" x14ac:dyDescent="0.25">
      <c r="A744" s="41" t="str">
        <f>Table1[[#This Row],[Route]]&amp;TEXT(Table1[[#This Row],[SegmentID]],"00")</f>
        <v>138A51</v>
      </c>
      <c r="B744" t="s">
        <v>1236</v>
      </c>
      <c r="C744" s="3" t="s">
        <v>1248</v>
      </c>
      <c r="D744">
        <f>IFERROR(ROUND(VLOOKUP(Table1[[#This Row],[Route]],SegmentsPerRoute!$C$3:$L$297,8,FALSE)+(Table1[[#This Row],[Sequence]]-1)*VLOOKUP(Table1[[#This Row],[Route]],SegmentsPerRoute!$C$3:$L$297,10,FALSE),0), 0)</f>
        <v>51</v>
      </c>
      <c r="E744">
        <v>4</v>
      </c>
      <c r="F744" s="1">
        <v>27.503</v>
      </c>
      <c r="G744" t="s">
        <v>1240</v>
      </c>
      <c r="H744" s="1">
        <v>43.412999999999997</v>
      </c>
      <c r="I744" t="s">
        <v>1241</v>
      </c>
      <c r="J744" t="s">
        <v>4597</v>
      </c>
      <c r="K744" t="s">
        <v>1708</v>
      </c>
      <c r="N744" t="s">
        <v>77</v>
      </c>
    </row>
    <row r="745" spans="1:14" x14ac:dyDescent="0.25">
      <c r="A745" s="41" t="str">
        <f>Table1[[#This Row],[Route]]&amp;TEXT(Table1[[#This Row],[SegmentID]],"00")</f>
        <v>138A63</v>
      </c>
      <c r="B745" t="s">
        <v>1236</v>
      </c>
      <c r="C745" s="3" t="s">
        <v>1249</v>
      </c>
      <c r="D745">
        <f>IFERROR(ROUND(VLOOKUP(Table1[[#This Row],[Route]],SegmentsPerRoute!$C$3:$L$297,8,FALSE)+(Table1[[#This Row],[Sequence]]-1)*VLOOKUP(Table1[[#This Row],[Route]],SegmentsPerRoute!$C$3:$L$297,10,FALSE),0), 0)</f>
        <v>63</v>
      </c>
      <c r="E745">
        <v>5</v>
      </c>
      <c r="F745" s="1">
        <v>43.412999999999997</v>
      </c>
      <c r="G745" t="s">
        <v>1241</v>
      </c>
      <c r="H745" s="1">
        <v>54.81</v>
      </c>
      <c r="I745" t="s">
        <v>1242</v>
      </c>
      <c r="K745" t="s">
        <v>1708</v>
      </c>
      <c r="L745" t="s">
        <v>2932</v>
      </c>
      <c r="M745" t="s">
        <v>2938</v>
      </c>
      <c r="N745" t="s">
        <v>77</v>
      </c>
    </row>
    <row r="746" spans="1:14" x14ac:dyDescent="0.25">
      <c r="A746" s="41" t="str">
        <f>Table1[[#This Row],[Route]]&amp;TEXT(Table1[[#This Row],[SegmentID]],"00")</f>
        <v>138A75</v>
      </c>
      <c r="B746" t="s">
        <v>1236</v>
      </c>
      <c r="C746" s="3" t="s">
        <v>1250</v>
      </c>
      <c r="D746">
        <f>IFERROR(ROUND(VLOOKUP(Table1[[#This Row],[Route]],SegmentsPerRoute!$C$3:$L$297,8,FALSE)+(Table1[[#This Row],[Sequence]]-1)*VLOOKUP(Table1[[#This Row],[Route]],SegmentsPerRoute!$C$3:$L$297,10,FALSE),0), 0)</f>
        <v>75</v>
      </c>
      <c r="E746">
        <v>6</v>
      </c>
      <c r="F746" s="1">
        <v>54.81</v>
      </c>
      <c r="G746" t="s">
        <v>1242</v>
      </c>
      <c r="H746" s="1">
        <v>56.956000000000003</v>
      </c>
      <c r="I746" t="s">
        <v>1243</v>
      </c>
      <c r="K746" t="s">
        <v>1708</v>
      </c>
      <c r="L746" t="s">
        <v>2933</v>
      </c>
      <c r="M746" t="s">
        <v>2937</v>
      </c>
    </row>
    <row r="747" spans="1:14" x14ac:dyDescent="0.25">
      <c r="A747" s="41" t="str">
        <f>Table1[[#This Row],[Route]]&amp;TEXT(Table1[[#This Row],[SegmentID]],"00")</f>
        <v>138A87</v>
      </c>
      <c r="B747" t="s">
        <v>1236</v>
      </c>
      <c r="C747" s="3" t="s">
        <v>1250</v>
      </c>
      <c r="D747">
        <f>IFERROR(ROUND(VLOOKUP(Table1[[#This Row],[Route]],SegmentsPerRoute!$C$3:$L$297,8,FALSE)+(Table1[[#This Row],[Sequence]]-1)*VLOOKUP(Table1[[#This Row],[Route]],SegmentsPerRoute!$C$3:$L$297,10,FALSE),0), 0)</f>
        <v>87</v>
      </c>
      <c r="E747">
        <v>7</v>
      </c>
      <c r="F747" s="1">
        <v>56.956000000000003</v>
      </c>
      <c r="G747" t="s">
        <v>1243</v>
      </c>
      <c r="H747" s="1">
        <v>58.533999999999999</v>
      </c>
      <c r="I747" t="s">
        <v>1244</v>
      </c>
      <c r="K747" t="s">
        <v>1708</v>
      </c>
      <c r="L747" t="s">
        <v>2934</v>
      </c>
      <c r="M747" t="s">
        <v>2936</v>
      </c>
    </row>
    <row r="748" spans="1:14" x14ac:dyDescent="0.25">
      <c r="A748" s="41" t="str">
        <f>Table1[[#This Row],[Route]]&amp;TEXT(Table1[[#This Row],[SegmentID]],"00")</f>
        <v>138A99</v>
      </c>
      <c r="B748" t="s">
        <v>1236</v>
      </c>
      <c r="C748" s="3" t="s">
        <v>1250</v>
      </c>
      <c r="D748">
        <f>IFERROR(ROUND(VLOOKUP(Table1[[#This Row],[Route]],SegmentsPerRoute!$C$3:$L$297,8,FALSE)+(Table1[[#This Row],[Sequence]]-1)*VLOOKUP(Table1[[#This Row],[Route]],SegmentsPerRoute!$C$3:$L$297,10,FALSE),0), 0)</f>
        <v>99</v>
      </c>
      <c r="E748">
        <v>8</v>
      </c>
      <c r="F748" s="1">
        <v>58.533999999999999</v>
      </c>
      <c r="G748" t="s">
        <v>1244</v>
      </c>
      <c r="H748" s="1">
        <v>59.823</v>
      </c>
      <c r="I748" t="s">
        <v>249</v>
      </c>
      <c r="K748" t="s">
        <v>1708</v>
      </c>
      <c r="L748" t="s">
        <v>2935</v>
      </c>
      <c r="M748" t="s">
        <v>2936</v>
      </c>
      <c r="N748" t="s">
        <v>77</v>
      </c>
    </row>
    <row r="749" spans="1:14" x14ac:dyDescent="0.25">
      <c r="A749" s="41" t="str">
        <f>Table1[[#This Row],[Route]]&amp;TEXT(Table1[[#This Row],[SegmentID]],"00")</f>
        <v>138Z15</v>
      </c>
      <c r="B749" t="s">
        <v>1245</v>
      </c>
      <c r="D749">
        <f>IFERROR(ROUND(VLOOKUP(Table1[[#This Row],[Route]],SegmentsPerRoute!$C$3:$L$297,8,FALSE)+(Table1[[#This Row],[Sequence]]-1)*VLOOKUP(Table1[[#This Row],[Route]],SegmentsPerRoute!$C$3:$L$297,10,FALSE),0), 0)</f>
        <v>15</v>
      </c>
      <c r="E749">
        <v>1</v>
      </c>
      <c r="F749" s="1">
        <v>0</v>
      </c>
      <c r="G749" t="s">
        <v>1251</v>
      </c>
      <c r="H749" s="1">
        <v>0.61399999999999999</v>
      </c>
      <c r="I749" t="s">
        <v>1252</v>
      </c>
      <c r="K749" t="s">
        <v>1708</v>
      </c>
      <c r="L749" t="s">
        <v>2940</v>
      </c>
      <c r="M749" t="s">
        <v>2095</v>
      </c>
    </row>
    <row r="750" spans="1:14" x14ac:dyDescent="0.25">
      <c r="A750" s="41" t="str">
        <f>Table1[[#This Row],[Route]]&amp;TEXT(Table1[[#This Row],[SegmentID]],"00")</f>
        <v>139A15</v>
      </c>
      <c r="B750" t="s">
        <v>1253</v>
      </c>
      <c r="D750">
        <f>IFERROR(ROUND(VLOOKUP(Table1[[#This Row],[Route]],SegmentsPerRoute!$C$3:$L$297,8,FALSE)+(Table1[[#This Row],[Sequence]]-1)*VLOOKUP(Table1[[#This Row],[Route]],SegmentsPerRoute!$C$3:$L$297,10,FALSE),0), 0)</f>
        <v>15</v>
      </c>
      <c r="E750">
        <v>1</v>
      </c>
      <c r="F750" s="1">
        <v>0</v>
      </c>
      <c r="G750" t="s">
        <v>1254</v>
      </c>
      <c r="H750" s="1">
        <v>1.2849999999999999</v>
      </c>
      <c r="I750" t="s">
        <v>1255</v>
      </c>
      <c r="K750" t="s">
        <v>1692</v>
      </c>
      <c r="L750" t="s">
        <v>2941</v>
      </c>
      <c r="M750" t="s">
        <v>2944</v>
      </c>
    </row>
    <row r="751" spans="1:14" x14ac:dyDescent="0.25">
      <c r="A751" s="41" t="str">
        <f>Table1[[#This Row],[Route]]&amp;TEXT(Table1[[#This Row],[SegmentID]],"00")</f>
        <v>139A85</v>
      </c>
      <c r="B751" t="s">
        <v>1253</v>
      </c>
      <c r="D751">
        <f>IFERROR(ROUND(VLOOKUP(Table1[[#This Row],[Route]],SegmentsPerRoute!$C$3:$L$297,8,FALSE)+(Table1[[#This Row],[Sequence]]-1)*VLOOKUP(Table1[[#This Row],[Route]],SegmentsPerRoute!$C$3:$L$297,10,FALSE),0), 0)</f>
        <v>85</v>
      </c>
      <c r="E751">
        <v>2</v>
      </c>
      <c r="F751" s="1">
        <v>1.2849999999999999</v>
      </c>
      <c r="G751" t="s">
        <v>1255</v>
      </c>
      <c r="H751" s="1">
        <v>72.064999999999998</v>
      </c>
      <c r="I751" t="s">
        <v>1256</v>
      </c>
      <c r="K751" t="s">
        <v>1692</v>
      </c>
      <c r="L751" t="s">
        <v>2942</v>
      </c>
      <c r="M751" t="s">
        <v>2943</v>
      </c>
      <c r="N751" t="s">
        <v>1257</v>
      </c>
    </row>
    <row r="752" spans="1:14" x14ac:dyDescent="0.25">
      <c r="A752" s="41" t="str">
        <f>Table1[[#This Row],[Route]]&amp;TEXT(Table1[[#This Row],[SegmentID]],"00")</f>
        <v>140A01</v>
      </c>
      <c r="B752" t="s">
        <v>1258</v>
      </c>
      <c r="D752">
        <f>IFERROR(ROUND(VLOOKUP(Table1[[#This Row],[Route]],SegmentsPerRoute!$C$3:$L$297,8,FALSE)+(Table1[[#This Row],[Sequence]]-1)*VLOOKUP(Table1[[#This Row],[Route]],SegmentsPerRoute!$C$3:$L$297,10,FALSE),0), 0)</f>
        <v>1</v>
      </c>
      <c r="E752">
        <v>1</v>
      </c>
      <c r="F752" s="1">
        <v>0</v>
      </c>
      <c r="G752" t="s">
        <v>231</v>
      </c>
      <c r="H752" s="1">
        <v>23.434999999999999</v>
      </c>
      <c r="I752" t="s">
        <v>1259</v>
      </c>
      <c r="K752" t="s">
        <v>1695</v>
      </c>
      <c r="L752" t="s">
        <v>2945</v>
      </c>
      <c r="M752" t="s">
        <v>2946</v>
      </c>
      <c r="N752" t="s">
        <v>1260</v>
      </c>
    </row>
    <row r="753" spans="1:14" x14ac:dyDescent="0.25">
      <c r="A753" s="41" t="str">
        <f>Table1[[#This Row],[Route]]&amp;TEXT(Table1[[#This Row],[SegmentID]],"00")</f>
        <v>141A15</v>
      </c>
      <c r="B753" t="s">
        <v>1261</v>
      </c>
      <c r="C753" s="3" t="s">
        <v>1267</v>
      </c>
      <c r="D753">
        <f>IFERROR(ROUND(VLOOKUP(Table1[[#This Row],[Route]],SegmentsPerRoute!$C$3:$L$297,8,FALSE)+(Table1[[#This Row],[Sequence]]-1)*VLOOKUP(Table1[[#This Row],[Route]],SegmentsPerRoute!$C$3:$L$297,10,FALSE),0), 0)</f>
        <v>15</v>
      </c>
      <c r="E753">
        <v>1</v>
      </c>
      <c r="F753" s="1">
        <v>0</v>
      </c>
      <c r="G753" t="s">
        <v>1262</v>
      </c>
      <c r="H753" s="1">
        <v>56.704999999999998</v>
      </c>
      <c r="I753" t="s">
        <v>1263</v>
      </c>
      <c r="K753" t="s">
        <v>1708</v>
      </c>
      <c r="L753" t="s">
        <v>2947</v>
      </c>
      <c r="M753" t="s">
        <v>2950</v>
      </c>
      <c r="N753" t="s">
        <v>1269</v>
      </c>
    </row>
    <row r="754" spans="1:14" x14ac:dyDescent="0.25">
      <c r="A754" s="41" t="str">
        <f>Table1[[#This Row],[Route]]&amp;TEXT(Table1[[#This Row],[SegmentID]],"00")</f>
        <v>141A38</v>
      </c>
      <c r="B754" t="s">
        <v>1261</v>
      </c>
      <c r="C754" s="3" t="s">
        <v>1267</v>
      </c>
      <c r="D754">
        <f>IFERROR(ROUND(VLOOKUP(Table1[[#This Row],[Route]],SegmentsPerRoute!$C$3:$L$297,8,FALSE)+(Table1[[#This Row],[Sequence]]-1)*VLOOKUP(Table1[[#This Row],[Route]],SegmentsPerRoute!$C$3:$L$297,10,FALSE),0), 0)</f>
        <v>38</v>
      </c>
      <c r="E754">
        <v>2</v>
      </c>
      <c r="F754" s="1">
        <v>56.704999999999998</v>
      </c>
      <c r="G754" t="s">
        <v>1263</v>
      </c>
      <c r="H754" s="1">
        <v>60.451999999999998</v>
      </c>
      <c r="I754" t="s">
        <v>1264</v>
      </c>
      <c r="K754" t="s">
        <v>1708</v>
      </c>
      <c r="L754" t="s">
        <v>2947</v>
      </c>
      <c r="M754" t="s">
        <v>2950</v>
      </c>
      <c r="N754" t="s">
        <v>1270</v>
      </c>
    </row>
    <row r="755" spans="1:14" x14ac:dyDescent="0.25">
      <c r="A755" s="41" t="str">
        <f>Table1[[#This Row],[Route]]&amp;TEXT(Table1[[#This Row],[SegmentID]],"00")</f>
        <v>141A62</v>
      </c>
      <c r="B755" t="s">
        <v>1261</v>
      </c>
      <c r="C755" s="3" t="s">
        <v>1267</v>
      </c>
      <c r="D755">
        <f>IFERROR(ROUND(VLOOKUP(Table1[[#This Row],[Route]],SegmentsPerRoute!$C$3:$L$297,8,FALSE)+(Table1[[#This Row],[Sequence]]-1)*VLOOKUP(Table1[[#This Row],[Route]],SegmentsPerRoute!$C$3:$L$297,10,FALSE),0), 0)</f>
        <v>62</v>
      </c>
      <c r="E755">
        <v>3</v>
      </c>
      <c r="F755" s="1">
        <v>60.451999999999998</v>
      </c>
      <c r="G755" t="s">
        <v>1264</v>
      </c>
      <c r="H755" s="1">
        <v>62.436</v>
      </c>
      <c r="I755" t="s">
        <v>1265</v>
      </c>
      <c r="K755" t="s">
        <v>1708</v>
      </c>
      <c r="L755" t="s">
        <v>2947</v>
      </c>
      <c r="M755" t="s">
        <v>2950</v>
      </c>
      <c r="N755" t="s">
        <v>1098</v>
      </c>
    </row>
    <row r="756" spans="1:14" ht="30" x14ac:dyDescent="0.25">
      <c r="A756" s="41" t="str">
        <f>Table1[[#This Row],[Route]]&amp;TEXT(Table1[[#This Row],[SegmentID]],"00")</f>
        <v>141A85</v>
      </c>
      <c r="B756" t="s">
        <v>1261</v>
      </c>
      <c r="C756" s="3" t="s">
        <v>1268</v>
      </c>
      <c r="D756">
        <f>IFERROR(ROUND(VLOOKUP(Table1[[#This Row],[Route]],SegmentsPerRoute!$C$3:$L$297,8,FALSE)+(Table1[[#This Row],[Sequence]]-1)*VLOOKUP(Table1[[#This Row],[Route]],SegmentsPerRoute!$C$3:$L$297,10,FALSE),0), 0)</f>
        <v>85</v>
      </c>
      <c r="E756">
        <v>4</v>
      </c>
      <c r="F756" s="1">
        <v>62.436</v>
      </c>
      <c r="G756" t="s">
        <v>1265</v>
      </c>
      <c r="H756" s="1">
        <v>154.10900000000001</v>
      </c>
      <c r="I756" t="s">
        <v>1266</v>
      </c>
      <c r="K756" t="s">
        <v>1708</v>
      </c>
      <c r="L756" t="s">
        <v>2948</v>
      </c>
      <c r="M756" t="s">
        <v>2949</v>
      </c>
      <c r="N756" s="4" t="s">
        <v>1271</v>
      </c>
    </row>
    <row r="757" spans="1:14" x14ac:dyDescent="0.25">
      <c r="A757" s="41" t="str">
        <f>Table1[[#This Row],[Route]]&amp;TEXT(Table1[[#This Row],[SegmentID]],"00")</f>
        <v>141B15</v>
      </c>
      <c r="B757" t="s">
        <v>1272</v>
      </c>
      <c r="D757">
        <f>IFERROR(ROUND(VLOOKUP(Table1[[#This Row],[Route]],SegmentsPerRoute!$C$3:$L$297,8,FALSE)+(Table1[[#This Row],[Sequence]]-1)*VLOOKUP(Table1[[#This Row],[Route]],SegmentsPerRoute!$C$3:$L$297,10,FALSE),0), 0)</f>
        <v>15</v>
      </c>
      <c r="E757">
        <v>1</v>
      </c>
      <c r="F757" s="1">
        <v>156.74600000000001</v>
      </c>
      <c r="G757" t="s">
        <v>1266</v>
      </c>
      <c r="H757" s="1">
        <v>162.297</v>
      </c>
      <c r="I757" t="s">
        <v>40</v>
      </c>
      <c r="K757" t="s">
        <v>1692</v>
      </c>
      <c r="L757" t="s">
        <v>2951</v>
      </c>
      <c r="M757" t="s">
        <v>2952</v>
      </c>
      <c r="N757" t="s">
        <v>48</v>
      </c>
    </row>
    <row r="758" spans="1:14" x14ac:dyDescent="0.25">
      <c r="A758" s="41" t="str">
        <f>Table1[[#This Row],[Route]]&amp;TEXT(Table1[[#This Row],[SegmentID]],"00")</f>
        <v>142A15</v>
      </c>
      <c r="B758" t="s">
        <v>1273</v>
      </c>
      <c r="D758">
        <f>IFERROR(ROUND(VLOOKUP(Table1[[#This Row],[Route]],SegmentsPerRoute!$C$3:$L$297,8,FALSE)+(Table1[[#This Row],[Sequence]]-1)*VLOOKUP(Table1[[#This Row],[Route]],SegmentsPerRoute!$C$3:$L$297,10,FALSE),0), 0)</f>
        <v>15</v>
      </c>
      <c r="E758">
        <v>1</v>
      </c>
      <c r="F758" s="1">
        <v>0</v>
      </c>
      <c r="G758" t="s">
        <v>1274</v>
      </c>
      <c r="H758" s="1">
        <v>33.840000000000003</v>
      </c>
      <c r="I758" t="s">
        <v>1275</v>
      </c>
      <c r="K758" t="s">
        <v>1692</v>
      </c>
      <c r="L758" t="s">
        <v>2953</v>
      </c>
      <c r="M758" t="s">
        <v>2954</v>
      </c>
      <c r="N758" t="s">
        <v>1133</v>
      </c>
    </row>
    <row r="759" spans="1:14" x14ac:dyDescent="0.25">
      <c r="A759" s="41" t="str">
        <f>Table1[[#This Row],[Route]]&amp;TEXT(Table1[[#This Row],[SegmentID]],"00")</f>
        <v>144A15</v>
      </c>
      <c r="B759" t="s">
        <v>1276</v>
      </c>
      <c r="C759" s="3" t="s">
        <v>1281</v>
      </c>
      <c r="D759">
        <f>IFERROR(ROUND(VLOOKUP(Table1[[#This Row],[Route]],SegmentsPerRoute!$C$3:$L$297,8,FALSE)+(Table1[[#This Row],[Sequence]]-1)*VLOOKUP(Table1[[#This Row],[Route]],SegmentsPerRoute!$C$3:$L$297,10,FALSE),0), 0)</f>
        <v>15</v>
      </c>
      <c r="E759">
        <v>1</v>
      </c>
      <c r="F759" s="1">
        <v>0</v>
      </c>
      <c r="G759" t="s">
        <v>1277</v>
      </c>
      <c r="H759" s="1">
        <v>2.8210000000000002</v>
      </c>
      <c r="I759" t="s">
        <v>1278</v>
      </c>
      <c r="K759" t="s">
        <v>1708</v>
      </c>
      <c r="L759" t="s">
        <v>2955</v>
      </c>
      <c r="M759" t="s">
        <v>2956</v>
      </c>
    </row>
    <row r="760" spans="1:14" x14ac:dyDescent="0.25">
      <c r="A760" s="41" t="str">
        <f>Table1[[#This Row],[Route]]&amp;TEXT(Table1[[#This Row],[SegmentID]],"00")</f>
        <v>144A38</v>
      </c>
      <c r="B760" t="s">
        <v>1276</v>
      </c>
      <c r="C760" s="3" t="s">
        <v>1281</v>
      </c>
      <c r="D760">
        <f>IFERROR(ROUND(VLOOKUP(Table1[[#This Row],[Route]],SegmentsPerRoute!$C$3:$L$297,8,FALSE)+(Table1[[#This Row],[Sequence]]-1)*VLOOKUP(Table1[[#This Row],[Route]],SegmentsPerRoute!$C$3:$L$297,10,FALSE),0), 0)</f>
        <v>38</v>
      </c>
      <c r="E760">
        <v>2</v>
      </c>
      <c r="F760" s="1">
        <v>2.8210000000000002</v>
      </c>
      <c r="G760" t="s">
        <v>1278</v>
      </c>
      <c r="H760" s="1">
        <v>10.493</v>
      </c>
      <c r="I760" t="s">
        <v>1279</v>
      </c>
      <c r="K760" t="s">
        <v>1708</v>
      </c>
      <c r="L760" t="s">
        <v>2955</v>
      </c>
      <c r="M760" t="s">
        <v>2956</v>
      </c>
      <c r="N760" t="s">
        <v>77</v>
      </c>
    </row>
    <row r="761" spans="1:14" x14ac:dyDescent="0.25">
      <c r="A761" s="41" t="str">
        <f>Table1[[#This Row],[Route]]&amp;TEXT(Table1[[#This Row],[SegmentID]],"00")</f>
        <v>144A62</v>
      </c>
      <c r="B761" t="s">
        <v>1276</v>
      </c>
      <c r="C761" s="3" t="s">
        <v>1282</v>
      </c>
      <c r="D761">
        <f>IFERROR(ROUND(VLOOKUP(Table1[[#This Row],[Route]],SegmentsPerRoute!$C$3:$L$297,8,FALSE)+(Table1[[#This Row],[Sequence]]-1)*VLOOKUP(Table1[[#This Row],[Route]],SegmentsPerRoute!$C$3:$L$297,10,FALSE),0), 0)</f>
        <v>62</v>
      </c>
      <c r="E761">
        <v>3</v>
      </c>
      <c r="F761" s="1">
        <v>10.493</v>
      </c>
      <c r="G761" t="s">
        <v>1279</v>
      </c>
      <c r="H761" s="1">
        <v>27.41</v>
      </c>
      <c r="I761" t="s">
        <v>1280</v>
      </c>
      <c r="J761" t="s">
        <v>4615</v>
      </c>
      <c r="K761" t="s">
        <v>1708</v>
      </c>
      <c r="N761" t="s">
        <v>77</v>
      </c>
    </row>
    <row r="762" spans="1:14" x14ac:dyDescent="0.25">
      <c r="A762" s="41" t="str">
        <f>Table1[[#This Row],[Route]]&amp;TEXT(Table1[[#This Row],[SegmentID]],"00")</f>
        <v>144A85</v>
      </c>
      <c r="B762" t="s">
        <v>1276</v>
      </c>
      <c r="C762" s="3" t="s">
        <v>1283</v>
      </c>
      <c r="D762">
        <f>IFERROR(ROUND(VLOOKUP(Table1[[#This Row],[Route]],SegmentsPerRoute!$C$3:$L$297,8,FALSE)+(Table1[[#This Row],[Sequence]]-1)*VLOOKUP(Table1[[#This Row],[Route]],SegmentsPerRoute!$C$3:$L$297,10,FALSE),0), 0)</f>
        <v>85</v>
      </c>
      <c r="E762">
        <v>4</v>
      </c>
      <c r="F762" s="1">
        <v>27.41</v>
      </c>
      <c r="G762" t="s">
        <v>1280</v>
      </c>
      <c r="H762" s="1">
        <v>28.795999999999999</v>
      </c>
      <c r="I762" t="s">
        <v>415</v>
      </c>
      <c r="J762" t="s">
        <v>4597</v>
      </c>
      <c r="K762" t="s">
        <v>1706</v>
      </c>
      <c r="N762" t="s">
        <v>77</v>
      </c>
    </row>
    <row r="763" spans="1:14" x14ac:dyDescent="0.25">
      <c r="A763" s="41" t="str">
        <f>Table1[[#This Row],[Route]]&amp;TEXT(Table1[[#This Row],[SegmentID]],"00")</f>
        <v>145A15</v>
      </c>
      <c r="B763" t="s">
        <v>1284</v>
      </c>
      <c r="C763" s="3" t="s">
        <v>1290</v>
      </c>
      <c r="D763">
        <f>IFERROR(ROUND(VLOOKUP(Table1[[#This Row],[Route]],SegmentsPerRoute!$C$3:$L$297,8,FALSE)+(Table1[[#This Row],[Sequence]]-1)*VLOOKUP(Table1[[#This Row],[Route]],SegmentsPerRoute!$C$3:$L$297,10,FALSE),0), 0)</f>
        <v>15</v>
      </c>
      <c r="E763">
        <v>1</v>
      </c>
      <c r="F763" s="1">
        <v>0</v>
      </c>
      <c r="G763" t="s">
        <v>1285</v>
      </c>
      <c r="H763" s="1">
        <v>7.8639999999999999</v>
      </c>
      <c r="I763" t="s">
        <v>1287</v>
      </c>
      <c r="K763" t="s">
        <v>1702</v>
      </c>
      <c r="L763" t="s">
        <v>2957</v>
      </c>
      <c r="M763" t="s">
        <v>2964</v>
      </c>
    </row>
    <row r="764" spans="1:14" x14ac:dyDescent="0.25">
      <c r="A764" s="41" t="str">
        <f>Table1[[#This Row],[Route]]&amp;TEXT(Table1[[#This Row],[SegmentID]],"00")</f>
        <v>145A38</v>
      </c>
      <c r="B764" t="s">
        <v>1284</v>
      </c>
      <c r="C764" s="3" t="s">
        <v>1290</v>
      </c>
      <c r="D764">
        <f>IFERROR(ROUND(VLOOKUP(Table1[[#This Row],[Route]],SegmentsPerRoute!$C$3:$L$297,8,FALSE)+(Table1[[#This Row],[Sequence]]-1)*VLOOKUP(Table1[[#This Row],[Route]],SegmentsPerRoute!$C$3:$L$297,10,FALSE),0), 0)</f>
        <v>38</v>
      </c>
      <c r="E764">
        <v>2</v>
      </c>
      <c r="F764" s="1">
        <v>7.8639999999999999</v>
      </c>
      <c r="G764" t="s">
        <v>1287</v>
      </c>
      <c r="H764" s="1">
        <v>8.7289999999999992</v>
      </c>
      <c r="I764" t="s">
        <v>1286</v>
      </c>
      <c r="K764" t="s">
        <v>1702</v>
      </c>
      <c r="L764" t="s">
        <v>2958</v>
      </c>
      <c r="M764" t="s">
        <v>2963</v>
      </c>
      <c r="N764" t="s">
        <v>1292</v>
      </c>
    </row>
    <row r="765" spans="1:14" x14ac:dyDescent="0.25">
      <c r="A765" s="41" t="str">
        <f>Table1[[#This Row],[Route]]&amp;TEXT(Table1[[#This Row],[SegmentID]],"00")</f>
        <v>145A62</v>
      </c>
      <c r="B765" t="s">
        <v>1284</v>
      </c>
      <c r="C765" s="3" t="s">
        <v>1290</v>
      </c>
      <c r="D765">
        <f>IFERROR(ROUND(VLOOKUP(Table1[[#This Row],[Route]],SegmentsPerRoute!$C$3:$L$297,8,FALSE)+(Table1[[#This Row],[Sequence]]-1)*VLOOKUP(Table1[[#This Row],[Route]],SegmentsPerRoute!$C$3:$L$297,10,FALSE),0), 0)</f>
        <v>62</v>
      </c>
      <c r="E765">
        <v>3</v>
      </c>
      <c r="F765" s="1">
        <v>8.7289999999999992</v>
      </c>
      <c r="G765" t="s">
        <v>1286</v>
      </c>
      <c r="H765" s="1">
        <v>84.289000000000001</v>
      </c>
      <c r="I765" t="s">
        <v>1288</v>
      </c>
      <c r="K765" t="s">
        <v>1702</v>
      </c>
      <c r="L765" t="s">
        <v>2959</v>
      </c>
      <c r="M765" t="s">
        <v>2962</v>
      </c>
      <c r="N765" t="s">
        <v>1293</v>
      </c>
    </row>
    <row r="766" spans="1:14" x14ac:dyDescent="0.25">
      <c r="A766" s="41" t="str">
        <f>Table1[[#This Row],[Route]]&amp;TEXT(Table1[[#This Row],[SegmentID]],"00")</f>
        <v>145A85</v>
      </c>
      <c r="B766" t="s">
        <v>1284</v>
      </c>
      <c r="C766" s="3" t="s">
        <v>1291</v>
      </c>
      <c r="D766">
        <f>IFERROR(ROUND(VLOOKUP(Table1[[#This Row],[Route]],SegmentsPerRoute!$C$3:$L$297,8,FALSE)+(Table1[[#This Row],[Sequence]]-1)*VLOOKUP(Table1[[#This Row],[Route]],SegmentsPerRoute!$C$3:$L$297,10,FALSE),0), 0)</f>
        <v>85</v>
      </c>
      <c r="E766">
        <v>4</v>
      </c>
      <c r="F766" s="1">
        <v>84.289000000000001</v>
      </c>
      <c r="G766" t="s">
        <v>1288</v>
      </c>
      <c r="H766" s="1">
        <v>116.879</v>
      </c>
      <c r="I766" t="s">
        <v>1289</v>
      </c>
      <c r="K766" t="s">
        <v>1702</v>
      </c>
      <c r="L766" t="s">
        <v>2960</v>
      </c>
      <c r="M766" t="s">
        <v>2961</v>
      </c>
      <c r="N766" t="s">
        <v>1098</v>
      </c>
    </row>
    <row r="767" spans="1:14" ht="45" x14ac:dyDescent="0.25">
      <c r="A767" s="41" t="str">
        <f>Table1[[#This Row],[Route]]&amp;TEXT(Table1[[#This Row],[SegmentID]],"00")</f>
        <v>149A15</v>
      </c>
      <c r="B767" t="s">
        <v>1294</v>
      </c>
      <c r="D767">
        <f>IFERROR(ROUND(VLOOKUP(Table1[[#This Row],[Route]],SegmentsPerRoute!$C$3:$L$297,8,FALSE)+(Table1[[#This Row],[Sequence]]-1)*VLOOKUP(Table1[[#This Row],[Route]],SegmentsPerRoute!$C$3:$L$297,10,FALSE),0), 0)</f>
        <v>15</v>
      </c>
      <c r="E767">
        <v>1</v>
      </c>
      <c r="F767" s="1">
        <v>0</v>
      </c>
      <c r="G767" t="s">
        <v>1295</v>
      </c>
      <c r="H767" s="1">
        <v>117.52200000000001</v>
      </c>
      <c r="I767" t="s">
        <v>1296</v>
      </c>
      <c r="K767" t="s">
        <v>1692</v>
      </c>
      <c r="L767" t="s">
        <v>2965</v>
      </c>
      <c r="M767" t="s">
        <v>2966</v>
      </c>
      <c r="N767" s="4" t="s">
        <v>1297</v>
      </c>
    </row>
    <row r="768" spans="1:14" x14ac:dyDescent="0.25">
      <c r="A768" s="41" t="str">
        <f>Table1[[#This Row],[Route]]&amp;TEXT(Table1[[#This Row],[SegmentID]],"00")</f>
        <v>150A15</v>
      </c>
      <c r="B768" t="s">
        <v>1298</v>
      </c>
      <c r="D768">
        <f>IFERROR(ROUND(VLOOKUP(Table1[[#This Row],[Route]],SegmentsPerRoute!$C$3:$L$297,8,FALSE)+(Table1[[#This Row],[Sequence]]-1)*VLOOKUP(Table1[[#This Row],[Route]],SegmentsPerRoute!$C$3:$L$297,10,FALSE),0), 0)</f>
        <v>15</v>
      </c>
      <c r="E768">
        <v>1</v>
      </c>
      <c r="F768" s="1">
        <v>0</v>
      </c>
      <c r="G768" t="s">
        <v>1299</v>
      </c>
      <c r="H768" s="1">
        <v>16.114000000000001</v>
      </c>
      <c r="I768" t="s">
        <v>1300</v>
      </c>
      <c r="J768" t="s">
        <v>21</v>
      </c>
      <c r="K768" t="s">
        <v>1709</v>
      </c>
    </row>
    <row r="769" spans="1:14" x14ac:dyDescent="0.25">
      <c r="A769" s="41" t="str">
        <f>Table1[[#This Row],[Route]]&amp;TEXT(Table1[[#This Row],[SegmentID]],"00")</f>
        <v>151A15</v>
      </c>
      <c r="B769" t="s">
        <v>1301</v>
      </c>
      <c r="D769">
        <f>IFERROR(ROUND(VLOOKUP(Table1[[#This Row],[Route]],SegmentsPerRoute!$C$3:$L$297,8,FALSE)+(Table1[[#This Row],[Sequence]]-1)*VLOOKUP(Table1[[#This Row],[Route]],SegmentsPerRoute!$C$3:$L$297,10,FALSE),0), 0)</f>
        <v>15</v>
      </c>
      <c r="E769">
        <v>1</v>
      </c>
      <c r="F769" s="1">
        <v>0</v>
      </c>
      <c r="G769" t="s">
        <v>1302</v>
      </c>
      <c r="H769" s="1">
        <v>33.96</v>
      </c>
      <c r="I769" t="s">
        <v>1303</v>
      </c>
      <c r="K769" t="s">
        <v>1692</v>
      </c>
      <c r="L769" t="s">
        <v>2967</v>
      </c>
      <c r="M769" t="s">
        <v>2968</v>
      </c>
      <c r="N769" t="s">
        <v>1304</v>
      </c>
    </row>
    <row r="770" spans="1:14" s="10" customFormat="1" x14ac:dyDescent="0.25">
      <c r="A770" s="41" t="str">
        <f>Table1[[#This Row],[Route]]&amp;TEXT(Table1[[#This Row],[SegmentID]],"00")</f>
        <v>157A15</v>
      </c>
      <c r="B770" s="10" t="s">
        <v>1305</v>
      </c>
      <c r="C770" s="11"/>
      <c r="D770">
        <f>IFERROR(ROUND(VLOOKUP(Table1[[#This Row],[Route]],SegmentsPerRoute!$C$3:$L$297,8,FALSE)+(Table1[[#This Row],[Sequence]]-1)*VLOOKUP(Table1[[#This Row],[Route]],SegmentsPerRoute!$C$3:$L$297,10,FALSE),0), 0)</f>
        <v>15</v>
      </c>
      <c r="E770" s="10">
        <v>1</v>
      </c>
      <c r="F770" s="14">
        <v>0</v>
      </c>
      <c r="G770" s="10" t="s">
        <v>1306</v>
      </c>
      <c r="H770" s="14">
        <v>2.036</v>
      </c>
      <c r="I770" s="10" t="s">
        <v>461</v>
      </c>
      <c r="K770" s="10" t="s">
        <v>1692</v>
      </c>
      <c r="L770" s="10" t="s">
        <v>2969</v>
      </c>
      <c r="M770" s="10" t="s">
        <v>2972</v>
      </c>
    </row>
    <row r="771" spans="1:14" s="10" customFormat="1" x14ac:dyDescent="0.25">
      <c r="A771" s="41" t="str">
        <f>Table1[[#This Row],[Route]]&amp;TEXT(Table1[[#This Row],[SegmentID]],"00")</f>
        <v>157A85</v>
      </c>
      <c r="B771" s="10" t="s">
        <v>1305</v>
      </c>
      <c r="C771" s="11"/>
      <c r="D771">
        <f>IFERROR(ROUND(VLOOKUP(Table1[[#This Row],[Route]],SegmentsPerRoute!$C$3:$L$297,8,FALSE)+(Table1[[#This Row],[Sequence]]-1)*VLOOKUP(Table1[[#This Row],[Route]],SegmentsPerRoute!$C$3:$L$297,10,FALSE),0), 0)</f>
        <v>85</v>
      </c>
      <c r="E771" s="10">
        <v>2</v>
      </c>
      <c r="F771" s="14">
        <v>2.036</v>
      </c>
      <c r="G771" s="10" t="s">
        <v>461</v>
      </c>
      <c r="H771" s="14">
        <v>4.53</v>
      </c>
      <c r="I771" s="10" t="s">
        <v>1307</v>
      </c>
      <c r="K771" s="10" t="s">
        <v>1692</v>
      </c>
      <c r="L771" s="10" t="s">
        <v>2970</v>
      </c>
      <c r="M771" s="10" t="s">
        <v>2971</v>
      </c>
      <c r="N771" s="10" t="s">
        <v>475</v>
      </c>
    </row>
    <row r="772" spans="1:14" x14ac:dyDescent="0.25">
      <c r="A772" s="41" t="str">
        <f>Table1[[#This Row],[Route]]&amp;TEXT(Table1[[#This Row],[SegmentID]],"00")</f>
        <v>159A01</v>
      </c>
      <c r="B772" t="s">
        <v>1308</v>
      </c>
      <c r="D772">
        <f>IFERROR(ROUND(VLOOKUP(Table1[[#This Row],[Route]],SegmentsPerRoute!$C$3:$L$297,8,FALSE)+(Table1[[#This Row],[Sequence]]-1)*VLOOKUP(Table1[[#This Row],[Route]],SegmentsPerRoute!$C$3:$L$297,10,FALSE),0), 0)</f>
        <v>1</v>
      </c>
      <c r="E772">
        <v>1</v>
      </c>
      <c r="F772" s="1">
        <v>0</v>
      </c>
      <c r="G772" t="s">
        <v>231</v>
      </c>
      <c r="H772" s="1">
        <v>17.928999999999998</v>
      </c>
      <c r="I772" t="s">
        <v>1309</v>
      </c>
      <c r="K772" t="s">
        <v>1695</v>
      </c>
      <c r="L772" t="s">
        <v>2973</v>
      </c>
      <c r="M772" t="s">
        <v>2974</v>
      </c>
      <c r="N772" t="s">
        <v>1311</v>
      </c>
    </row>
    <row r="773" spans="1:14" x14ac:dyDescent="0.25">
      <c r="A773" s="41" t="str">
        <f>Table1[[#This Row],[Route]]&amp;TEXT(Table1[[#This Row],[SegmentID]],"00")</f>
        <v>159A85</v>
      </c>
      <c r="B773" t="s">
        <v>1308</v>
      </c>
      <c r="D773">
        <f>IFERROR(ROUND(VLOOKUP(Table1[[#This Row],[Route]],SegmentsPerRoute!$C$3:$L$297,8,FALSE)+(Table1[[#This Row],[Sequence]]-1)*VLOOKUP(Table1[[#This Row],[Route]],SegmentsPerRoute!$C$3:$L$297,10,FALSE),0), 0)</f>
        <v>85</v>
      </c>
      <c r="E773">
        <v>2</v>
      </c>
      <c r="F773" s="1">
        <v>17.928999999999998</v>
      </c>
      <c r="G773" t="s">
        <v>1309</v>
      </c>
      <c r="H773" s="1">
        <v>33.661000000000001</v>
      </c>
      <c r="I773" t="s">
        <v>1310</v>
      </c>
      <c r="K773" t="s">
        <v>1695</v>
      </c>
      <c r="L773" t="s">
        <v>2973</v>
      </c>
      <c r="M773" t="s">
        <v>2974</v>
      </c>
      <c r="N773" t="s">
        <v>1312</v>
      </c>
    </row>
    <row r="774" spans="1:14" x14ac:dyDescent="0.25">
      <c r="A774" s="41" t="str">
        <f>Table1[[#This Row],[Route]]&amp;TEXT(Table1[[#This Row],[SegmentID]],"00")</f>
        <v>160A01</v>
      </c>
      <c r="B774" t="s">
        <v>1313</v>
      </c>
      <c r="D774">
        <f>IFERROR(ROUND(VLOOKUP(Table1[[#This Row],[Route]],SegmentsPerRoute!$C$3:$L$297,8,FALSE)+(Table1[[#This Row],[Sequence]]-1)*VLOOKUP(Table1[[#This Row],[Route]],SegmentsPerRoute!$C$3:$L$297,10,FALSE),0), 0)</f>
        <v>1</v>
      </c>
      <c r="E774">
        <v>1</v>
      </c>
      <c r="F774" s="1">
        <v>0</v>
      </c>
      <c r="G774" t="s">
        <v>231</v>
      </c>
      <c r="H774" s="1">
        <v>4.883</v>
      </c>
      <c r="I774" t="s">
        <v>1314</v>
      </c>
      <c r="K774" t="s">
        <v>1694</v>
      </c>
      <c r="L774" t="s">
        <v>2975</v>
      </c>
      <c r="M774" t="s">
        <v>2985</v>
      </c>
      <c r="N774" t="s">
        <v>1340</v>
      </c>
    </row>
    <row r="775" spans="1:14" x14ac:dyDescent="0.25">
      <c r="A775" s="41" t="str">
        <f>Table1[[#This Row],[Route]]&amp;TEXT(Table1[[#This Row],[SegmentID]],"00")</f>
        <v>160A04</v>
      </c>
      <c r="B775" t="s">
        <v>1313</v>
      </c>
      <c r="D775">
        <f>IFERROR(ROUND(VLOOKUP(Table1[[#This Row],[Route]],SegmentsPerRoute!$C$3:$L$297,8,FALSE)+(Table1[[#This Row],[Sequence]]-1)*VLOOKUP(Table1[[#This Row],[Route]],SegmentsPerRoute!$C$3:$L$297,10,FALSE),0), 0)</f>
        <v>4</v>
      </c>
      <c r="E775">
        <v>2</v>
      </c>
      <c r="F775" s="1">
        <v>4.883</v>
      </c>
      <c r="G775" t="s">
        <v>1314</v>
      </c>
      <c r="H775" s="1">
        <v>18.297999999999998</v>
      </c>
      <c r="I775" t="s">
        <v>1315</v>
      </c>
      <c r="K775" t="s">
        <v>1694</v>
      </c>
      <c r="L775" t="s">
        <v>2975</v>
      </c>
      <c r="M775" t="s">
        <v>2985</v>
      </c>
      <c r="N775" t="s">
        <v>1341</v>
      </c>
    </row>
    <row r="776" spans="1:14" x14ac:dyDescent="0.25">
      <c r="A776" s="41" t="str">
        <f>Table1[[#This Row],[Route]]&amp;TEXT(Table1[[#This Row],[SegmentID]],"00")</f>
        <v>160A07</v>
      </c>
      <c r="B776" t="s">
        <v>1313</v>
      </c>
      <c r="D776">
        <f>IFERROR(ROUND(VLOOKUP(Table1[[#This Row],[Route]],SegmentsPerRoute!$C$3:$L$297,8,FALSE)+(Table1[[#This Row],[Sequence]]-1)*VLOOKUP(Table1[[#This Row],[Route]],SegmentsPerRoute!$C$3:$L$297,10,FALSE),0), 0)</f>
        <v>7</v>
      </c>
      <c r="E776">
        <v>3</v>
      </c>
      <c r="F776" s="1">
        <v>18.297999999999998</v>
      </c>
      <c r="G776" t="s">
        <v>1315</v>
      </c>
      <c r="H776" s="1">
        <v>37.72</v>
      </c>
      <c r="I776" t="s">
        <v>1316</v>
      </c>
      <c r="K776" t="s">
        <v>1694</v>
      </c>
      <c r="L776" t="s">
        <v>2975</v>
      </c>
      <c r="M776" t="s">
        <v>2985</v>
      </c>
      <c r="N776" t="s">
        <v>1342</v>
      </c>
    </row>
    <row r="777" spans="1:14" x14ac:dyDescent="0.25">
      <c r="A777" s="41" t="str">
        <f>Table1[[#This Row],[Route]]&amp;TEXT(Table1[[#This Row],[SegmentID]],"00")</f>
        <v>160A11</v>
      </c>
      <c r="B777" t="s">
        <v>1313</v>
      </c>
      <c r="D777">
        <f>IFERROR(ROUND(VLOOKUP(Table1[[#This Row],[Route]],SegmentsPerRoute!$C$3:$L$297,8,FALSE)+(Table1[[#This Row],[Sequence]]-1)*VLOOKUP(Table1[[#This Row],[Route]],SegmentsPerRoute!$C$3:$L$297,10,FALSE),0), 0)</f>
        <v>11</v>
      </c>
      <c r="E777">
        <v>4</v>
      </c>
      <c r="F777" s="1">
        <v>37.72</v>
      </c>
      <c r="G777" t="s">
        <v>1316</v>
      </c>
      <c r="H777" s="1">
        <v>38.195999999999998</v>
      </c>
      <c r="I777" t="s">
        <v>1317</v>
      </c>
      <c r="K777" t="s">
        <v>1694</v>
      </c>
      <c r="L777" t="s">
        <v>2976</v>
      </c>
      <c r="M777" t="s">
        <v>2989</v>
      </c>
    </row>
    <row r="778" spans="1:14" x14ac:dyDescent="0.25">
      <c r="A778" s="41" t="str">
        <f>Table1[[#This Row],[Route]]&amp;TEXT(Table1[[#This Row],[SegmentID]],"00")</f>
        <v>160A14</v>
      </c>
      <c r="B778" t="s">
        <v>1313</v>
      </c>
      <c r="D778">
        <f>IFERROR(ROUND(VLOOKUP(Table1[[#This Row],[Route]],SegmentsPerRoute!$C$3:$L$297,8,FALSE)+(Table1[[#This Row],[Sequence]]-1)*VLOOKUP(Table1[[#This Row],[Route]],SegmentsPerRoute!$C$3:$L$297,10,FALSE),0), 0)</f>
        <v>14</v>
      </c>
      <c r="E778">
        <v>5</v>
      </c>
      <c r="F778" s="1">
        <v>38.195999999999998</v>
      </c>
      <c r="G778" t="s">
        <v>1317</v>
      </c>
      <c r="H778" s="1">
        <v>40.295000000000002</v>
      </c>
      <c r="I778" t="s">
        <v>1318</v>
      </c>
      <c r="K778" t="s">
        <v>1694</v>
      </c>
      <c r="L778" t="s">
        <v>2975</v>
      </c>
      <c r="M778" t="s">
        <v>2985</v>
      </c>
    </row>
    <row r="779" spans="1:14" x14ac:dyDescent="0.25">
      <c r="A779" s="41" t="str">
        <f>Table1[[#This Row],[Route]]&amp;TEXT(Table1[[#This Row],[SegmentID]],"00")</f>
        <v>160A17</v>
      </c>
      <c r="B779" t="s">
        <v>1313</v>
      </c>
      <c r="D779">
        <f>IFERROR(ROUND(VLOOKUP(Table1[[#This Row],[Route]],SegmentsPerRoute!$C$3:$L$297,8,FALSE)+(Table1[[#This Row],[Sequence]]-1)*VLOOKUP(Table1[[#This Row],[Route]],SegmentsPerRoute!$C$3:$L$297,10,FALSE),0), 0)</f>
        <v>17</v>
      </c>
      <c r="E779">
        <v>6</v>
      </c>
      <c r="F779" s="1">
        <v>40.295000000000002</v>
      </c>
      <c r="G779" t="s">
        <v>1318</v>
      </c>
      <c r="H779" s="1">
        <v>54.752000000000002</v>
      </c>
      <c r="I779" t="s">
        <v>1319</v>
      </c>
      <c r="K779" t="s">
        <v>1694</v>
      </c>
      <c r="L779" t="s">
        <v>2975</v>
      </c>
      <c r="M779" t="s">
        <v>2985</v>
      </c>
      <c r="N779" t="s">
        <v>1342</v>
      </c>
    </row>
    <row r="780" spans="1:14" x14ac:dyDescent="0.25">
      <c r="A780" s="41" t="str">
        <f>Table1[[#This Row],[Route]]&amp;TEXT(Table1[[#This Row],[SegmentID]],"00")</f>
        <v>160A20</v>
      </c>
      <c r="B780" t="s">
        <v>1313</v>
      </c>
      <c r="D780">
        <f>IFERROR(ROUND(VLOOKUP(Table1[[#This Row],[Route]],SegmentsPerRoute!$C$3:$L$297,8,FALSE)+(Table1[[#This Row],[Sequence]]-1)*VLOOKUP(Table1[[#This Row],[Route]],SegmentsPerRoute!$C$3:$L$297,10,FALSE),0), 0)</f>
        <v>20</v>
      </c>
      <c r="E780">
        <v>7</v>
      </c>
      <c r="F780" s="1">
        <v>54.752000000000002</v>
      </c>
      <c r="G780" t="s">
        <v>1319</v>
      </c>
      <c r="H780" s="1">
        <v>56.064999999999998</v>
      </c>
      <c r="I780" t="s">
        <v>1320</v>
      </c>
      <c r="K780" t="s">
        <v>1694</v>
      </c>
      <c r="L780" t="s">
        <v>2977</v>
      </c>
      <c r="M780" t="s">
        <v>2988</v>
      </c>
      <c r="N780" t="s">
        <v>1343</v>
      </c>
    </row>
    <row r="781" spans="1:14" x14ac:dyDescent="0.25">
      <c r="A781" s="41" t="str">
        <f>Table1[[#This Row],[Route]]&amp;TEXT(Table1[[#This Row],[SegmentID]],"00")</f>
        <v>160A23</v>
      </c>
      <c r="B781" t="s">
        <v>1313</v>
      </c>
      <c r="D781">
        <f>IFERROR(ROUND(VLOOKUP(Table1[[#This Row],[Route]],SegmentsPerRoute!$C$3:$L$297,8,FALSE)+(Table1[[#This Row],[Sequence]]-1)*VLOOKUP(Table1[[#This Row],[Route]],SegmentsPerRoute!$C$3:$L$297,10,FALSE),0), 0)</f>
        <v>23</v>
      </c>
      <c r="E781">
        <v>8</v>
      </c>
      <c r="F781" s="1">
        <v>56.064999999999998</v>
      </c>
      <c r="G781" t="s">
        <v>1320</v>
      </c>
      <c r="H781" s="1">
        <v>56.993000000000002</v>
      </c>
      <c r="I781" t="s">
        <v>1321</v>
      </c>
      <c r="K781" t="s">
        <v>1694</v>
      </c>
      <c r="L781" t="s">
        <v>2978</v>
      </c>
      <c r="M781" t="s">
        <v>2987</v>
      </c>
      <c r="N781" t="s">
        <v>1344</v>
      </c>
    </row>
    <row r="782" spans="1:14" x14ac:dyDescent="0.25">
      <c r="A782" s="41" t="str">
        <f>Table1[[#This Row],[Route]]&amp;TEXT(Table1[[#This Row],[SegmentID]],"00")</f>
        <v>160A27</v>
      </c>
      <c r="B782" t="s">
        <v>1313</v>
      </c>
      <c r="D782">
        <f>IFERROR(ROUND(VLOOKUP(Table1[[#This Row],[Route]],SegmentsPerRoute!$C$3:$L$297,8,FALSE)+(Table1[[#This Row],[Sequence]]-1)*VLOOKUP(Table1[[#This Row],[Route]],SegmentsPerRoute!$C$3:$L$297,10,FALSE),0), 0)</f>
        <v>27</v>
      </c>
      <c r="E782">
        <v>9</v>
      </c>
      <c r="F782" s="1">
        <v>56.993000000000002</v>
      </c>
      <c r="G782" t="s">
        <v>1321</v>
      </c>
      <c r="H782" s="1">
        <v>72.754999999999995</v>
      </c>
      <c r="I782" t="s">
        <v>1322</v>
      </c>
      <c r="K782" t="s">
        <v>1694</v>
      </c>
      <c r="L782" t="s">
        <v>2975</v>
      </c>
      <c r="M782" t="s">
        <v>2985</v>
      </c>
      <c r="N782" t="s">
        <v>1345</v>
      </c>
    </row>
    <row r="783" spans="1:14" x14ac:dyDescent="0.25">
      <c r="A783" s="41" t="str">
        <f>Table1[[#This Row],[Route]]&amp;TEXT(Table1[[#This Row],[SegmentID]],"00")</f>
        <v>160A30</v>
      </c>
      <c r="B783" t="s">
        <v>1313</v>
      </c>
      <c r="D783">
        <f>IFERROR(ROUND(VLOOKUP(Table1[[#This Row],[Route]],SegmentsPerRoute!$C$3:$L$297,8,FALSE)+(Table1[[#This Row],[Sequence]]-1)*VLOOKUP(Table1[[#This Row],[Route]],SegmentsPerRoute!$C$3:$L$297,10,FALSE),0), 0)</f>
        <v>30</v>
      </c>
      <c r="E783">
        <v>10</v>
      </c>
      <c r="F783" s="1">
        <v>72.754999999999995</v>
      </c>
      <c r="G783" t="s">
        <v>1322</v>
      </c>
      <c r="H783" s="1">
        <v>83.206999999999994</v>
      </c>
      <c r="I783" t="s">
        <v>1323</v>
      </c>
      <c r="K783" t="s">
        <v>1694</v>
      </c>
      <c r="L783" t="s">
        <v>2975</v>
      </c>
      <c r="M783" t="s">
        <v>2985</v>
      </c>
      <c r="N783" t="s">
        <v>1346</v>
      </c>
    </row>
    <row r="784" spans="1:14" x14ac:dyDescent="0.25">
      <c r="A784" s="41" t="str">
        <f>Table1[[#This Row],[Route]]&amp;TEXT(Table1[[#This Row],[SegmentID]],"00")</f>
        <v>160A33</v>
      </c>
      <c r="B784" t="s">
        <v>1313</v>
      </c>
      <c r="D784">
        <f>IFERROR(ROUND(VLOOKUP(Table1[[#This Row],[Route]],SegmentsPerRoute!$C$3:$L$297,8,FALSE)+(Table1[[#This Row],[Sequence]]-1)*VLOOKUP(Table1[[#This Row],[Route]],SegmentsPerRoute!$C$3:$L$297,10,FALSE),0), 0)</f>
        <v>33</v>
      </c>
      <c r="E784">
        <v>11</v>
      </c>
      <c r="F784" s="1">
        <v>83.206999999999994</v>
      </c>
      <c r="G784" t="s">
        <v>1323</v>
      </c>
      <c r="H784" s="1">
        <v>83.945999999999998</v>
      </c>
      <c r="I784" t="s">
        <v>1324</v>
      </c>
      <c r="K784" t="s">
        <v>1694</v>
      </c>
      <c r="L784" t="s">
        <v>2975</v>
      </c>
      <c r="M784" t="s">
        <v>2985</v>
      </c>
      <c r="N784" t="s">
        <v>1347</v>
      </c>
    </row>
    <row r="785" spans="1:14" x14ac:dyDescent="0.25">
      <c r="A785" s="41" t="str">
        <f>Table1[[#This Row],[Route]]&amp;TEXT(Table1[[#This Row],[SegmentID]],"00")</f>
        <v>160A36</v>
      </c>
      <c r="B785" t="s">
        <v>1313</v>
      </c>
      <c r="D785">
        <f>IFERROR(ROUND(VLOOKUP(Table1[[#This Row],[Route]],SegmentsPerRoute!$C$3:$L$297,8,FALSE)+(Table1[[#This Row],[Sequence]]-1)*VLOOKUP(Table1[[#This Row],[Route]],SegmentsPerRoute!$C$3:$L$297,10,FALSE),0), 0)</f>
        <v>36</v>
      </c>
      <c r="E785">
        <v>12</v>
      </c>
      <c r="F785" s="1">
        <v>83.945999999999998</v>
      </c>
      <c r="G785" t="s">
        <v>1324</v>
      </c>
      <c r="H785" s="1">
        <v>85.941000000000003</v>
      </c>
      <c r="I785" t="s">
        <v>1325</v>
      </c>
      <c r="K785" t="s">
        <v>1694</v>
      </c>
      <c r="L785" t="s">
        <v>2979</v>
      </c>
      <c r="M785" t="s">
        <v>2986</v>
      </c>
      <c r="N785" t="s">
        <v>1347</v>
      </c>
    </row>
    <row r="786" spans="1:14" x14ac:dyDescent="0.25">
      <c r="A786" s="41" t="str">
        <f>Table1[[#This Row],[Route]]&amp;TEXT(Table1[[#This Row],[SegmentID]],"00")</f>
        <v>160A39</v>
      </c>
      <c r="B786" t="s">
        <v>1313</v>
      </c>
      <c r="D786">
        <f>IFERROR(ROUND(VLOOKUP(Table1[[#This Row],[Route]],SegmentsPerRoute!$C$3:$L$297,8,FALSE)+(Table1[[#This Row],[Sequence]]-1)*VLOOKUP(Table1[[#This Row],[Route]],SegmentsPerRoute!$C$3:$L$297,10,FALSE),0), 0)</f>
        <v>39</v>
      </c>
      <c r="E786">
        <v>13</v>
      </c>
      <c r="F786" s="1">
        <v>85.941000000000003</v>
      </c>
      <c r="G786" t="s">
        <v>1325</v>
      </c>
      <c r="H786" s="1">
        <v>88.316000000000003</v>
      </c>
      <c r="I786" t="s">
        <v>1326</v>
      </c>
      <c r="K786" t="s">
        <v>1694</v>
      </c>
      <c r="L786" t="s">
        <v>2975</v>
      </c>
      <c r="M786" t="s">
        <v>2985</v>
      </c>
      <c r="N786" t="s">
        <v>1347</v>
      </c>
    </row>
    <row r="787" spans="1:14" x14ac:dyDescent="0.25">
      <c r="A787" s="41" t="str">
        <f>Table1[[#This Row],[Route]]&amp;TEXT(Table1[[#This Row],[SegmentID]],"00")</f>
        <v>160A43</v>
      </c>
      <c r="B787" t="s">
        <v>1313</v>
      </c>
      <c r="D787">
        <f>IFERROR(ROUND(VLOOKUP(Table1[[#This Row],[Route]],SegmentsPerRoute!$C$3:$L$297,8,FALSE)+(Table1[[#This Row],[Sequence]]-1)*VLOOKUP(Table1[[#This Row],[Route]],SegmentsPerRoute!$C$3:$L$297,10,FALSE),0), 0)</f>
        <v>43</v>
      </c>
      <c r="E787">
        <v>14</v>
      </c>
      <c r="F787" s="1">
        <v>88.316000000000003</v>
      </c>
      <c r="G787" t="s">
        <v>1326</v>
      </c>
      <c r="H787" s="1">
        <v>91.477999999999994</v>
      </c>
      <c r="I787" t="s">
        <v>1327</v>
      </c>
      <c r="K787" t="s">
        <v>1694</v>
      </c>
      <c r="L787" t="s">
        <v>2975</v>
      </c>
      <c r="M787" t="s">
        <v>2985</v>
      </c>
    </row>
    <row r="788" spans="1:14" ht="45" x14ac:dyDescent="0.25">
      <c r="A788" s="41" t="str">
        <f>Table1[[#This Row],[Route]]&amp;TEXT(Table1[[#This Row],[SegmentID]],"00")</f>
        <v>160A46</v>
      </c>
      <c r="B788" t="s">
        <v>1313</v>
      </c>
      <c r="D788">
        <f>IFERROR(ROUND(VLOOKUP(Table1[[#This Row],[Route]],SegmentsPerRoute!$C$3:$L$297,8,FALSE)+(Table1[[#This Row],[Sequence]]-1)*VLOOKUP(Table1[[#This Row],[Route]],SegmentsPerRoute!$C$3:$L$297,10,FALSE),0), 0)</f>
        <v>46</v>
      </c>
      <c r="E788">
        <v>15</v>
      </c>
      <c r="F788" s="1">
        <v>91.477999999999994</v>
      </c>
      <c r="G788" t="s">
        <v>1327</v>
      </c>
      <c r="H788" s="1">
        <v>126.968</v>
      </c>
      <c r="I788" t="s">
        <v>1328</v>
      </c>
      <c r="K788" t="s">
        <v>1694</v>
      </c>
      <c r="L788" t="s">
        <v>2975</v>
      </c>
      <c r="M788" t="s">
        <v>2985</v>
      </c>
      <c r="N788" s="4" t="s">
        <v>1348</v>
      </c>
    </row>
    <row r="789" spans="1:14" x14ac:dyDescent="0.25">
      <c r="A789" s="41" t="str">
        <f>Table1[[#This Row],[Route]]&amp;TEXT(Table1[[#This Row],[SegmentID]],"00")</f>
        <v>160A49</v>
      </c>
      <c r="B789" t="s">
        <v>1313</v>
      </c>
      <c r="D789">
        <f>IFERROR(ROUND(VLOOKUP(Table1[[#This Row],[Route]],SegmentsPerRoute!$C$3:$L$297,8,FALSE)+(Table1[[#This Row],[Sequence]]-1)*VLOOKUP(Table1[[#This Row],[Route]],SegmentsPerRoute!$C$3:$L$297,10,FALSE),0), 0)</f>
        <v>49</v>
      </c>
      <c r="E789">
        <v>16</v>
      </c>
      <c r="F789" s="1">
        <v>126.968</v>
      </c>
      <c r="G789" t="s">
        <v>1328</v>
      </c>
      <c r="H789" s="1">
        <v>144.459</v>
      </c>
      <c r="I789" t="s">
        <v>1329</v>
      </c>
      <c r="K789" t="s">
        <v>1694</v>
      </c>
      <c r="L789" t="s">
        <v>2975</v>
      </c>
      <c r="M789" t="s">
        <v>2985</v>
      </c>
      <c r="N789" t="s">
        <v>1349</v>
      </c>
    </row>
    <row r="790" spans="1:14" ht="45" x14ac:dyDescent="0.25">
      <c r="A790" s="41" t="str">
        <f>Table1[[#This Row],[Route]]&amp;TEXT(Table1[[#This Row],[SegmentID]],"00")</f>
        <v>160A52</v>
      </c>
      <c r="B790" t="s">
        <v>1313</v>
      </c>
      <c r="D790">
        <f>IFERROR(ROUND(VLOOKUP(Table1[[#This Row],[Route]],SegmentsPerRoute!$C$3:$L$297,8,FALSE)+(Table1[[#This Row],[Sequence]]-1)*VLOOKUP(Table1[[#This Row],[Route]],SegmentsPerRoute!$C$3:$L$297,10,FALSE),0), 0)</f>
        <v>52</v>
      </c>
      <c r="E790">
        <v>17</v>
      </c>
      <c r="F790" s="1">
        <v>144.459</v>
      </c>
      <c r="G790" t="s">
        <v>1329</v>
      </c>
      <c r="H790" s="1">
        <v>186.12299999999999</v>
      </c>
      <c r="I790" t="s">
        <v>1330</v>
      </c>
      <c r="K790" t="s">
        <v>1694</v>
      </c>
      <c r="L790" t="s">
        <v>2975</v>
      </c>
      <c r="M790" t="s">
        <v>2985</v>
      </c>
      <c r="N790" s="4" t="s">
        <v>1350</v>
      </c>
    </row>
    <row r="791" spans="1:14" x14ac:dyDescent="0.25">
      <c r="A791" s="41" t="str">
        <f>Table1[[#This Row],[Route]]&amp;TEXT(Table1[[#This Row],[SegmentID]],"00")</f>
        <v>160A55</v>
      </c>
      <c r="B791" t="s">
        <v>1313</v>
      </c>
      <c r="D791">
        <f>IFERROR(ROUND(VLOOKUP(Table1[[#This Row],[Route]],SegmentsPerRoute!$C$3:$L$297,8,FALSE)+(Table1[[#This Row],[Sequence]]-1)*VLOOKUP(Table1[[#This Row],[Route]],SegmentsPerRoute!$C$3:$L$297,10,FALSE),0), 0)</f>
        <v>55</v>
      </c>
      <c r="E791">
        <v>18</v>
      </c>
      <c r="F791" s="1">
        <v>186.12299999999999</v>
      </c>
      <c r="G791" t="s">
        <v>1330</v>
      </c>
      <c r="H791" s="1">
        <v>202.08199999999999</v>
      </c>
      <c r="I791" t="s">
        <v>1331</v>
      </c>
      <c r="K791" t="s">
        <v>1694</v>
      </c>
      <c r="L791" t="s">
        <v>2975</v>
      </c>
      <c r="M791" t="s">
        <v>2985</v>
      </c>
      <c r="N791" t="s">
        <v>1351</v>
      </c>
    </row>
    <row r="792" spans="1:14" x14ac:dyDescent="0.25">
      <c r="A792" s="41" t="str">
        <f>Table1[[#This Row],[Route]]&amp;TEXT(Table1[[#This Row],[SegmentID]],"00")</f>
        <v>160A59</v>
      </c>
      <c r="B792" t="s">
        <v>1313</v>
      </c>
      <c r="D792">
        <f>IFERROR(ROUND(VLOOKUP(Table1[[#This Row],[Route]],SegmentsPerRoute!$C$3:$L$297,8,FALSE)+(Table1[[#This Row],[Sequence]]-1)*VLOOKUP(Table1[[#This Row],[Route]],SegmentsPerRoute!$C$3:$L$297,10,FALSE),0), 0)</f>
        <v>59</v>
      </c>
      <c r="E792">
        <v>19</v>
      </c>
      <c r="F792" s="1">
        <v>202.08199999999999</v>
      </c>
      <c r="G792" t="s">
        <v>1331</v>
      </c>
      <c r="H792" s="1">
        <v>215.69800000000001</v>
      </c>
      <c r="I792" t="s">
        <v>1332</v>
      </c>
      <c r="K792" t="s">
        <v>1694</v>
      </c>
      <c r="L792" t="s">
        <v>2975</v>
      </c>
      <c r="M792" t="s">
        <v>2985</v>
      </c>
      <c r="N792" t="s">
        <v>1133</v>
      </c>
    </row>
    <row r="793" spans="1:14" x14ac:dyDescent="0.25">
      <c r="A793" s="41" t="str">
        <f>Table1[[#This Row],[Route]]&amp;TEXT(Table1[[#This Row],[SegmentID]],"00")</f>
        <v>160A62</v>
      </c>
      <c r="B793" t="s">
        <v>1313</v>
      </c>
      <c r="D793">
        <f>IFERROR(ROUND(VLOOKUP(Table1[[#This Row],[Route]],SegmentsPerRoute!$C$3:$L$297,8,FALSE)+(Table1[[#This Row],[Sequence]]-1)*VLOOKUP(Table1[[#This Row],[Route]],SegmentsPerRoute!$C$3:$L$297,10,FALSE),0), 0)</f>
        <v>62</v>
      </c>
      <c r="E793">
        <v>20</v>
      </c>
      <c r="F793" s="1">
        <v>215.69800000000001</v>
      </c>
      <c r="G793" t="s">
        <v>1332</v>
      </c>
      <c r="H793" s="1">
        <v>232.483</v>
      </c>
      <c r="I793" t="s">
        <v>1333</v>
      </c>
      <c r="K793" t="s">
        <v>1694</v>
      </c>
      <c r="L793" t="s">
        <v>2975</v>
      </c>
      <c r="M793" t="s">
        <v>2985</v>
      </c>
    </row>
    <row r="794" spans="1:14" x14ac:dyDescent="0.25">
      <c r="A794" s="41" t="str">
        <f>Table1[[#This Row],[Route]]&amp;TEXT(Table1[[#This Row],[SegmentID]],"00")</f>
        <v>160A65</v>
      </c>
      <c r="B794" t="s">
        <v>1313</v>
      </c>
      <c r="D794">
        <f>IFERROR(ROUND(VLOOKUP(Table1[[#This Row],[Route]],SegmentsPerRoute!$C$3:$L$297,8,FALSE)+(Table1[[#This Row],[Sequence]]-1)*VLOOKUP(Table1[[#This Row],[Route]],SegmentsPerRoute!$C$3:$L$297,10,FALSE),0), 0)</f>
        <v>65</v>
      </c>
      <c r="E794">
        <v>21</v>
      </c>
      <c r="F794" s="1">
        <v>232.483</v>
      </c>
      <c r="G794" t="s">
        <v>1333</v>
      </c>
      <c r="H794" s="1">
        <v>232.76900000000001</v>
      </c>
      <c r="I794" t="s">
        <v>1334</v>
      </c>
      <c r="K794" t="s">
        <v>1694</v>
      </c>
      <c r="L794" t="s">
        <v>2975</v>
      </c>
      <c r="M794" t="s">
        <v>2983</v>
      </c>
    </row>
    <row r="795" spans="1:14" x14ac:dyDescent="0.25">
      <c r="A795" s="41" t="str">
        <f>Table1[[#This Row],[Route]]&amp;TEXT(Table1[[#This Row],[SegmentID]],"00")</f>
        <v>160A68</v>
      </c>
      <c r="B795" t="s">
        <v>1313</v>
      </c>
      <c r="D795">
        <f>IFERROR(ROUND(VLOOKUP(Table1[[#This Row],[Route]],SegmentsPerRoute!$C$3:$L$297,8,FALSE)+(Table1[[#This Row],[Sequence]]-1)*VLOOKUP(Table1[[#This Row],[Route]],SegmentsPerRoute!$C$3:$L$297,10,FALSE),0), 0)</f>
        <v>68</v>
      </c>
      <c r="E795">
        <v>22</v>
      </c>
      <c r="F795" s="1">
        <v>232.76900000000001</v>
      </c>
      <c r="G795" t="s">
        <v>1334</v>
      </c>
      <c r="H795" s="1">
        <v>233.48699999999999</v>
      </c>
      <c r="I795" t="s">
        <v>1335</v>
      </c>
      <c r="K795" t="s">
        <v>1694</v>
      </c>
      <c r="L795" t="s">
        <v>2980</v>
      </c>
      <c r="M795" t="s">
        <v>2983</v>
      </c>
    </row>
    <row r="796" spans="1:14" x14ac:dyDescent="0.25">
      <c r="A796" s="41" t="str">
        <f>Table1[[#This Row],[Route]]&amp;TEXT(Table1[[#This Row],[SegmentID]],"00")</f>
        <v>160A71</v>
      </c>
      <c r="B796" t="s">
        <v>1313</v>
      </c>
      <c r="D796">
        <f>IFERROR(ROUND(VLOOKUP(Table1[[#This Row],[Route]],SegmentsPerRoute!$C$3:$L$297,8,FALSE)+(Table1[[#This Row],[Sequence]]-1)*VLOOKUP(Table1[[#This Row],[Route]],SegmentsPerRoute!$C$3:$L$297,10,FALSE),0), 0)</f>
        <v>71</v>
      </c>
      <c r="E796">
        <v>23</v>
      </c>
      <c r="F796" s="1">
        <v>233.48699999999999</v>
      </c>
      <c r="G796" t="s">
        <v>1335</v>
      </c>
      <c r="H796" s="1">
        <v>234.00800000000001</v>
      </c>
      <c r="I796" t="s">
        <v>1336</v>
      </c>
      <c r="K796" t="s">
        <v>1694</v>
      </c>
      <c r="L796" t="s">
        <v>2980</v>
      </c>
      <c r="M796" t="s">
        <v>2984</v>
      </c>
      <c r="N796" t="s">
        <v>1133</v>
      </c>
    </row>
    <row r="797" spans="1:14" x14ac:dyDescent="0.25">
      <c r="A797" s="41" t="str">
        <f>Table1[[#This Row],[Route]]&amp;TEXT(Table1[[#This Row],[SegmentID]],"00")</f>
        <v>160A75</v>
      </c>
      <c r="B797" t="s">
        <v>1313</v>
      </c>
      <c r="D797">
        <f>IFERROR(ROUND(VLOOKUP(Table1[[#This Row],[Route]],SegmentsPerRoute!$C$3:$L$297,8,FALSE)+(Table1[[#This Row],[Sequence]]-1)*VLOOKUP(Table1[[#This Row],[Route]],SegmentsPerRoute!$C$3:$L$297,10,FALSE),0), 0)</f>
        <v>75</v>
      </c>
      <c r="E797">
        <v>24</v>
      </c>
      <c r="F797" s="1">
        <v>234.00800000000001</v>
      </c>
      <c r="G797" t="s">
        <v>1336</v>
      </c>
      <c r="H797" s="1">
        <v>247.928</v>
      </c>
      <c r="I797" t="s">
        <v>1337</v>
      </c>
      <c r="K797" t="s">
        <v>1694</v>
      </c>
      <c r="L797" t="s">
        <v>2980</v>
      </c>
      <c r="M797" t="s">
        <v>2984</v>
      </c>
    </row>
    <row r="798" spans="1:14" x14ac:dyDescent="0.25">
      <c r="A798" s="41" t="str">
        <f>Table1[[#This Row],[Route]]&amp;TEXT(Table1[[#This Row],[SegmentID]],"00")</f>
        <v>160A78</v>
      </c>
      <c r="B798" t="s">
        <v>1313</v>
      </c>
      <c r="D798">
        <f>IFERROR(ROUND(VLOOKUP(Table1[[#This Row],[Route]],SegmentsPerRoute!$C$3:$L$297,8,FALSE)+(Table1[[#This Row],[Sequence]]-1)*VLOOKUP(Table1[[#This Row],[Route]],SegmentsPerRoute!$C$3:$L$297,10,FALSE),0), 0)</f>
        <v>78</v>
      </c>
      <c r="E798">
        <v>25</v>
      </c>
      <c r="F798" s="1">
        <v>247.928</v>
      </c>
      <c r="G798" t="s">
        <v>1337</v>
      </c>
      <c r="H798" s="1">
        <v>258.27199999999999</v>
      </c>
      <c r="I798" t="s">
        <v>1338</v>
      </c>
      <c r="K798" t="s">
        <v>1694</v>
      </c>
      <c r="L798" t="s">
        <v>2980</v>
      </c>
      <c r="M798" t="s">
        <v>2984</v>
      </c>
    </row>
    <row r="799" spans="1:14" ht="30" x14ac:dyDescent="0.25">
      <c r="A799" s="41" t="str">
        <f>Table1[[#This Row],[Route]]&amp;TEXT(Table1[[#This Row],[SegmentID]],"00")</f>
        <v>160A81</v>
      </c>
      <c r="B799" t="s">
        <v>1313</v>
      </c>
      <c r="D799">
        <f>IFERROR(ROUND(VLOOKUP(Table1[[#This Row],[Route]],SegmentsPerRoute!$C$3:$L$297,8,FALSE)+(Table1[[#This Row],[Sequence]]-1)*VLOOKUP(Table1[[#This Row],[Route]],SegmentsPerRoute!$C$3:$L$297,10,FALSE),0), 0)</f>
        <v>81</v>
      </c>
      <c r="E799">
        <v>26</v>
      </c>
      <c r="F799" s="1">
        <v>258.27199999999999</v>
      </c>
      <c r="G799" t="s">
        <v>1338</v>
      </c>
      <c r="H799" s="1">
        <v>294.17200000000003</v>
      </c>
      <c r="I799" t="s">
        <v>1339</v>
      </c>
      <c r="K799" t="s">
        <v>1694</v>
      </c>
      <c r="L799" t="s">
        <v>2981</v>
      </c>
      <c r="M799" t="s">
        <v>2982</v>
      </c>
      <c r="N799" s="4" t="s">
        <v>1352</v>
      </c>
    </row>
    <row r="800" spans="1:14" x14ac:dyDescent="0.25">
      <c r="A800" s="41" t="str">
        <f>Table1[[#This Row],[Route]]&amp;TEXT(Table1[[#This Row],[SegmentID]],"00")</f>
        <v>160A84</v>
      </c>
      <c r="B800" t="s">
        <v>1313</v>
      </c>
      <c r="D800">
        <f>IFERROR(ROUND(VLOOKUP(Table1[[#This Row],[Route]],SegmentsPerRoute!$C$3:$L$297,8,FALSE)+(Table1[[#This Row],[Sequence]]-1)*VLOOKUP(Table1[[#This Row],[Route]],SegmentsPerRoute!$C$3:$L$297,10,FALSE),0), 0)</f>
        <v>84</v>
      </c>
      <c r="E800">
        <v>27</v>
      </c>
      <c r="F800" s="1">
        <v>294.17200000000003</v>
      </c>
      <c r="G800" t="s">
        <v>1339</v>
      </c>
      <c r="H800" s="1">
        <v>305.38</v>
      </c>
      <c r="I800" t="s">
        <v>1355</v>
      </c>
      <c r="K800" t="s">
        <v>1694</v>
      </c>
      <c r="L800" t="s">
        <v>2981</v>
      </c>
      <c r="M800" t="s">
        <v>2982</v>
      </c>
      <c r="N800" t="s">
        <v>364</v>
      </c>
    </row>
    <row r="801" spans="1:14" x14ac:dyDescent="0.25">
      <c r="A801" s="41" t="str">
        <f>Table1[[#This Row],[Route]]&amp;TEXT(Table1[[#This Row],[SegmentID]],"00")</f>
        <v>160B15</v>
      </c>
      <c r="B801" t="s">
        <v>1353</v>
      </c>
      <c r="D801">
        <f>IFERROR(ROUND(VLOOKUP(Table1[[#This Row],[Route]],SegmentsPerRoute!$C$3:$L$297,8,FALSE)+(Table1[[#This Row],[Sequence]]-1)*VLOOKUP(Table1[[#This Row],[Route]],SegmentsPerRoute!$C$3:$L$297,10,FALSE),0), 0)</f>
        <v>15</v>
      </c>
      <c r="E801">
        <v>1</v>
      </c>
      <c r="F801" s="1">
        <v>305.52600000000001</v>
      </c>
      <c r="G801" t="s">
        <v>1354</v>
      </c>
      <c r="H801" s="1">
        <v>306.35000000000002</v>
      </c>
      <c r="I801" t="s">
        <v>1356</v>
      </c>
      <c r="K801" t="s">
        <v>1692</v>
      </c>
      <c r="L801" t="s">
        <v>2990</v>
      </c>
      <c r="M801" t="s">
        <v>2991</v>
      </c>
    </row>
    <row r="802" spans="1:14" x14ac:dyDescent="0.25">
      <c r="A802" s="41" t="str">
        <f>Table1[[#This Row],[Route]]&amp;TEXT(Table1[[#This Row],[SegmentID]],"00")</f>
        <v>160C15</v>
      </c>
      <c r="B802" t="s">
        <v>1357</v>
      </c>
      <c r="D802">
        <f>IFERROR(ROUND(VLOOKUP(Table1[[#This Row],[Route]],SegmentsPerRoute!$C$3:$L$297,8,FALSE)+(Table1[[#This Row],[Sequence]]-1)*VLOOKUP(Table1[[#This Row],[Route]],SegmentsPerRoute!$C$3:$L$297,10,FALSE),0), 0)</f>
        <v>15</v>
      </c>
      <c r="E802">
        <v>1</v>
      </c>
      <c r="F802" s="1">
        <v>344.572</v>
      </c>
      <c r="G802" t="s">
        <v>1358</v>
      </c>
      <c r="H802" s="1">
        <v>350.76900000000001</v>
      </c>
      <c r="I802" t="s">
        <v>1361</v>
      </c>
      <c r="K802" t="s">
        <v>1695</v>
      </c>
      <c r="L802" t="s">
        <v>2992</v>
      </c>
      <c r="M802" t="s">
        <v>2995</v>
      </c>
      <c r="N802" t="s">
        <v>363</v>
      </c>
    </row>
    <row r="803" spans="1:14" x14ac:dyDescent="0.25">
      <c r="A803" s="41" t="str">
        <f>Table1[[#This Row],[Route]]&amp;TEXT(Table1[[#This Row],[SegmentID]],"00")</f>
        <v>160C32</v>
      </c>
      <c r="B803" t="s">
        <v>1357</v>
      </c>
      <c r="D803">
        <f>IFERROR(ROUND(VLOOKUP(Table1[[#This Row],[Route]],SegmentsPerRoute!$C$3:$L$297,8,FALSE)+(Table1[[#This Row],[Sequence]]-1)*VLOOKUP(Table1[[#This Row],[Route]],SegmentsPerRoute!$C$3:$L$297,10,FALSE),0), 0)</f>
        <v>32</v>
      </c>
      <c r="E803">
        <v>2</v>
      </c>
      <c r="F803" s="1">
        <v>350.76900000000001</v>
      </c>
      <c r="G803" t="s">
        <v>1361</v>
      </c>
      <c r="H803" s="1">
        <v>382.774</v>
      </c>
      <c r="I803" t="s">
        <v>1363</v>
      </c>
      <c r="K803" t="s">
        <v>1695</v>
      </c>
      <c r="L803" t="s">
        <v>2993</v>
      </c>
      <c r="M803" t="s">
        <v>2994</v>
      </c>
      <c r="N803" t="s">
        <v>1364</v>
      </c>
    </row>
    <row r="804" spans="1:14" x14ac:dyDescent="0.25">
      <c r="A804" s="41" t="str">
        <f>Table1[[#This Row],[Route]]&amp;TEXT(Table1[[#This Row],[SegmentID]],"00")</f>
        <v>160C49</v>
      </c>
      <c r="B804" t="s">
        <v>1357</v>
      </c>
      <c r="D804">
        <f>IFERROR(ROUND(VLOOKUP(Table1[[#This Row],[Route]],SegmentsPerRoute!$C$3:$L$297,8,FALSE)+(Table1[[#This Row],[Sequence]]-1)*VLOOKUP(Table1[[#This Row],[Route]],SegmentsPerRoute!$C$3:$L$297,10,FALSE),0), 0)</f>
        <v>49</v>
      </c>
      <c r="E804">
        <v>3</v>
      </c>
      <c r="F804" s="1">
        <v>382.774</v>
      </c>
      <c r="G804" t="s">
        <v>1363</v>
      </c>
      <c r="H804" s="1">
        <v>416.53100000000001</v>
      </c>
      <c r="I804" t="s">
        <v>1362</v>
      </c>
      <c r="K804" t="s">
        <v>1695</v>
      </c>
      <c r="L804" t="s">
        <v>2993</v>
      </c>
      <c r="M804" t="s">
        <v>2994</v>
      </c>
    </row>
    <row r="805" spans="1:14" x14ac:dyDescent="0.25">
      <c r="A805" s="41" t="str">
        <f>Table1[[#This Row],[Route]]&amp;TEXT(Table1[[#This Row],[SegmentID]],"00")</f>
        <v>160C65</v>
      </c>
      <c r="B805" t="s">
        <v>1357</v>
      </c>
      <c r="D805">
        <f>IFERROR(ROUND(VLOOKUP(Table1[[#This Row],[Route]],SegmentsPerRoute!$C$3:$L$297,8,FALSE)+(Table1[[#This Row],[Sequence]]-1)*VLOOKUP(Table1[[#This Row],[Route]],SegmentsPerRoute!$C$3:$L$297,10,FALSE),0), 0)</f>
        <v>65</v>
      </c>
      <c r="E805">
        <v>4</v>
      </c>
      <c r="F805" s="1">
        <v>416.53100000000001</v>
      </c>
      <c r="G805" t="s">
        <v>1362</v>
      </c>
      <c r="H805" s="1">
        <v>464.43299999999999</v>
      </c>
      <c r="I805" t="s">
        <v>1359</v>
      </c>
      <c r="K805" t="s">
        <v>1695</v>
      </c>
      <c r="L805" t="s">
        <v>2993</v>
      </c>
      <c r="M805" t="s">
        <v>2994</v>
      </c>
    </row>
    <row r="806" spans="1:14" x14ac:dyDescent="0.25">
      <c r="A806" s="41" t="str">
        <f>Table1[[#This Row],[Route]]&amp;TEXT(Table1[[#This Row],[SegmentID]],"00")</f>
        <v>160C82</v>
      </c>
      <c r="B806" t="s">
        <v>1357</v>
      </c>
      <c r="D806">
        <f>IFERROR(ROUND(VLOOKUP(Table1[[#This Row],[Route]],SegmentsPerRoute!$C$3:$L$297,8,FALSE)+(Table1[[#This Row],[Sequence]]-1)*VLOOKUP(Table1[[#This Row],[Route]],SegmentsPerRoute!$C$3:$L$297,10,FALSE),0), 0)</f>
        <v>82</v>
      </c>
      <c r="E806">
        <v>5</v>
      </c>
      <c r="F806" s="1">
        <v>464.43299999999999</v>
      </c>
      <c r="G806" t="s">
        <v>1359</v>
      </c>
      <c r="H806" s="1">
        <v>473.654</v>
      </c>
      <c r="I806" t="s">
        <v>1360</v>
      </c>
      <c r="K806" t="s">
        <v>1695</v>
      </c>
      <c r="L806" t="s">
        <v>2993</v>
      </c>
      <c r="M806" t="s">
        <v>2994</v>
      </c>
    </row>
    <row r="807" spans="1:14" x14ac:dyDescent="0.25">
      <c r="A807" s="41" t="str">
        <f>Table1[[#This Row],[Route]]&amp;TEXT(Table1[[#This Row],[SegmentID]],"00")</f>
        <v>160C99</v>
      </c>
      <c r="B807" t="s">
        <v>1357</v>
      </c>
      <c r="D807">
        <f>IFERROR(ROUND(VLOOKUP(Table1[[#This Row],[Route]],SegmentsPerRoute!$C$3:$L$297,8,FALSE)+(Table1[[#This Row],[Sequence]]-1)*VLOOKUP(Table1[[#This Row],[Route]],SegmentsPerRoute!$C$3:$L$297,10,FALSE),0), 0)</f>
        <v>99</v>
      </c>
      <c r="E807">
        <v>6</v>
      </c>
      <c r="F807" s="1">
        <v>473.654</v>
      </c>
      <c r="G807" t="s">
        <v>1360</v>
      </c>
      <c r="H807" s="1">
        <v>497.22300000000001</v>
      </c>
      <c r="I807" t="s">
        <v>250</v>
      </c>
      <c r="K807" t="s">
        <v>1695</v>
      </c>
      <c r="L807" t="s">
        <v>2993</v>
      </c>
      <c r="M807" t="s">
        <v>2994</v>
      </c>
    </row>
    <row r="808" spans="1:14" x14ac:dyDescent="0.25">
      <c r="A808" s="41" t="str">
        <f>Table1[[#This Row],[Route]]&amp;TEXT(Table1[[#This Row],[SegmentID]],"00")</f>
        <v>160D15</v>
      </c>
      <c r="B808" t="s">
        <v>1365</v>
      </c>
      <c r="C808" s="3" t="s">
        <v>1369</v>
      </c>
      <c r="D808">
        <f>IFERROR(ROUND(VLOOKUP(Table1[[#This Row],[Route]],SegmentsPerRoute!$C$3:$L$297,8,FALSE)+(Table1[[#This Row],[Sequence]]-1)*VLOOKUP(Table1[[#This Row],[Route]],SegmentsPerRoute!$C$3:$L$297,10,FALSE),0), 0)</f>
        <v>15</v>
      </c>
      <c r="E808">
        <v>1</v>
      </c>
      <c r="F808" s="1">
        <v>0</v>
      </c>
      <c r="G808" t="s">
        <v>1366</v>
      </c>
      <c r="H808" s="1">
        <v>1.4570000000000001</v>
      </c>
      <c r="I808" t="s">
        <v>1367</v>
      </c>
      <c r="J808" t="s">
        <v>4594</v>
      </c>
      <c r="K808" t="s">
        <v>1708</v>
      </c>
      <c r="N808" t="s">
        <v>1343</v>
      </c>
    </row>
    <row r="809" spans="1:14" x14ac:dyDescent="0.25">
      <c r="A809" s="41" t="str">
        <f>Table1[[#This Row],[Route]]&amp;TEXT(Table1[[#This Row],[SegmentID]],"00")</f>
        <v>160D85</v>
      </c>
      <c r="B809" t="s">
        <v>1365</v>
      </c>
      <c r="C809" s="3" t="s">
        <v>1370</v>
      </c>
      <c r="D809">
        <f>IFERROR(ROUND(VLOOKUP(Table1[[#This Row],[Route]],SegmentsPerRoute!$C$3:$L$297,8,FALSE)+(Table1[[#This Row],[Sequence]]-1)*VLOOKUP(Table1[[#This Row],[Route]],SegmentsPerRoute!$C$3:$L$297,10,FALSE),0), 0)</f>
        <v>85</v>
      </c>
      <c r="E809">
        <v>2</v>
      </c>
      <c r="F809" s="1">
        <v>1.4570000000000001</v>
      </c>
      <c r="G809" t="s">
        <v>1367</v>
      </c>
      <c r="H809" s="1">
        <v>2.488</v>
      </c>
      <c r="I809" t="s">
        <v>1368</v>
      </c>
      <c r="J809" t="s">
        <v>4594</v>
      </c>
      <c r="K809" t="s">
        <v>1708</v>
      </c>
      <c r="N809" t="s">
        <v>1344</v>
      </c>
    </row>
    <row r="810" spans="1:14" x14ac:dyDescent="0.25">
      <c r="A810" s="41" t="str">
        <f>Table1[[#This Row],[Route]]&amp;TEXT(Table1[[#This Row],[SegmentID]],"00")</f>
        <v>160Z15</v>
      </c>
      <c r="B810" t="s">
        <v>1371</v>
      </c>
      <c r="D810">
        <f>IFERROR(ROUND(VLOOKUP(Table1[[#This Row],[Route]],SegmentsPerRoute!$C$3:$L$297,8,FALSE)+(Table1[[#This Row],[Sequence]]-1)*VLOOKUP(Table1[[#This Row],[Route]],SegmentsPerRoute!$C$3:$L$297,10,FALSE),0), 0)</f>
        <v>15</v>
      </c>
      <c r="E810">
        <v>1</v>
      </c>
      <c r="F810" s="1">
        <v>0</v>
      </c>
      <c r="G810" t="s">
        <v>1372</v>
      </c>
      <c r="H810" s="1">
        <v>0.66400000000000003</v>
      </c>
      <c r="I810" t="s">
        <v>1334</v>
      </c>
      <c r="K810" t="s">
        <v>1694</v>
      </c>
      <c r="L810" t="s">
        <v>2984</v>
      </c>
      <c r="M810" t="s">
        <v>2095</v>
      </c>
    </row>
    <row r="811" spans="1:14" x14ac:dyDescent="0.25">
      <c r="A811" s="41" t="str">
        <f>Table1[[#This Row],[Route]]&amp;TEXT(Table1[[#This Row],[SegmentID]],"00")</f>
        <v>160Z85</v>
      </c>
      <c r="B811" t="s">
        <v>1371</v>
      </c>
      <c r="D811">
        <f>IFERROR(ROUND(VLOOKUP(Table1[[#This Row],[Route]],SegmentsPerRoute!$C$3:$L$297,8,FALSE)+(Table1[[#This Row],[Sequence]]-1)*VLOOKUP(Table1[[#This Row],[Route]],SegmentsPerRoute!$C$3:$L$297,10,FALSE),0), 0)</f>
        <v>85</v>
      </c>
      <c r="E811">
        <v>2</v>
      </c>
      <c r="F811" s="1">
        <v>0.66400000000000003</v>
      </c>
      <c r="G811" t="s">
        <v>1334</v>
      </c>
      <c r="H811" s="1">
        <v>0.92900000000000005</v>
      </c>
      <c r="I811" t="s">
        <v>1373</v>
      </c>
      <c r="K811" t="s">
        <v>1694</v>
      </c>
      <c r="L811" t="s">
        <v>2985</v>
      </c>
      <c r="M811" t="s">
        <v>2095</v>
      </c>
    </row>
    <row r="812" spans="1:14" ht="45" x14ac:dyDescent="0.25">
      <c r="A812" s="41" t="str">
        <f>Table1[[#This Row],[Route]]&amp;TEXT(Table1[[#This Row],[SegmentID]],"00")</f>
        <v>165A15</v>
      </c>
      <c r="B812" t="s">
        <v>1374</v>
      </c>
      <c r="D812">
        <f>IFERROR(ROUND(VLOOKUP(Table1[[#This Row],[Route]],SegmentsPerRoute!$C$3:$L$297,8,FALSE)+(Table1[[#This Row],[Sequence]]-1)*VLOOKUP(Table1[[#This Row],[Route]],SegmentsPerRoute!$C$3:$L$297,10,FALSE),0), 0)</f>
        <v>15</v>
      </c>
      <c r="E812">
        <v>1</v>
      </c>
      <c r="F812" s="1">
        <v>0</v>
      </c>
      <c r="G812" t="s">
        <v>1375</v>
      </c>
      <c r="H812" s="1">
        <v>15.31</v>
      </c>
      <c r="I812" t="s">
        <v>1376</v>
      </c>
      <c r="K812" t="s">
        <v>1693</v>
      </c>
      <c r="L812" t="s">
        <v>2996</v>
      </c>
      <c r="M812" t="s">
        <v>2997</v>
      </c>
      <c r="N812" s="4" t="s">
        <v>1378</v>
      </c>
    </row>
    <row r="813" spans="1:14" ht="45" x14ac:dyDescent="0.25">
      <c r="A813" s="41" t="str">
        <f>Table1[[#This Row],[Route]]&amp;TEXT(Table1[[#This Row],[SegmentID]],"00")</f>
        <v>165A85</v>
      </c>
      <c r="B813" t="s">
        <v>1374</v>
      </c>
      <c r="D813">
        <f>IFERROR(ROUND(VLOOKUP(Table1[[#This Row],[Route]],SegmentsPerRoute!$C$3:$L$297,8,FALSE)+(Table1[[#This Row],[Sequence]]-1)*VLOOKUP(Table1[[#This Row],[Route]],SegmentsPerRoute!$C$3:$L$297,10,FALSE),0), 0)</f>
        <v>85</v>
      </c>
      <c r="E813">
        <v>2</v>
      </c>
      <c r="F813" s="1">
        <v>15.31</v>
      </c>
      <c r="G813" t="s">
        <v>1376</v>
      </c>
      <c r="H813" s="1">
        <v>36.893999999999998</v>
      </c>
      <c r="I813" t="s">
        <v>1377</v>
      </c>
      <c r="K813" t="s">
        <v>1693</v>
      </c>
      <c r="L813" t="s">
        <v>2996</v>
      </c>
      <c r="M813" t="s">
        <v>2997</v>
      </c>
      <c r="N813" s="4" t="s">
        <v>1379</v>
      </c>
    </row>
    <row r="814" spans="1:14" x14ac:dyDescent="0.25">
      <c r="A814" s="41" t="str">
        <f>Table1[[#This Row],[Route]]&amp;TEXT(Table1[[#This Row],[SegmentID]],"00")</f>
        <v>167A15</v>
      </c>
      <c r="B814" t="s">
        <v>1380</v>
      </c>
      <c r="D814">
        <f>IFERROR(ROUND(VLOOKUP(Table1[[#This Row],[Route]],SegmentsPerRoute!$C$3:$L$297,8,FALSE)+(Table1[[#This Row],[Sequence]]-1)*VLOOKUP(Table1[[#This Row],[Route]],SegmentsPerRoute!$C$3:$L$297,10,FALSE),0), 0)</f>
        <v>15</v>
      </c>
      <c r="E814">
        <v>1</v>
      </c>
      <c r="F814" s="1">
        <v>0</v>
      </c>
      <c r="G814" t="s">
        <v>1419</v>
      </c>
      <c r="H814" s="1">
        <v>1.673</v>
      </c>
      <c r="I814" t="s">
        <v>1381</v>
      </c>
      <c r="K814" t="s">
        <v>1692</v>
      </c>
      <c r="L814" t="s">
        <v>2998</v>
      </c>
      <c r="M814" t="s">
        <v>2999</v>
      </c>
      <c r="N814" t="s">
        <v>269</v>
      </c>
    </row>
    <row r="815" spans="1:14" x14ac:dyDescent="0.25">
      <c r="A815" s="41" t="str">
        <f>Table1[[#This Row],[Route]]&amp;TEXT(Table1[[#This Row],[SegmentID]],"00")</f>
        <v>167A85</v>
      </c>
      <c r="B815" t="s">
        <v>1380</v>
      </c>
      <c r="D815">
        <f>IFERROR(ROUND(VLOOKUP(Table1[[#This Row],[Route]],SegmentsPerRoute!$C$3:$L$297,8,FALSE)+(Table1[[#This Row],[Sequence]]-1)*VLOOKUP(Table1[[#This Row],[Route]],SegmentsPerRoute!$C$3:$L$297,10,FALSE),0), 0)</f>
        <v>85</v>
      </c>
      <c r="E815">
        <v>2</v>
      </c>
      <c r="F815" s="1">
        <v>1.673</v>
      </c>
      <c r="G815" t="s">
        <v>1381</v>
      </c>
      <c r="H815" s="1">
        <v>4.8600000000000003</v>
      </c>
      <c r="I815" t="s">
        <v>1382</v>
      </c>
      <c r="J815" t="s">
        <v>21</v>
      </c>
      <c r="K815" t="s">
        <v>1692</v>
      </c>
    </row>
    <row r="816" spans="1:14" x14ac:dyDescent="0.25">
      <c r="A816" s="41" t="str">
        <f>Table1[[#This Row],[Route]]&amp;TEXT(Table1[[#This Row],[SegmentID]],"00")</f>
        <v>170A15</v>
      </c>
      <c r="B816" t="s">
        <v>1383</v>
      </c>
      <c r="D816">
        <f>IFERROR(ROUND(VLOOKUP(Table1[[#This Row],[Route]],SegmentsPerRoute!$C$3:$L$297,8,FALSE)+(Table1[[#This Row],[Sequence]]-1)*VLOOKUP(Table1[[#This Row],[Route]],SegmentsPerRoute!$C$3:$L$297,10,FALSE),0), 0)</f>
        <v>15</v>
      </c>
      <c r="E816">
        <v>1</v>
      </c>
      <c r="F816" s="1">
        <v>0</v>
      </c>
      <c r="G816" t="s">
        <v>1420</v>
      </c>
      <c r="H816" s="1">
        <v>2.7250000000000001</v>
      </c>
      <c r="I816" t="s">
        <v>904</v>
      </c>
      <c r="J816" t="s">
        <v>21</v>
      </c>
      <c r="K816" t="s">
        <v>1692</v>
      </c>
      <c r="N816" t="s">
        <v>1064</v>
      </c>
    </row>
    <row r="817" spans="1:14" x14ac:dyDescent="0.25">
      <c r="A817" s="41" t="str">
        <f>Table1[[#This Row],[Route]]&amp;TEXT(Table1[[#This Row],[SegmentID]],"00")</f>
        <v>170A85</v>
      </c>
      <c r="B817" t="s">
        <v>1383</v>
      </c>
      <c r="D817">
        <f>IFERROR(ROUND(VLOOKUP(Table1[[#This Row],[Route]],SegmentsPerRoute!$C$3:$L$297,8,FALSE)+(Table1[[#This Row],[Sequence]]-1)*VLOOKUP(Table1[[#This Row],[Route]],SegmentsPerRoute!$C$3:$L$297,10,FALSE),0), 0)</f>
        <v>85</v>
      </c>
      <c r="E817">
        <v>2</v>
      </c>
      <c r="F817" s="1">
        <v>2.7250000000000001</v>
      </c>
      <c r="G817" t="s">
        <v>904</v>
      </c>
      <c r="H817" s="1">
        <v>6.9779999999999998</v>
      </c>
      <c r="I817" t="s">
        <v>1384</v>
      </c>
      <c r="K817" t="s">
        <v>1692</v>
      </c>
      <c r="L817" t="s">
        <v>3000</v>
      </c>
      <c r="M817" t="s">
        <v>3001</v>
      </c>
    </row>
    <row r="818" spans="1:14" x14ac:dyDescent="0.25">
      <c r="A818" s="41" t="str">
        <f>Table1[[#This Row],[Route]]&amp;TEXT(Table1[[#This Row],[SegmentID]],"00")</f>
        <v>172A01</v>
      </c>
      <c r="B818" t="s">
        <v>1385</v>
      </c>
      <c r="C818" s="3" t="s">
        <v>1388</v>
      </c>
      <c r="D818">
        <f>IFERROR(ROUND(VLOOKUP(Table1[[#This Row],[Route]],SegmentsPerRoute!$C$3:$L$297,8,FALSE)+(Table1[[#This Row],[Sequence]]-1)*VLOOKUP(Table1[[#This Row],[Route]],SegmentsPerRoute!$C$3:$L$297,10,FALSE),0), 0)</f>
        <v>1</v>
      </c>
      <c r="E818">
        <v>1</v>
      </c>
      <c r="F818" s="1">
        <v>0</v>
      </c>
      <c r="G818" t="s">
        <v>231</v>
      </c>
      <c r="H818" s="1">
        <v>8.9030000000000005</v>
      </c>
      <c r="I818" t="s">
        <v>1386</v>
      </c>
      <c r="K818" t="s">
        <v>1700</v>
      </c>
      <c r="L818" t="s">
        <v>3002</v>
      </c>
      <c r="M818" t="s">
        <v>3005</v>
      </c>
      <c r="N818" t="s">
        <v>1390</v>
      </c>
    </row>
    <row r="819" spans="1:14" ht="30" x14ac:dyDescent="0.25">
      <c r="A819" s="41" t="str">
        <f>Table1[[#This Row],[Route]]&amp;TEXT(Table1[[#This Row],[SegmentID]],"00")</f>
        <v>172A85</v>
      </c>
      <c r="B819" t="s">
        <v>1385</v>
      </c>
      <c r="C819" s="3" t="s">
        <v>1389</v>
      </c>
      <c r="D819">
        <f>IFERROR(ROUND(VLOOKUP(Table1[[#This Row],[Route]],SegmentsPerRoute!$C$3:$L$297,8,FALSE)+(Table1[[#This Row],[Sequence]]-1)*VLOOKUP(Table1[[#This Row],[Route]],SegmentsPerRoute!$C$3:$L$297,10,FALSE),0), 0)</f>
        <v>85</v>
      </c>
      <c r="E819">
        <v>2</v>
      </c>
      <c r="F819" s="1">
        <v>8.9030000000000005</v>
      </c>
      <c r="G819" t="s">
        <v>1386</v>
      </c>
      <c r="H819" s="1">
        <v>24.498999999999999</v>
      </c>
      <c r="I819" t="s">
        <v>1387</v>
      </c>
      <c r="K819" t="s">
        <v>1700</v>
      </c>
      <c r="L819" t="s">
        <v>3003</v>
      </c>
      <c r="M819" t="s">
        <v>3004</v>
      </c>
      <c r="N819" s="4" t="s">
        <v>1391</v>
      </c>
    </row>
    <row r="820" spans="1:14" x14ac:dyDescent="0.25">
      <c r="A820" s="41" t="str">
        <f>Table1[[#This Row],[Route]]&amp;TEXT(Table1[[#This Row],[SegmentID]],"00")</f>
        <v>177A15</v>
      </c>
      <c r="B820" t="s">
        <v>1392</v>
      </c>
      <c r="D820">
        <f>IFERROR(ROUND(VLOOKUP(Table1[[#This Row],[Route]],SegmentsPerRoute!$C$3:$L$297,8,FALSE)+(Table1[[#This Row],[Sequence]]-1)*VLOOKUP(Table1[[#This Row],[Route]],SegmentsPerRoute!$C$3:$L$297,10,FALSE),0), 0)</f>
        <v>15</v>
      </c>
      <c r="E820">
        <v>1</v>
      </c>
      <c r="F820" s="1">
        <v>0</v>
      </c>
      <c r="G820" t="s">
        <v>1393</v>
      </c>
      <c r="H820" s="1">
        <v>4.117</v>
      </c>
      <c r="I820" t="s">
        <v>331</v>
      </c>
      <c r="K820" t="s">
        <v>1692</v>
      </c>
      <c r="L820" t="s">
        <v>3006</v>
      </c>
      <c r="M820" t="s">
        <v>3007</v>
      </c>
      <c r="N820" t="s">
        <v>370</v>
      </c>
    </row>
    <row r="821" spans="1:14" x14ac:dyDescent="0.25">
      <c r="A821" s="41" t="str">
        <f>Table1[[#This Row],[Route]]&amp;TEXT(Table1[[#This Row],[SegmentID]],"00")</f>
        <v>177A85</v>
      </c>
      <c r="B821" t="s">
        <v>1392</v>
      </c>
      <c r="D821">
        <f>IFERROR(ROUND(VLOOKUP(Table1[[#This Row],[Route]],SegmentsPerRoute!$C$3:$L$297,8,FALSE)+(Table1[[#This Row],[Sequence]]-1)*VLOOKUP(Table1[[#This Row],[Route]],SegmentsPerRoute!$C$3:$L$297,10,FALSE),0), 0)</f>
        <v>85</v>
      </c>
      <c r="E821">
        <v>2</v>
      </c>
      <c r="F821" s="1">
        <v>4.117</v>
      </c>
      <c r="G821" t="s">
        <v>331</v>
      </c>
      <c r="H821" s="1">
        <v>6.1109999999999998</v>
      </c>
      <c r="I821" t="s">
        <v>985</v>
      </c>
      <c r="K821" t="s">
        <v>1692</v>
      </c>
      <c r="L821" t="s">
        <v>3006</v>
      </c>
      <c r="M821" t="s">
        <v>3007</v>
      </c>
    </row>
    <row r="822" spans="1:14" x14ac:dyDescent="0.25">
      <c r="A822" s="41" t="str">
        <f>Table1[[#This Row],[Route]]&amp;TEXT(Table1[[#This Row],[SegmentID]],"00")</f>
        <v>183A15</v>
      </c>
      <c r="B822" t="s">
        <v>1394</v>
      </c>
      <c r="D822">
        <f>IFERROR(ROUND(VLOOKUP(Table1[[#This Row],[Route]],SegmentsPerRoute!$C$3:$L$297,8,FALSE)+(Table1[[#This Row],[Sequence]]-1)*VLOOKUP(Table1[[#This Row],[Route]],SegmentsPerRoute!$C$3:$L$297,10,FALSE),0), 0)</f>
        <v>15</v>
      </c>
      <c r="E822">
        <v>1</v>
      </c>
      <c r="F822" s="1">
        <v>0</v>
      </c>
      <c r="G822" t="s">
        <v>1395</v>
      </c>
      <c r="H822" s="1">
        <v>1</v>
      </c>
      <c r="I822" t="s">
        <v>1396</v>
      </c>
      <c r="J822" t="s">
        <v>21</v>
      </c>
      <c r="K822" t="s">
        <v>1710</v>
      </c>
    </row>
    <row r="823" spans="1:14" ht="30" x14ac:dyDescent="0.25">
      <c r="A823" s="41" t="str">
        <f>Table1[[#This Row],[Route]]&amp;TEXT(Table1[[#This Row],[SegmentID]],"00")</f>
        <v>184A15</v>
      </c>
      <c r="B823" t="s">
        <v>1397</v>
      </c>
      <c r="D823">
        <f>IFERROR(ROUND(VLOOKUP(Table1[[#This Row],[Route]],SegmentsPerRoute!$C$3:$L$297,8,FALSE)+(Table1[[#This Row],[Sequence]]-1)*VLOOKUP(Table1[[#This Row],[Route]],SegmentsPerRoute!$C$3:$L$297,10,FALSE),0), 0)</f>
        <v>15</v>
      </c>
      <c r="E823">
        <v>1</v>
      </c>
      <c r="F823" s="1">
        <v>0</v>
      </c>
      <c r="G823" t="s">
        <v>1398</v>
      </c>
      <c r="H823" s="1">
        <v>8.1590000000000007</v>
      </c>
      <c r="I823" t="s">
        <v>1399</v>
      </c>
      <c r="K823" t="s">
        <v>1692</v>
      </c>
      <c r="L823" t="s">
        <v>3008</v>
      </c>
      <c r="M823" t="s">
        <v>3009</v>
      </c>
      <c r="N823" s="4" t="s">
        <v>1400</v>
      </c>
    </row>
    <row r="824" spans="1:14" x14ac:dyDescent="0.25">
      <c r="A824" s="41" t="str">
        <f>Table1[[#This Row],[Route]]&amp;TEXT(Table1[[#This Row],[SegmentID]],"00")</f>
        <v>184B15</v>
      </c>
      <c r="B824" t="s">
        <v>1401</v>
      </c>
      <c r="C824" s="3" t="s">
        <v>1404</v>
      </c>
      <c r="D824">
        <f>IFERROR(ROUND(VLOOKUP(Table1[[#This Row],[Route]],SegmentsPerRoute!$C$3:$L$297,8,FALSE)+(Table1[[#This Row],[Sequence]]-1)*VLOOKUP(Table1[[#This Row],[Route]],SegmentsPerRoute!$C$3:$L$297,10,FALSE),0), 0)</f>
        <v>15</v>
      </c>
      <c r="E824">
        <v>1</v>
      </c>
      <c r="F824" s="1">
        <v>8.9</v>
      </c>
      <c r="G824" t="s">
        <v>1399</v>
      </c>
      <c r="H824" s="1">
        <v>26.443999999999999</v>
      </c>
      <c r="I824" t="s">
        <v>1402</v>
      </c>
      <c r="J824" t="s">
        <v>4616</v>
      </c>
      <c r="K824" t="s">
        <v>1708</v>
      </c>
      <c r="N824" t="s">
        <v>1406</v>
      </c>
    </row>
    <row r="825" spans="1:14" x14ac:dyDescent="0.25">
      <c r="A825" s="41" t="str">
        <f>Table1[[#This Row],[Route]]&amp;TEXT(Table1[[#This Row],[SegmentID]],"00")</f>
        <v>184B85</v>
      </c>
      <c r="B825" t="s">
        <v>1401</v>
      </c>
      <c r="C825" s="3" t="s">
        <v>1405</v>
      </c>
      <c r="D825">
        <f>IFERROR(ROUND(VLOOKUP(Table1[[#This Row],[Route]],SegmentsPerRoute!$C$3:$L$297,8,FALSE)+(Table1[[#This Row],[Sequence]]-1)*VLOOKUP(Table1[[#This Row],[Route]],SegmentsPerRoute!$C$3:$L$297,10,FALSE),0), 0)</f>
        <v>85</v>
      </c>
      <c r="E825">
        <v>2</v>
      </c>
      <c r="F825" s="1">
        <v>26.443999999999999</v>
      </c>
      <c r="G825" t="s">
        <v>1402</v>
      </c>
      <c r="H825" s="1">
        <v>26.599</v>
      </c>
      <c r="I825" t="s">
        <v>1403</v>
      </c>
      <c r="K825" t="s">
        <v>1708</v>
      </c>
      <c r="L825" t="s">
        <v>3010</v>
      </c>
      <c r="M825" t="s">
        <v>3011</v>
      </c>
      <c r="N825" t="s">
        <v>1344</v>
      </c>
    </row>
    <row r="826" spans="1:14" x14ac:dyDescent="0.25">
      <c r="A826" s="41" t="str">
        <f>Table1[[#This Row],[Route]]&amp;TEXT(Table1[[#This Row],[SegmentID]],"00")</f>
        <v>194A15</v>
      </c>
      <c r="B826" t="s">
        <v>1407</v>
      </c>
      <c r="D826">
        <f>IFERROR(ROUND(VLOOKUP(Table1[[#This Row],[Route]],SegmentsPerRoute!$C$3:$L$297,8,FALSE)+(Table1[[#This Row],[Sequence]]-1)*VLOOKUP(Table1[[#This Row],[Route]],SegmentsPerRoute!$C$3:$L$297,10,FALSE),0), 0)</f>
        <v>15</v>
      </c>
      <c r="E826">
        <v>1</v>
      </c>
      <c r="F826" s="1">
        <v>0</v>
      </c>
      <c r="G826" t="s">
        <v>1408</v>
      </c>
      <c r="H826" s="1">
        <v>20.327000000000002</v>
      </c>
      <c r="I826" t="s">
        <v>1409</v>
      </c>
      <c r="J826" t="s">
        <v>4617</v>
      </c>
      <c r="K826" t="s">
        <v>1692</v>
      </c>
      <c r="N826" t="s">
        <v>269</v>
      </c>
    </row>
    <row r="827" spans="1:14" x14ac:dyDescent="0.25">
      <c r="A827" s="41" t="str">
        <f>Table1[[#This Row],[Route]]&amp;TEXT(Table1[[#This Row],[SegmentID]],"00")</f>
        <v>196A15</v>
      </c>
      <c r="B827" t="s">
        <v>1410</v>
      </c>
      <c r="D827">
        <f>IFERROR(ROUND(VLOOKUP(Table1[[#This Row],[Route]],SegmentsPerRoute!$C$3:$L$297,8,FALSE)+(Table1[[#This Row],[Sequence]]-1)*VLOOKUP(Table1[[#This Row],[Route]],SegmentsPerRoute!$C$3:$L$297,10,FALSE),0), 0)</f>
        <v>15</v>
      </c>
      <c r="E827">
        <v>1</v>
      </c>
      <c r="F827" s="1">
        <v>0</v>
      </c>
      <c r="G827" t="s">
        <v>1411</v>
      </c>
      <c r="H827" s="1">
        <v>8.9220000000000006</v>
      </c>
      <c r="I827" t="s">
        <v>1412</v>
      </c>
      <c r="J827" t="s">
        <v>4618</v>
      </c>
      <c r="K827" t="s">
        <v>1692</v>
      </c>
      <c r="N827" t="s">
        <v>1413</v>
      </c>
    </row>
    <row r="828" spans="1:14" x14ac:dyDescent="0.25">
      <c r="A828" s="41" t="str">
        <f>Table1[[#This Row],[Route]]&amp;TEXT(Table1[[#This Row],[SegmentID]],"00")</f>
        <v>202A15</v>
      </c>
      <c r="B828" t="s">
        <v>1414</v>
      </c>
      <c r="D828">
        <f>IFERROR(ROUND(VLOOKUP(Table1[[#This Row],[Route]],SegmentsPerRoute!$C$3:$L$297,8,FALSE)+(Table1[[#This Row],[Sequence]]-1)*VLOOKUP(Table1[[#This Row],[Route]],SegmentsPerRoute!$C$3:$L$297,10,FALSE),0), 0)</f>
        <v>15</v>
      </c>
      <c r="E828">
        <v>1</v>
      </c>
      <c r="F828" s="1">
        <v>0</v>
      </c>
      <c r="G828" t="s">
        <v>650</v>
      </c>
      <c r="H828" s="1">
        <v>0.11</v>
      </c>
      <c r="I828" t="s">
        <v>683</v>
      </c>
      <c r="K828" s="10" t="s">
        <v>1711</v>
      </c>
      <c r="L828" s="10" t="s">
        <v>3012</v>
      </c>
      <c r="M828" s="10" t="s">
        <v>3013</v>
      </c>
    </row>
    <row r="829" spans="1:14" x14ac:dyDescent="0.25">
      <c r="A829" s="41" t="str">
        <f>Table1[[#This Row],[Route]]&amp;TEXT(Table1[[#This Row],[SegmentID]],"00")</f>
        <v>202A85</v>
      </c>
      <c r="B829" t="s">
        <v>1414</v>
      </c>
      <c r="D829">
        <f>IFERROR(ROUND(VLOOKUP(Table1[[#This Row],[Route]],SegmentsPerRoute!$C$3:$L$297,8,FALSE)+(Table1[[#This Row],[Sequence]]-1)*VLOOKUP(Table1[[#This Row],[Route]],SegmentsPerRoute!$C$3:$L$297,10,FALSE),0), 0)</f>
        <v>85</v>
      </c>
      <c r="E829">
        <v>2</v>
      </c>
      <c r="F829" s="1">
        <v>0.11</v>
      </c>
      <c r="G829" t="s">
        <v>683</v>
      </c>
      <c r="H829" s="1">
        <v>3.2280000000000002</v>
      </c>
      <c r="I829" t="s">
        <v>1415</v>
      </c>
      <c r="J829" t="s">
        <v>21</v>
      </c>
      <c r="K829" s="10" t="s">
        <v>1711</v>
      </c>
      <c r="L829" s="10"/>
      <c r="M829" s="10"/>
    </row>
    <row r="830" spans="1:14" x14ac:dyDescent="0.25">
      <c r="A830" s="41" t="str">
        <f>Table1[[#This Row],[Route]]&amp;TEXT(Table1[[#This Row],[SegmentID]],"00")</f>
        <v>207A15</v>
      </c>
      <c r="B830" t="s">
        <v>1416</v>
      </c>
      <c r="D830">
        <f>IFERROR(ROUND(VLOOKUP(Table1[[#This Row],[Route]],SegmentsPerRoute!$C$3:$L$297,8,FALSE)+(Table1[[#This Row],[Sequence]]-1)*VLOOKUP(Table1[[#This Row],[Route]],SegmentsPerRoute!$C$3:$L$297,10,FALSE),0), 0)</f>
        <v>15</v>
      </c>
      <c r="E830">
        <v>1</v>
      </c>
      <c r="F830" s="1">
        <v>0</v>
      </c>
      <c r="G830" t="s">
        <v>1417</v>
      </c>
      <c r="H830" s="1">
        <v>5.9349999999999996</v>
      </c>
      <c r="I830" t="s">
        <v>1418</v>
      </c>
      <c r="K830" t="s">
        <v>1692</v>
      </c>
      <c r="L830" t="s">
        <v>3014</v>
      </c>
      <c r="M830" t="s">
        <v>3015</v>
      </c>
      <c r="N830" t="s">
        <v>269</v>
      </c>
    </row>
    <row r="831" spans="1:14" x14ac:dyDescent="0.25">
      <c r="A831" s="41" t="str">
        <f>Table1[[#This Row],[Route]]&amp;TEXT(Table1[[#This Row],[SegmentID]],"00")</f>
        <v>209A15</v>
      </c>
      <c r="B831" t="s">
        <v>1421</v>
      </c>
      <c r="D831">
        <f>IFERROR(ROUND(VLOOKUP(Table1[[#This Row],[Route]],SegmentsPerRoute!$C$3:$L$297,8,FALSE)+(Table1[[#This Row],[Sequence]]-1)*VLOOKUP(Table1[[#This Row],[Route]],SegmentsPerRoute!$C$3:$L$297,10,FALSE),0), 0)</f>
        <v>15</v>
      </c>
      <c r="E831">
        <v>1</v>
      </c>
      <c r="F831" s="1">
        <v>0</v>
      </c>
      <c r="G831" t="s">
        <v>1422</v>
      </c>
      <c r="H831" s="1">
        <v>1.528</v>
      </c>
      <c r="I831" t="s">
        <v>1423</v>
      </c>
      <c r="K831" t="s">
        <v>1692</v>
      </c>
      <c r="L831" t="s">
        <v>3016</v>
      </c>
      <c r="M831" t="s">
        <v>3017</v>
      </c>
      <c r="N831" t="s">
        <v>269</v>
      </c>
    </row>
    <row r="832" spans="1:14" x14ac:dyDescent="0.25">
      <c r="A832" s="41" t="str">
        <f>Table1[[#This Row],[Route]]&amp;TEXT(Table1[[#This Row],[SegmentID]],"00")</f>
        <v>224A15</v>
      </c>
      <c r="B832" t="s">
        <v>1424</v>
      </c>
      <c r="C832" s="3" t="s">
        <v>1428</v>
      </c>
      <c r="D832">
        <f>IFERROR(ROUND(VLOOKUP(Table1[[#This Row],[Route]],SegmentsPerRoute!$C$3:$L$297,8,FALSE)+(Table1[[#This Row],[Sequence]]-1)*VLOOKUP(Table1[[#This Row],[Route]],SegmentsPerRoute!$C$3:$L$297,10,FALSE),0), 0)</f>
        <v>15</v>
      </c>
      <c r="E832">
        <v>1</v>
      </c>
      <c r="F832" s="1">
        <v>0</v>
      </c>
      <c r="G832" t="s">
        <v>1425</v>
      </c>
      <c r="H832" s="1">
        <v>0.26800000000000002</v>
      </c>
      <c r="I832" t="s">
        <v>1426</v>
      </c>
      <c r="K832" t="s">
        <v>1708</v>
      </c>
      <c r="L832" t="s">
        <v>3018</v>
      </c>
      <c r="M832" t="s">
        <v>3023</v>
      </c>
    </row>
    <row r="833" spans="1:14" x14ac:dyDescent="0.25">
      <c r="A833" s="41" t="str">
        <f>Table1[[#This Row],[Route]]&amp;TEXT(Table1[[#This Row],[SegmentID]],"00")</f>
        <v>224A38</v>
      </c>
      <c r="B833" t="s">
        <v>1424</v>
      </c>
      <c r="C833" s="3" t="s">
        <v>1429</v>
      </c>
      <c r="D833">
        <f>IFERROR(ROUND(VLOOKUP(Table1[[#This Row],[Route]],SegmentsPerRoute!$C$3:$L$297,8,FALSE)+(Table1[[#This Row],[Sequence]]-1)*VLOOKUP(Table1[[#This Row],[Route]],SegmentsPerRoute!$C$3:$L$297,10,FALSE),0), 0)</f>
        <v>38</v>
      </c>
      <c r="E833">
        <v>2</v>
      </c>
      <c r="F833" s="1">
        <v>0.26800000000000002</v>
      </c>
      <c r="G833" t="s">
        <v>1426</v>
      </c>
      <c r="H833" s="1">
        <v>0.47399999999999998</v>
      </c>
      <c r="I833" t="s">
        <v>1430</v>
      </c>
      <c r="K833" t="s">
        <v>1708</v>
      </c>
      <c r="L833" t="s">
        <v>3019</v>
      </c>
      <c r="M833" t="s">
        <v>3022</v>
      </c>
    </row>
    <row r="834" spans="1:14" x14ac:dyDescent="0.25">
      <c r="A834" s="41" t="str">
        <f>Table1[[#This Row],[Route]]&amp;TEXT(Table1[[#This Row],[SegmentID]],"00")</f>
        <v>224A62</v>
      </c>
      <c r="B834" t="s">
        <v>1424</v>
      </c>
      <c r="C834" s="3" t="s">
        <v>1429</v>
      </c>
      <c r="D834">
        <f>IFERROR(ROUND(VLOOKUP(Table1[[#This Row],[Route]],SegmentsPerRoute!$C$3:$L$297,8,FALSE)+(Table1[[#This Row],[Sequence]]-1)*VLOOKUP(Table1[[#This Row],[Route]],SegmentsPerRoute!$C$3:$L$297,10,FALSE),0), 0)</f>
        <v>62</v>
      </c>
      <c r="E834">
        <v>3</v>
      </c>
      <c r="F834" s="1">
        <v>0.47399999999999998</v>
      </c>
      <c r="G834" t="s">
        <v>1430</v>
      </c>
      <c r="H834" s="1">
        <v>2.75</v>
      </c>
      <c r="I834" t="s">
        <v>87</v>
      </c>
      <c r="K834" t="s">
        <v>1708</v>
      </c>
      <c r="L834" t="s">
        <v>3019</v>
      </c>
      <c r="M834" t="s">
        <v>3022</v>
      </c>
      <c r="N834" t="s">
        <v>935</v>
      </c>
    </row>
    <row r="835" spans="1:14" x14ac:dyDescent="0.25">
      <c r="A835" s="41" t="str">
        <f>Table1[[#This Row],[Route]]&amp;TEXT(Table1[[#This Row],[SegmentID]],"00")</f>
        <v>224A85</v>
      </c>
      <c r="B835" t="s">
        <v>1424</v>
      </c>
      <c r="C835" s="3" t="s">
        <v>1429</v>
      </c>
      <c r="D835">
        <f>IFERROR(ROUND(VLOOKUP(Table1[[#This Row],[Route]],SegmentsPerRoute!$C$3:$L$297,8,FALSE)+(Table1[[#This Row],[Sequence]]-1)*VLOOKUP(Table1[[#This Row],[Route]],SegmentsPerRoute!$C$3:$L$297,10,FALSE),0), 0)</f>
        <v>85</v>
      </c>
      <c r="E835">
        <v>4</v>
      </c>
      <c r="F835" s="1">
        <v>2.75</v>
      </c>
      <c r="G835" t="s">
        <v>87</v>
      </c>
      <c r="H835" s="1">
        <v>3.6339999999999999</v>
      </c>
      <c r="I835" t="s">
        <v>1427</v>
      </c>
      <c r="K835" t="s">
        <v>1708</v>
      </c>
      <c r="L835" t="s">
        <v>3020</v>
      </c>
      <c r="M835" t="s">
        <v>3021</v>
      </c>
    </row>
    <row r="836" spans="1:14" x14ac:dyDescent="0.25">
      <c r="A836" s="41" t="str">
        <f>Table1[[#This Row],[Route]]&amp;TEXT(Table1[[#This Row],[SegmentID]],"00")</f>
        <v>225A15</v>
      </c>
      <c r="B836" t="s">
        <v>1431</v>
      </c>
      <c r="D836">
        <f>IFERROR(ROUND(VLOOKUP(Table1[[#This Row],[Route]],SegmentsPerRoute!$C$3:$L$297,8,FALSE)+(Table1[[#This Row],[Sequence]]-1)*VLOOKUP(Table1[[#This Row],[Route]],SegmentsPerRoute!$C$3:$L$297,10,FALSE),0), 0)</f>
        <v>15</v>
      </c>
      <c r="E836">
        <v>1</v>
      </c>
      <c r="F836" s="1">
        <v>0</v>
      </c>
      <c r="G836" t="s">
        <v>1432</v>
      </c>
      <c r="H836" s="1">
        <v>3.9369999999999998</v>
      </c>
      <c r="I836" t="s">
        <v>1433</v>
      </c>
      <c r="K836" t="s">
        <v>1692</v>
      </c>
      <c r="L836" t="s">
        <v>3024</v>
      </c>
      <c r="M836" t="s">
        <v>3030</v>
      </c>
      <c r="N836" t="s">
        <v>392</v>
      </c>
    </row>
    <row r="837" spans="1:14" x14ac:dyDescent="0.25">
      <c r="A837" s="41" t="str">
        <f>Table1[[#This Row],[Route]]&amp;TEXT(Table1[[#This Row],[SegmentID]],"00")</f>
        <v>225A38</v>
      </c>
      <c r="B837" t="s">
        <v>1431</v>
      </c>
      <c r="D837">
        <f>IFERROR(ROUND(VLOOKUP(Table1[[#This Row],[Route]],SegmentsPerRoute!$C$3:$L$297,8,FALSE)+(Table1[[#This Row],[Sequence]]-1)*VLOOKUP(Table1[[#This Row],[Route]],SegmentsPerRoute!$C$3:$L$297,10,FALSE),0), 0)</f>
        <v>38</v>
      </c>
      <c r="E837">
        <v>2</v>
      </c>
      <c r="F837" s="1">
        <v>3.9369999999999998</v>
      </c>
      <c r="G837" t="s">
        <v>1433</v>
      </c>
      <c r="H837" s="1">
        <v>8.9540000000000006</v>
      </c>
      <c r="I837" t="s">
        <v>1434</v>
      </c>
      <c r="K837" t="s">
        <v>1692</v>
      </c>
      <c r="L837" t="s">
        <v>3025</v>
      </c>
      <c r="M837" t="s">
        <v>3029</v>
      </c>
    </row>
    <row r="838" spans="1:14" x14ac:dyDescent="0.25">
      <c r="A838" s="41" t="str">
        <f>Table1[[#This Row],[Route]]&amp;TEXT(Table1[[#This Row],[SegmentID]],"00")</f>
        <v>225A62</v>
      </c>
      <c r="B838" t="s">
        <v>1431</v>
      </c>
      <c r="D838">
        <f>IFERROR(ROUND(VLOOKUP(Table1[[#This Row],[Route]],SegmentsPerRoute!$C$3:$L$297,8,FALSE)+(Table1[[#This Row],[Sequence]]-1)*VLOOKUP(Table1[[#This Row],[Route]],SegmentsPerRoute!$C$3:$L$297,10,FALSE),0), 0)</f>
        <v>62</v>
      </c>
      <c r="E838">
        <v>3</v>
      </c>
      <c r="F838" s="1">
        <v>8.9540000000000006</v>
      </c>
      <c r="G838" t="s">
        <v>1434</v>
      </c>
      <c r="H838" s="1">
        <v>9.9009999999999998</v>
      </c>
      <c r="I838" t="s">
        <v>337</v>
      </c>
      <c r="K838" t="s">
        <v>1692</v>
      </c>
      <c r="L838" t="s">
        <v>3026</v>
      </c>
      <c r="M838" t="s">
        <v>3028</v>
      </c>
      <c r="N838" t="s">
        <v>393</v>
      </c>
    </row>
    <row r="839" spans="1:14" x14ac:dyDescent="0.25">
      <c r="A839" s="41" t="str">
        <f>Table1[[#This Row],[Route]]&amp;TEXT(Table1[[#This Row],[SegmentID]],"00")</f>
        <v>225A85</v>
      </c>
      <c r="B839" t="s">
        <v>1431</v>
      </c>
      <c r="D839">
        <f>IFERROR(ROUND(VLOOKUP(Table1[[#This Row],[Route]],SegmentsPerRoute!$C$3:$L$297,8,FALSE)+(Table1[[#This Row],[Sequence]]-1)*VLOOKUP(Table1[[#This Row],[Route]],SegmentsPerRoute!$C$3:$L$297,10,FALSE),0), 0)</f>
        <v>85</v>
      </c>
      <c r="E839">
        <v>4</v>
      </c>
      <c r="F839" s="1">
        <v>9.9009999999999998</v>
      </c>
      <c r="G839" t="s">
        <v>337</v>
      </c>
      <c r="H839" s="1">
        <v>12.430999999999999</v>
      </c>
      <c r="I839" t="s">
        <v>16</v>
      </c>
      <c r="K839" t="s">
        <v>1692</v>
      </c>
      <c r="L839" t="s">
        <v>3026</v>
      </c>
      <c r="M839" t="s">
        <v>3027</v>
      </c>
      <c r="N839" t="s">
        <v>393</v>
      </c>
    </row>
    <row r="840" spans="1:14" x14ac:dyDescent="0.25">
      <c r="A840" s="41" t="str">
        <f>Table1[[#This Row],[Route]]&amp;TEXT(Table1[[#This Row],[SegmentID]],"00")</f>
        <v>227A15</v>
      </c>
      <c r="B840" t="s">
        <v>1435</v>
      </c>
      <c r="D840">
        <f>IFERROR(ROUND(VLOOKUP(Table1[[#This Row],[Route]],SegmentsPerRoute!$C$3:$L$297,8,FALSE)+(Table1[[#This Row],[Sequence]]-1)*VLOOKUP(Table1[[#This Row],[Route]],SegmentsPerRoute!$C$3:$L$297,10,FALSE),0), 0)</f>
        <v>15</v>
      </c>
      <c r="E840">
        <v>1</v>
      </c>
      <c r="F840" s="1">
        <v>0</v>
      </c>
      <c r="G840" t="s">
        <v>1436</v>
      </c>
      <c r="H840" s="1">
        <v>0.05</v>
      </c>
      <c r="I840" t="s">
        <v>1076</v>
      </c>
      <c r="J840" t="s">
        <v>197</v>
      </c>
      <c r="K840" t="s">
        <v>1709</v>
      </c>
      <c r="N840" t="s">
        <v>1438</v>
      </c>
    </row>
    <row r="841" spans="1:14" x14ac:dyDescent="0.25">
      <c r="A841" s="41" t="str">
        <f>Table1[[#This Row],[Route]]&amp;TEXT(Table1[[#This Row],[SegmentID]],"00")</f>
        <v>227A85</v>
      </c>
      <c r="B841" t="s">
        <v>1435</v>
      </c>
      <c r="D841">
        <f>IFERROR(ROUND(VLOOKUP(Table1[[#This Row],[Route]],SegmentsPerRoute!$C$3:$L$297,8,FALSE)+(Table1[[#This Row],[Sequence]]-1)*VLOOKUP(Table1[[#This Row],[Route]],SegmentsPerRoute!$C$3:$L$297,10,FALSE),0), 0)</f>
        <v>85</v>
      </c>
      <c r="E841">
        <v>2</v>
      </c>
      <c r="F841" s="1">
        <v>0.05</v>
      </c>
      <c r="G841" t="s">
        <v>1076</v>
      </c>
      <c r="H841" s="1">
        <v>0.33200000000000002</v>
      </c>
      <c r="I841" t="s">
        <v>1437</v>
      </c>
      <c r="J841" t="s">
        <v>197</v>
      </c>
      <c r="K841" t="s">
        <v>1709</v>
      </c>
      <c r="N841" t="s">
        <v>1438</v>
      </c>
    </row>
    <row r="842" spans="1:14" x14ac:dyDescent="0.25">
      <c r="A842" s="41" t="str">
        <f>Table1[[#This Row],[Route]]&amp;TEXT(Table1[[#This Row],[SegmentID]],"00")</f>
        <v>231A15</v>
      </c>
      <c r="B842" t="s">
        <v>1439</v>
      </c>
      <c r="D842">
        <f>IFERROR(ROUND(VLOOKUP(Table1[[#This Row],[Route]],SegmentsPerRoute!$C$3:$L$297,8,FALSE)+(Table1[[#This Row],[Sequence]]-1)*VLOOKUP(Table1[[#This Row],[Route]],SegmentsPerRoute!$C$3:$L$297,10,FALSE),0), 0)</f>
        <v>15</v>
      </c>
      <c r="E842">
        <v>1</v>
      </c>
      <c r="F842" s="1">
        <v>0</v>
      </c>
      <c r="G842" t="s">
        <v>1440</v>
      </c>
      <c r="H842" s="1">
        <v>2.0499999999999998</v>
      </c>
      <c r="I842" t="s">
        <v>1441</v>
      </c>
      <c r="K842" t="s">
        <v>1691</v>
      </c>
      <c r="L842" t="s">
        <v>3031</v>
      </c>
      <c r="M842" t="s">
        <v>3032</v>
      </c>
      <c r="N842" t="s">
        <v>269</v>
      </c>
    </row>
    <row r="843" spans="1:14" x14ac:dyDescent="0.25">
      <c r="A843" s="41" t="str">
        <f>Table1[[#This Row],[Route]]&amp;TEXT(Table1[[#This Row],[SegmentID]],"00")</f>
        <v>239A15</v>
      </c>
      <c r="B843" t="s">
        <v>1442</v>
      </c>
      <c r="D843">
        <f>IFERROR(ROUND(VLOOKUP(Table1[[#This Row],[Route]],SegmentsPerRoute!$C$3:$L$297,8,FALSE)+(Table1[[#This Row],[Sequence]]-1)*VLOOKUP(Table1[[#This Row],[Route]],SegmentsPerRoute!$C$3:$L$297,10,FALSE),0), 0)</f>
        <v>15</v>
      </c>
      <c r="E843">
        <v>1</v>
      </c>
      <c r="F843" s="1">
        <v>0</v>
      </c>
      <c r="G843" t="s">
        <v>1443</v>
      </c>
      <c r="H843" s="1">
        <v>3.3450000000000002</v>
      </c>
      <c r="I843" t="s">
        <v>1444</v>
      </c>
      <c r="J843" t="s">
        <v>21</v>
      </c>
      <c r="K843" t="s">
        <v>1709</v>
      </c>
      <c r="N843" t="s">
        <v>363</v>
      </c>
    </row>
    <row r="844" spans="1:14" ht="30" x14ac:dyDescent="0.25">
      <c r="A844" s="41" t="str">
        <f>Table1[[#This Row],[Route]]&amp;TEXT(Table1[[#This Row],[SegmentID]],"00")</f>
        <v>257A15</v>
      </c>
      <c r="B844" t="s">
        <v>1445</v>
      </c>
      <c r="D844">
        <f>IFERROR(ROUND(VLOOKUP(Table1[[#This Row],[Route]],SegmentsPerRoute!$C$3:$L$297,8,FALSE)+(Table1[[#This Row],[Sequence]]-1)*VLOOKUP(Table1[[#This Row],[Route]],SegmentsPerRoute!$C$3:$L$297,10,FALSE),0), 0)</f>
        <v>15</v>
      </c>
      <c r="E844">
        <v>1</v>
      </c>
      <c r="F844" s="1">
        <v>0</v>
      </c>
      <c r="G844" t="s">
        <v>1446</v>
      </c>
      <c r="H844" s="1">
        <v>5.1239999999999997</v>
      </c>
      <c r="I844" t="s">
        <v>1447</v>
      </c>
      <c r="K844" t="s">
        <v>1691</v>
      </c>
      <c r="L844" t="s">
        <v>3033</v>
      </c>
      <c r="M844" t="s">
        <v>3034</v>
      </c>
      <c r="N844" s="4" t="s">
        <v>1452</v>
      </c>
    </row>
    <row r="845" spans="1:14" x14ac:dyDescent="0.25">
      <c r="A845" s="41" t="str">
        <f>Table1[[#This Row],[Route]]&amp;TEXT(Table1[[#This Row],[SegmentID]],"00")</f>
        <v>257A33</v>
      </c>
      <c r="B845" t="s">
        <v>1445</v>
      </c>
      <c r="D845">
        <f>IFERROR(ROUND(VLOOKUP(Table1[[#This Row],[Route]],SegmentsPerRoute!$C$3:$L$297,8,FALSE)+(Table1[[#This Row],[Sequence]]-1)*VLOOKUP(Table1[[#This Row],[Route]],SegmentsPerRoute!$C$3:$L$297,10,FALSE),0), 0)</f>
        <v>33</v>
      </c>
      <c r="E845">
        <v>2</v>
      </c>
      <c r="F845" s="1">
        <v>5.1239999999999997</v>
      </c>
      <c r="G845" t="s">
        <v>1447</v>
      </c>
      <c r="H845" s="1">
        <v>5.423</v>
      </c>
      <c r="I845" t="s">
        <v>1448</v>
      </c>
      <c r="K845" t="s">
        <v>1691</v>
      </c>
      <c r="L845" t="s">
        <v>3033</v>
      </c>
      <c r="M845" t="s">
        <v>3034</v>
      </c>
    </row>
    <row r="846" spans="1:14" x14ac:dyDescent="0.25">
      <c r="A846" s="41" t="str">
        <f>Table1[[#This Row],[Route]]&amp;TEXT(Table1[[#This Row],[SegmentID]],"00")</f>
        <v>257A50</v>
      </c>
      <c r="B846" t="s">
        <v>1445</v>
      </c>
      <c r="D846">
        <f>IFERROR(ROUND(VLOOKUP(Table1[[#This Row],[Route]],SegmentsPerRoute!$C$3:$L$297,8,FALSE)+(Table1[[#This Row],[Sequence]]-1)*VLOOKUP(Table1[[#This Row],[Route]],SegmentsPerRoute!$C$3:$L$297,10,FALSE),0), 0)</f>
        <v>50</v>
      </c>
      <c r="E846">
        <v>3</v>
      </c>
      <c r="F846" s="1">
        <v>5.423</v>
      </c>
      <c r="G846" t="s">
        <v>1448</v>
      </c>
      <c r="H846" s="1">
        <v>10.595000000000001</v>
      </c>
      <c r="I846" t="s">
        <v>1449</v>
      </c>
      <c r="K846" t="s">
        <v>1691</v>
      </c>
      <c r="L846" t="s">
        <v>3033</v>
      </c>
      <c r="M846" t="s">
        <v>3034</v>
      </c>
      <c r="N846" t="s">
        <v>214</v>
      </c>
    </row>
    <row r="847" spans="1:14" x14ac:dyDescent="0.25">
      <c r="A847" s="41" t="str">
        <f>Table1[[#This Row],[Route]]&amp;TEXT(Table1[[#This Row],[SegmentID]],"00")</f>
        <v>257A68</v>
      </c>
      <c r="B847" t="s">
        <v>1445</v>
      </c>
      <c r="D847">
        <f>IFERROR(ROUND(VLOOKUP(Table1[[#This Row],[Route]],SegmentsPerRoute!$C$3:$L$297,8,FALSE)+(Table1[[#This Row],[Sequence]]-1)*VLOOKUP(Table1[[#This Row],[Route]],SegmentsPerRoute!$C$3:$L$297,10,FALSE),0), 0)</f>
        <v>68</v>
      </c>
      <c r="E847">
        <v>4</v>
      </c>
      <c r="F847" s="1">
        <v>10.595000000000001</v>
      </c>
      <c r="G847" t="s">
        <v>1449</v>
      </c>
      <c r="H847" s="1">
        <v>11.58</v>
      </c>
      <c r="I847" t="s">
        <v>1450</v>
      </c>
      <c r="K847" t="s">
        <v>1691</v>
      </c>
      <c r="L847" t="s">
        <v>3033</v>
      </c>
      <c r="M847" t="s">
        <v>3034</v>
      </c>
      <c r="N847" t="s">
        <v>1453</v>
      </c>
    </row>
    <row r="848" spans="1:14" x14ac:dyDescent="0.25">
      <c r="A848" s="41" t="str">
        <f>Table1[[#This Row],[Route]]&amp;TEXT(Table1[[#This Row],[SegmentID]],"00")</f>
        <v>257A85</v>
      </c>
      <c r="B848" t="s">
        <v>1445</v>
      </c>
      <c r="D848">
        <f>IFERROR(ROUND(VLOOKUP(Table1[[#This Row],[Route]],SegmentsPerRoute!$C$3:$L$297,8,FALSE)+(Table1[[#This Row],[Sequence]]-1)*VLOOKUP(Table1[[#This Row],[Route]],SegmentsPerRoute!$C$3:$L$297,10,FALSE),0), 0)</f>
        <v>85</v>
      </c>
      <c r="E848">
        <v>5</v>
      </c>
      <c r="F848" s="1">
        <v>11.58</v>
      </c>
      <c r="G848" t="s">
        <v>1450</v>
      </c>
      <c r="H848" s="1">
        <v>18.486999999999998</v>
      </c>
      <c r="I848" t="s">
        <v>1451</v>
      </c>
      <c r="K848" t="s">
        <v>1691</v>
      </c>
      <c r="L848" t="s">
        <v>3033</v>
      </c>
      <c r="M848" t="s">
        <v>3034</v>
      </c>
      <c r="N848" t="s">
        <v>1453</v>
      </c>
    </row>
    <row r="849" spans="1:14" ht="30" x14ac:dyDescent="0.25">
      <c r="A849" s="41" t="str">
        <f>Table1[[#This Row],[Route]]&amp;TEXT(Table1[[#This Row],[SegmentID]],"00")</f>
        <v>257B15</v>
      </c>
      <c r="B849" t="s">
        <v>1454</v>
      </c>
      <c r="D849">
        <f>IFERROR(ROUND(VLOOKUP(Table1[[#This Row],[Route]],SegmentsPerRoute!$C$3:$L$297,8,FALSE)+(Table1[[#This Row],[Sequence]]-1)*VLOOKUP(Table1[[#This Row],[Route]],SegmentsPerRoute!$C$3:$L$297,10,FALSE),0), 0)</f>
        <v>15</v>
      </c>
      <c r="E849">
        <v>1</v>
      </c>
      <c r="F849" s="1">
        <v>3.6999999999999998E-2</v>
      </c>
      <c r="G849" t="s">
        <v>1455</v>
      </c>
      <c r="H849" s="1">
        <v>1.1459999999999999</v>
      </c>
      <c r="I849" t="s">
        <v>1456</v>
      </c>
      <c r="J849" t="s">
        <v>21</v>
      </c>
      <c r="K849" s="4" t="s">
        <v>1751</v>
      </c>
      <c r="L849" s="4"/>
      <c r="M849" s="4"/>
    </row>
    <row r="850" spans="1:14" x14ac:dyDescent="0.25">
      <c r="A850" s="41" t="str">
        <f>Table1[[#This Row],[Route]]&amp;TEXT(Table1[[#This Row],[SegmentID]],"00")</f>
        <v>265A15</v>
      </c>
      <c r="B850" t="s">
        <v>1457</v>
      </c>
      <c r="D850">
        <f>IFERROR(ROUND(VLOOKUP(Table1[[#This Row],[Route]],SegmentsPerRoute!$C$3:$L$297,8,FALSE)+(Table1[[#This Row],[Sequence]]-1)*VLOOKUP(Table1[[#This Row],[Route]],SegmentsPerRoute!$C$3:$L$297,10,FALSE),0), 0)</f>
        <v>15</v>
      </c>
      <c r="E850">
        <v>1</v>
      </c>
      <c r="F850" s="1">
        <v>1.177</v>
      </c>
      <c r="G850" t="s">
        <v>1458</v>
      </c>
      <c r="H850" s="1">
        <v>3.621</v>
      </c>
      <c r="I850" t="s">
        <v>817</v>
      </c>
      <c r="J850" t="s">
        <v>21</v>
      </c>
      <c r="K850" t="s">
        <v>1691</v>
      </c>
      <c r="N850" t="s">
        <v>88</v>
      </c>
    </row>
    <row r="851" spans="1:14" x14ac:dyDescent="0.25">
      <c r="A851" s="41" t="str">
        <f>Table1[[#This Row],[Route]]&amp;TEXT(Table1[[#This Row],[SegmentID]],"00")</f>
        <v>265B15</v>
      </c>
      <c r="B851" t="s">
        <v>1459</v>
      </c>
      <c r="D851">
        <f>IFERROR(ROUND(VLOOKUP(Table1[[#This Row],[Route]],SegmentsPerRoute!$C$3:$L$297,8,FALSE)+(Table1[[#This Row],[Sequence]]-1)*VLOOKUP(Table1[[#This Row],[Route]],SegmentsPerRoute!$C$3:$L$297,10,FALSE),0), 0)</f>
        <v>15</v>
      </c>
      <c r="E851">
        <v>1</v>
      </c>
      <c r="F851" s="1">
        <v>3.4000000000000002E-2</v>
      </c>
      <c r="G851" t="s">
        <v>1460</v>
      </c>
      <c r="H851" s="1">
        <v>0.14699999999999999</v>
      </c>
      <c r="I851" t="s">
        <v>1461</v>
      </c>
      <c r="J851" t="s">
        <v>21</v>
      </c>
      <c r="K851" t="s">
        <v>1691</v>
      </c>
    </row>
    <row r="852" spans="1:14" x14ac:dyDescent="0.25">
      <c r="A852" s="41" t="str">
        <f>Table1[[#This Row],[Route]]&amp;TEXT(Table1[[#This Row],[SegmentID]],"00")</f>
        <v>266A15</v>
      </c>
      <c r="B852" t="s">
        <v>1462</v>
      </c>
      <c r="D852">
        <f>IFERROR(ROUND(VLOOKUP(Table1[[#This Row],[Route]],SegmentsPerRoute!$C$3:$L$297,8,FALSE)+(Table1[[#This Row],[Sequence]]-1)*VLOOKUP(Table1[[#This Row],[Route]],SegmentsPerRoute!$C$3:$L$297,10,FALSE),0), 0)</f>
        <v>15</v>
      </c>
      <c r="E852">
        <v>1</v>
      </c>
      <c r="F852" s="1">
        <v>0</v>
      </c>
      <c r="G852" t="s">
        <v>683</v>
      </c>
      <c r="H852" s="1">
        <v>0.06</v>
      </c>
      <c r="I852" t="s">
        <v>650</v>
      </c>
      <c r="K852" t="s">
        <v>1691</v>
      </c>
      <c r="L852" t="s">
        <v>3036</v>
      </c>
      <c r="M852" t="s">
        <v>3038</v>
      </c>
    </row>
    <row r="853" spans="1:14" x14ac:dyDescent="0.25">
      <c r="A853" s="41" t="str">
        <f>Table1[[#This Row],[Route]]&amp;TEXT(Table1[[#This Row],[SegmentID]],"00")</f>
        <v>266A85</v>
      </c>
      <c r="B853" t="s">
        <v>1462</v>
      </c>
      <c r="D853">
        <f>IFERROR(ROUND(VLOOKUP(Table1[[#This Row],[Route]],SegmentsPerRoute!$C$3:$L$297,8,FALSE)+(Table1[[#This Row],[Sequence]]-1)*VLOOKUP(Table1[[#This Row],[Route]],SegmentsPerRoute!$C$3:$L$297,10,FALSE),0), 0)</f>
        <v>85</v>
      </c>
      <c r="E853">
        <v>2</v>
      </c>
      <c r="F853" s="1">
        <v>0.06</v>
      </c>
      <c r="G853" t="s">
        <v>650</v>
      </c>
      <c r="H853" s="1">
        <v>11.516</v>
      </c>
      <c r="I853" t="s">
        <v>1463</v>
      </c>
      <c r="K853" t="s">
        <v>1691</v>
      </c>
      <c r="L853" t="s">
        <v>3037</v>
      </c>
      <c r="M853" t="s">
        <v>3035</v>
      </c>
      <c r="N853" t="s">
        <v>269</v>
      </c>
    </row>
    <row r="854" spans="1:14" x14ac:dyDescent="0.25">
      <c r="A854" s="41" t="str">
        <f>Table1[[#This Row],[Route]]&amp;TEXT(Table1[[#This Row],[SegmentID]],"00")</f>
        <v>270A15</v>
      </c>
      <c r="B854" t="s">
        <v>1464</v>
      </c>
      <c r="C854" s="3" t="s">
        <v>471</v>
      </c>
      <c r="D854">
        <f>IFERROR(ROUND(VLOOKUP(Table1[[#This Row],[Route]],SegmentsPerRoute!$C$3:$L$297,8,FALSE)+(Table1[[#This Row],[Sequence]]-1)*VLOOKUP(Table1[[#This Row],[Route]],SegmentsPerRoute!$C$3:$L$297,10,FALSE),0), 0)</f>
        <v>15</v>
      </c>
      <c r="E854">
        <v>1</v>
      </c>
      <c r="F854" s="1">
        <v>0</v>
      </c>
      <c r="G854" t="s">
        <v>1465</v>
      </c>
      <c r="H854" s="1">
        <v>2.3580000000000001</v>
      </c>
      <c r="I854" t="s">
        <v>817</v>
      </c>
      <c r="K854" t="s">
        <v>1704</v>
      </c>
      <c r="L854" t="s">
        <v>3041</v>
      </c>
      <c r="M854" t="s">
        <v>3046</v>
      </c>
      <c r="N854" t="s">
        <v>1468</v>
      </c>
    </row>
    <row r="855" spans="1:14" x14ac:dyDescent="0.25">
      <c r="A855" s="41" t="str">
        <f>Table1[[#This Row],[Route]]&amp;TEXT(Table1[[#This Row],[SegmentID]],"00")</f>
        <v>270A50</v>
      </c>
      <c r="B855" t="s">
        <v>1464</v>
      </c>
      <c r="C855" s="3" t="s">
        <v>471</v>
      </c>
      <c r="D855">
        <f>IFERROR(ROUND(VLOOKUP(Table1[[#This Row],[Route]],SegmentsPerRoute!$C$3:$L$297,8,FALSE)+(Table1[[#This Row],[Sequence]]-1)*VLOOKUP(Table1[[#This Row],[Route]],SegmentsPerRoute!$C$3:$L$297,10,FALSE),0), 0)</f>
        <v>50</v>
      </c>
      <c r="E855">
        <v>2</v>
      </c>
      <c r="F855" s="1">
        <v>2.3580000000000001</v>
      </c>
      <c r="G855" t="s">
        <v>817</v>
      </c>
      <c r="H855" s="1">
        <v>4.569</v>
      </c>
      <c r="I855" t="s">
        <v>818</v>
      </c>
      <c r="K855" t="s">
        <v>1704</v>
      </c>
      <c r="L855" t="s">
        <v>3042</v>
      </c>
      <c r="M855" t="s">
        <v>3045</v>
      </c>
      <c r="N855" t="s">
        <v>88</v>
      </c>
    </row>
    <row r="856" spans="1:14" x14ac:dyDescent="0.25">
      <c r="A856" s="41" t="str">
        <f>Table1[[#This Row],[Route]]&amp;TEXT(Table1[[#This Row],[SegmentID]],"00")</f>
        <v>270A85</v>
      </c>
      <c r="B856" t="s">
        <v>1464</v>
      </c>
      <c r="C856" s="3" t="s">
        <v>471</v>
      </c>
      <c r="D856">
        <f>IFERROR(ROUND(VLOOKUP(Table1[[#This Row],[Route]],SegmentsPerRoute!$C$3:$L$297,8,FALSE)+(Table1[[#This Row],[Sequence]]-1)*VLOOKUP(Table1[[#This Row],[Route]],SegmentsPerRoute!$C$3:$L$297,10,FALSE),0), 0)</f>
        <v>85</v>
      </c>
      <c r="E856">
        <v>3</v>
      </c>
      <c r="F856" s="1">
        <v>4.569</v>
      </c>
      <c r="G856" t="s">
        <v>818</v>
      </c>
      <c r="H856" s="1">
        <v>5.9859999999999998</v>
      </c>
      <c r="I856" t="s">
        <v>1466</v>
      </c>
      <c r="K856" t="s">
        <v>1704</v>
      </c>
      <c r="L856" t="s">
        <v>3043</v>
      </c>
      <c r="M856" t="s">
        <v>3044</v>
      </c>
      <c r="N856" t="s">
        <v>88</v>
      </c>
    </row>
    <row r="857" spans="1:14" x14ac:dyDescent="0.25">
      <c r="A857" s="41" t="str">
        <f>Table1[[#This Row],[Route]]&amp;TEXT(Table1[[#This Row],[SegmentID]],"00")</f>
        <v>270B15</v>
      </c>
      <c r="B857" t="s">
        <v>1467</v>
      </c>
      <c r="C857" s="3" t="s">
        <v>471</v>
      </c>
      <c r="D857">
        <f>IFERROR(ROUND(VLOOKUP(Table1[[#This Row],[Route]],SegmentsPerRoute!$C$3:$L$297,8,FALSE)+(Table1[[#This Row],[Sequence]]-1)*VLOOKUP(Table1[[#This Row],[Route]],SegmentsPerRoute!$C$3:$L$297,10,FALSE),0), 0)</f>
        <v>15</v>
      </c>
      <c r="E857">
        <v>1</v>
      </c>
      <c r="F857" s="1">
        <v>0.17699999999999999</v>
      </c>
      <c r="G857" t="s">
        <v>1469</v>
      </c>
      <c r="H857" s="1">
        <v>1.1000000000000001</v>
      </c>
      <c r="I857" t="s">
        <v>1470</v>
      </c>
      <c r="K857" t="s">
        <v>1704</v>
      </c>
      <c r="L857" t="s">
        <v>3041</v>
      </c>
      <c r="M857" t="s">
        <v>3047</v>
      </c>
      <c r="N857" t="s">
        <v>76</v>
      </c>
    </row>
    <row r="858" spans="1:14" x14ac:dyDescent="0.25">
      <c r="A858" s="41" t="str">
        <f>Table1[[#This Row],[Route]]&amp;TEXT(Table1[[#This Row],[SegmentID]],"00")</f>
        <v>285A01</v>
      </c>
      <c r="B858" t="s">
        <v>1471</v>
      </c>
      <c r="D858">
        <f>IFERROR(ROUND(VLOOKUP(Table1[[#This Row],[Route]],SegmentsPerRoute!$C$3:$L$297,8,FALSE)+(Table1[[#This Row],[Sequence]]-1)*VLOOKUP(Table1[[#This Row],[Route]],SegmentsPerRoute!$C$3:$L$297,10,FALSE),0), 0)</f>
        <v>1</v>
      </c>
      <c r="E858">
        <v>1</v>
      </c>
      <c r="F858" s="1">
        <v>0</v>
      </c>
      <c r="G858" t="s">
        <v>231</v>
      </c>
      <c r="H858" s="1">
        <v>5.2110000000000003</v>
      </c>
      <c r="I858" t="s">
        <v>1472</v>
      </c>
      <c r="K858" t="s">
        <v>1695</v>
      </c>
      <c r="L858" t="s">
        <v>3048</v>
      </c>
      <c r="M858" t="s">
        <v>3059</v>
      </c>
      <c r="N858" t="s">
        <v>1480</v>
      </c>
    </row>
    <row r="859" spans="1:14" x14ac:dyDescent="0.25">
      <c r="A859" s="41" t="str">
        <f>Table1[[#This Row],[Route]]&amp;TEXT(Table1[[#This Row],[SegmentID]],"00")</f>
        <v>285A13</v>
      </c>
      <c r="B859" t="s">
        <v>1471</v>
      </c>
      <c r="D859">
        <f>IFERROR(ROUND(VLOOKUP(Table1[[#This Row],[Route]],SegmentsPerRoute!$C$3:$L$297,8,FALSE)+(Table1[[#This Row],[Sequence]]-1)*VLOOKUP(Table1[[#This Row],[Route]],SegmentsPerRoute!$C$3:$L$297,10,FALSE),0), 0)</f>
        <v>13</v>
      </c>
      <c r="E859">
        <v>2</v>
      </c>
      <c r="F859" s="1">
        <v>5.2110000000000003</v>
      </c>
      <c r="G859" t="s">
        <v>1472</v>
      </c>
      <c r="H859" s="1">
        <v>12.707000000000001</v>
      </c>
      <c r="I859" t="s">
        <v>1473</v>
      </c>
      <c r="K859" t="s">
        <v>1695</v>
      </c>
      <c r="L859" t="s">
        <v>3048</v>
      </c>
      <c r="M859" t="s">
        <v>3059</v>
      </c>
      <c r="N859" t="s">
        <v>1481</v>
      </c>
    </row>
    <row r="860" spans="1:14" x14ac:dyDescent="0.25">
      <c r="A860" s="41" t="str">
        <f>Table1[[#This Row],[Route]]&amp;TEXT(Table1[[#This Row],[SegmentID]],"00")</f>
        <v>285A25</v>
      </c>
      <c r="B860" t="s">
        <v>1471</v>
      </c>
      <c r="D860">
        <f>IFERROR(ROUND(VLOOKUP(Table1[[#This Row],[Route]],SegmentsPerRoute!$C$3:$L$297,8,FALSE)+(Table1[[#This Row],[Sequence]]-1)*VLOOKUP(Table1[[#This Row],[Route]],SegmentsPerRoute!$C$3:$L$297,10,FALSE),0), 0)</f>
        <v>25</v>
      </c>
      <c r="E860">
        <v>3</v>
      </c>
      <c r="F860" s="1">
        <v>12.707000000000001</v>
      </c>
      <c r="G860" t="s">
        <v>1473</v>
      </c>
      <c r="H860" s="1">
        <v>19.817</v>
      </c>
      <c r="I860" t="s">
        <v>1474</v>
      </c>
      <c r="K860" t="s">
        <v>1695</v>
      </c>
      <c r="L860" t="s">
        <v>3049</v>
      </c>
      <c r="M860" t="s">
        <v>3058</v>
      </c>
    </row>
    <row r="861" spans="1:14" x14ac:dyDescent="0.25">
      <c r="A861" s="41" t="str">
        <f>Table1[[#This Row],[Route]]&amp;TEXT(Table1[[#This Row],[SegmentID]],"00")</f>
        <v>285A37</v>
      </c>
      <c r="B861" t="s">
        <v>1471</v>
      </c>
      <c r="D861">
        <f>IFERROR(ROUND(VLOOKUP(Table1[[#This Row],[Route]],SegmentsPerRoute!$C$3:$L$297,8,FALSE)+(Table1[[#This Row],[Sequence]]-1)*VLOOKUP(Table1[[#This Row],[Route]],SegmentsPerRoute!$C$3:$L$297,10,FALSE),0), 0)</f>
        <v>37</v>
      </c>
      <c r="E861">
        <v>4</v>
      </c>
      <c r="F861" s="1">
        <v>19.817</v>
      </c>
      <c r="G861" t="s">
        <v>1474</v>
      </c>
      <c r="H861" s="1">
        <v>20.417999999999999</v>
      </c>
      <c r="I861" t="s">
        <v>1475</v>
      </c>
      <c r="K861" t="s">
        <v>1695</v>
      </c>
      <c r="L861" t="s">
        <v>3049</v>
      </c>
      <c r="M861" t="s">
        <v>3058</v>
      </c>
    </row>
    <row r="862" spans="1:14" x14ac:dyDescent="0.25">
      <c r="A862" s="41" t="str">
        <f>Table1[[#This Row],[Route]]&amp;TEXT(Table1[[#This Row],[SegmentID]],"00")</f>
        <v>285A49</v>
      </c>
      <c r="B862" t="s">
        <v>1471</v>
      </c>
      <c r="D862">
        <f>IFERROR(ROUND(VLOOKUP(Table1[[#This Row],[Route]],SegmentsPerRoute!$C$3:$L$297,8,FALSE)+(Table1[[#This Row],[Sequence]]-1)*VLOOKUP(Table1[[#This Row],[Route]],SegmentsPerRoute!$C$3:$L$297,10,FALSE),0), 0)</f>
        <v>49</v>
      </c>
      <c r="E862">
        <v>5</v>
      </c>
      <c r="F862" s="1">
        <v>20.417999999999999</v>
      </c>
      <c r="G862" t="s">
        <v>1475</v>
      </c>
      <c r="H862" s="1">
        <v>26.829000000000001</v>
      </c>
      <c r="I862" t="s">
        <v>1479</v>
      </c>
      <c r="K862" t="s">
        <v>1695</v>
      </c>
      <c r="L862" t="s">
        <v>3050</v>
      </c>
      <c r="M862" t="s">
        <v>3057</v>
      </c>
      <c r="N862" t="s">
        <v>1482</v>
      </c>
    </row>
    <row r="863" spans="1:14" x14ac:dyDescent="0.25">
      <c r="A863" s="41" t="str">
        <f>Table1[[#This Row],[Route]]&amp;TEXT(Table1[[#This Row],[SegmentID]],"00")</f>
        <v>285A61</v>
      </c>
      <c r="B863" t="s">
        <v>1471</v>
      </c>
      <c r="D863">
        <f>IFERROR(ROUND(VLOOKUP(Table1[[#This Row],[Route]],SegmentsPerRoute!$C$3:$L$297,8,FALSE)+(Table1[[#This Row],[Sequence]]-1)*VLOOKUP(Table1[[#This Row],[Route]],SegmentsPerRoute!$C$3:$L$297,10,FALSE),0), 0)</f>
        <v>61</v>
      </c>
      <c r="E863">
        <v>6</v>
      </c>
      <c r="F863" s="1">
        <v>26.829000000000001</v>
      </c>
      <c r="G863" t="s">
        <v>1479</v>
      </c>
      <c r="H863" s="1">
        <v>31.257000000000001</v>
      </c>
      <c r="I863" t="s">
        <v>1476</v>
      </c>
      <c r="K863" t="s">
        <v>1695</v>
      </c>
      <c r="L863" t="s">
        <v>3051</v>
      </c>
      <c r="M863" t="s">
        <v>3056</v>
      </c>
    </row>
    <row r="864" spans="1:14" x14ac:dyDescent="0.25">
      <c r="A864" s="41" t="str">
        <f>Table1[[#This Row],[Route]]&amp;TEXT(Table1[[#This Row],[SegmentID]],"00")</f>
        <v>285A73</v>
      </c>
      <c r="B864" t="s">
        <v>1471</v>
      </c>
      <c r="D864">
        <f>IFERROR(ROUND(VLOOKUP(Table1[[#This Row],[Route]],SegmentsPerRoute!$C$3:$L$297,8,FALSE)+(Table1[[#This Row],[Sequence]]-1)*VLOOKUP(Table1[[#This Row],[Route]],SegmentsPerRoute!$C$3:$L$297,10,FALSE),0), 0)</f>
        <v>73</v>
      </c>
      <c r="E864">
        <v>7</v>
      </c>
      <c r="F864" s="1">
        <v>31.257000000000001</v>
      </c>
      <c r="G864" t="s">
        <v>1476</v>
      </c>
      <c r="H864" s="1">
        <v>34.027999999999999</v>
      </c>
      <c r="I864" t="s">
        <v>1477</v>
      </c>
      <c r="K864" t="s">
        <v>1695</v>
      </c>
      <c r="L864" t="s">
        <v>3052</v>
      </c>
      <c r="M864" t="s">
        <v>3055</v>
      </c>
    </row>
    <row r="865" spans="1:14" x14ac:dyDescent="0.25">
      <c r="A865" s="41" t="str">
        <f>Table1[[#This Row],[Route]]&amp;TEXT(Table1[[#This Row],[SegmentID]],"00")</f>
        <v>285A85</v>
      </c>
      <c r="B865" t="s">
        <v>1471</v>
      </c>
      <c r="D865">
        <f>IFERROR(ROUND(VLOOKUP(Table1[[#This Row],[Route]],SegmentsPerRoute!$C$3:$L$297,8,FALSE)+(Table1[[#This Row],[Sequence]]-1)*VLOOKUP(Table1[[#This Row],[Route]],SegmentsPerRoute!$C$3:$L$297,10,FALSE),0), 0)</f>
        <v>85</v>
      </c>
      <c r="E865">
        <v>8</v>
      </c>
      <c r="F865" s="1">
        <v>34.027999999999999</v>
      </c>
      <c r="G865" t="s">
        <v>1477</v>
      </c>
      <c r="H865" s="1">
        <v>34.101999999999997</v>
      </c>
      <c r="I865" t="s">
        <v>1478</v>
      </c>
      <c r="K865" t="s">
        <v>1695</v>
      </c>
      <c r="L865" t="s">
        <v>3053</v>
      </c>
      <c r="M865" t="s">
        <v>3054</v>
      </c>
    </row>
    <row r="866" spans="1:14" x14ac:dyDescent="0.25">
      <c r="A866" s="41" t="str">
        <f>Table1[[#This Row],[Route]]&amp;TEXT(Table1[[#This Row],[SegmentID]],"00")</f>
        <v>285B15</v>
      </c>
      <c r="B866" t="s">
        <v>1483</v>
      </c>
      <c r="D866">
        <f>IFERROR(ROUND(VLOOKUP(Table1[[#This Row],[Route]],SegmentsPerRoute!$C$3:$L$297,8,FALSE)+(Table1[[#This Row],[Sequence]]-1)*VLOOKUP(Table1[[#This Row],[Route]],SegmentsPerRoute!$C$3:$L$297,10,FALSE),0), 0)</f>
        <v>15</v>
      </c>
      <c r="E866">
        <v>1</v>
      </c>
      <c r="F866" s="1">
        <v>51.158999999999999</v>
      </c>
      <c r="G866" t="s">
        <v>1484</v>
      </c>
      <c r="H866" s="1">
        <v>62.904000000000003</v>
      </c>
      <c r="I866" t="s">
        <v>1485</v>
      </c>
      <c r="K866" t="s">
        <v>1691</v>
      </c>
      <c r="L866" t="s">
        <v>3060</v>
      </c>
      <c r="M866" t="s">
        <v>3065</v>
      </c>
      <c r="N866" t="s">
        <v>1133</v>
      </c>
    </row>
    <row r="867" spans="1:14" x14ac:dyDescent="0.25">
      <c r="A867" s="41" t="str">
        <f>Table1[[#This Row],[Route]]&amp;TEXT(Table1[[#This Row],[SegmentID]],"00")</f>
        <v>285B38</v>
      </c>
      <c r="B867" t="s">
        <v>1483</v>
      </c>
      <c r="D867">
        <f>IFERROR(ROUND(VLOOKUP(Table1[[#This Row],[Route]],SegmentsPerRoute!$C$3:$L$297,8,FALSE)+(Table1[[#This Row],[Sequence]]-1)*VLOOKUP(Table1[[#This Row],[Route]],SegmentsPerRoute!$C$3:$L$297,10,FALSE),0), 0)</f>
        <v>38</v>
      </c>
      <c r="E867">
        <v>2</v>
      </c>
      <c r="F867" s="1">
        <v>62.904000000000003</v>
      </c>
      <c r="G867" t="s">
        <v>1485</v>
      </c>
      <c r="H867" s="1">
        <v>86.29</v>
      </c>
      <c r="I867" t="s">
        <v>1486</v>
      </c>
      <c r="K867" t="s">
        <v>1691</v>
      </c>
      <c r="L867" t="s">
        <v>3061</v>
      </c>
      <c r="M867" t="s">
        <v>3064</v>
      </c>
    </row>
    <row r="868" spans="1:14" x14ac:dyDescent="0.25">
      <c r="A868" s="41" t="str">
        <f>Table1[[#This Row],[Route]]&amp;TEXT(Table1[[#This Row],[SegmentID]],"00")</f>
        <v>285B62</v>
      </c>
      <c r="B868" t="s">
        <v>1483</v>
      </c>
      <c r="D868">
        <f>IFERROR(ROUND(VLOOKUP(Table1[[#This Row],[Route]],SegmentsPerRoute!$C$3:$L$297,8,FALSE)+(Table1[[#This Row],[Sequence]]-1)*VLOOKUP(Table1[[#This Row],[Route]],SegmentsPerRoute!$C$3:$L$297,10,FALSE),0), 0)</f>
        <v>62</v>
      </c>
      <c r="E868">
        <v>3</v>
      </c>
      <c r="F868" s="1">
        <v>86.29</v>
      </c>
      <c r="G868" t="s">
        <v>1486</v>
      </c>
      <c r="H868" s="1">
        <v>100.518</v>
      </c>
      <c r="I868" t="s">
        <v>1487</v>
      </c>
      <c r="K868" t="s">
        <v>1691</v>
      </c>
      <c r="L868" t="s">
        <v>3061</v>
      </c>
      <c r="M868" t="s">
        <v>3064</v>
      </c>
    </row>
    <row r="869" spans="1:14" ht="30" x14ac:dyDescent="0.25">
      <c r="A869" s="41" t="str">
        <f>Table1[[#This Row],[Route]]&amp;TEXT(Table1[[#This Row],[SegmentID]],"00")</f>
        <v>285B85</v>
      </c>
      <c r="B869" t="s">
        <v>1483</v>
      </c>
      <c r="D869">
        <f>IFERROR(ROUND(VLOOKUP(Table1[[#This Row],[Route]],SegmentsPerRoute!$C$3:$L$297,8,FALSE)+(Table1[[#This Row],[Sequence]]-1)*VLOOKUP(Table1[[#This Row],[Route]],SegmentsPerRoute!$C$3:$L$297,10,FALSE),0), 0)</f>
        <v>85</v>
      </c>
      <c r="E869">
        <v>4</v>
      </c>
      <c r="F869" s="1">
        <v>100.518</v>
      </c>
      <c r="G869" t="s">
        <v>1487</v>
      </c>
      <c r="H869" s="1">
        <v>126.48</v>
      </c>
      <c r="I869" t="s">
        <v>1488</v>
      </c>
      <c r="K869" t="s">
        <v>1691</v>
      </c>
      <c r="L869" t="s">
        <v>3062</v>
      </c>
      <c r="M869" t="s">
        <v>3063</v>
      </c>
      <c r="N869" s="4" t="s">
        <v>1490</v>
      </c>
    </row>
    <row r="870" spans="1:14" x14ac:dyDescent="0.25">
      <c r="A870" s="41" t="str">
        <f>Table1[[#This Row],[Route]]&amp;TEXT(Table1[[#This Row],[SegmentID]],"00")</f>
        <v>285C15</v>
      </c>
      <c r="B870" t="s">
        <v>1489</v>
      </c>
      <c r="D870">
        <f>IFERROR(ROUND(VLOOKUP(Table1[[#This Row],[Route]],SegmentsPerRoute!$C$3:$L$297,8,FALSE)+(Table1[[#This Row],[Sequence]]-1)*VLOOKUP(Table1[[#This Row],[Route]],SegmentsPerRoute!$C$3:$L$297,10,FALSE),0), 0)</f>
        <v>15</v>
      </c>
      <c r="E870">
        <v>1</v>
      </c>
      <c r="F870" s="1">
        <v>126.85299999999999</v>
      </c>
      <c r="G870" t="s">
        <v>1488</v>
      </c>
      <c r="H870" s="1">
        <v>133.88300000000001</v>
      </c>
      <c r="I870" t="s">
        <v>1491</v>
      </c>
      <c r="K870" t="s">
        <v>1693</v>
      </c>
      <c r="L870" t="s">
        <v>3066</v>
      </c>
      <c r="M870" t="s">
        <v>3069</v>
      </c>
      <c r="N870" t="s">
        <v>269</v>
      </c>
    </row>
    <row r="871" spans="1:14" x14ac:dyDescent="0.25">
      <c r="A871" s="41" t="str">
        <f>Table1[[#This Row],[Route]]&amp;TEXT(Table1[[#This Row],[SegmentID]],"00")</f>
        <v>285C85</v>
      </c>
      <c r="B871" t="s">
        <v>1489</v>
      </c>
      <c r="D871">
        <f>IFERROR(ROUND(VLOOKUP(Table1[[#This Row],[Route]],SegmentsPerRoute!$C$3:$L$297,8,FALSE)+(Table1[[#This Row],[Sequence]]-1)*VLOOKUP(Table1[[#This Row],[Route]],SegmentsPerRoute!$C$3:$L$297,10,FALSE),0), 0)</f>
        <v>85</v>
      </c>
      <c r="E871">
        <v>2</v>
      </c>
      <c r="F871" s="1">
        <v>133.88300000000001</v>
      </c>
      <c r="G871" t="s">
        <v>1491</v>
      </c>
      <c r="H871" s="1">
        <v>148.065</v>
      </c>
      <c r="I871" t="s">
        <v>1492</v>
      </c>
      <c r="K871" t="s">
        <v>1693</v>
      </c>
      <c r="L871" t="s">
        <v>3067</v>
      </c>
      <c r="M871" t="s">
        <v>3068</v>
      </c>
      <c r="N871" t="s">
        <v>269</v>
      </c>
    </row>
    <row r="872" spans="1:14" x14ac:dyDescent="0.25">
      <c r="A872" s="41" t="str">
        <f>Table1[[#This Row],[Route]]&amp;TEXT(Table1[[#This Row],[SegmentID]],"00")</f>
        <v>285D15</v>
      </c>
      <c r="B872" t="s">
        <v>1493</v>
      </c>
      <c r="D872">
        <f>IFERROR(ROUND(VLOOKUP(Table1[[#This Row],[Route]],SegmentsPerRoute!$C$3:$L$297,8,FALSE)+(Table1[[#This Row],[Sequence]]-1)*VLOOKUP(Table1[[#This Row],[Route]],SegmentsPerRoute!$C$3:$L$297,10,FALSE),0), 0)</f>
        <v>15</v>
      </c>
      <c r="E872">
        <v>1</v>
      </c>
      <c r="F872" s="1">
        <v>161.78899999999999</v>
      </c>
      <c r="G872" t="s">
        <v>1494</v>
      </c>
      <c r="H872" s="1">
        <v>181.971</v>
      </c>
      <c r="I872" t="s">
        <v>1495</v>
      </c>
      <c r="K872" t="s">
        <v>1693</v>
      </c>
      <c r="L872" t="s">
        <v>3070</v>
      </c>
      <c r="N872" t="s">
        <v>1499</v>
      </c>
    </row>
    <row r="873" spans="1:14" x14ac:dyDescent="0.25">
      <c r="A873" s="41" t="str">
        <f>Table1[[#This Row],[Route]]&amp;TEXT(Table1[[#This Row],[SegmentID]],"00")</f>
        <v>285D21</v>
      </c>
      <c r="B873" t="s">
        <v>1493</v>
      </c>
      <c r="D873">
        <f>IFERROR(ROUND(VLOOKUP(Table1[[#This Row],[Route]],SegmentsPerRoute!$C$3:$L$297,8,FALSE)+(Table1[[#This Row],[Sequence]]-1)*VLOOKUP(Table1[[#This Row],[Route]],SegmentsPerRoute!$C$3:$L$297,10,FALSE),0), 0)</f>
        <v>21</v>
      </c>
      <c r="E873">
        <v>2</v>
      </c>
      <c r="F873" s="1">
        <v>181.971</v>
      </c>
      <c r="G873" t="s">
        <v>1495</v>
      </c>
      <c r="H873" s="1">
        <v>182.989</v>
      </c>
      <c r="I873" t="s">
        <v>1496</v>
      </c>
      <c r="K873" t="s">
        <v>1693</v>
      </c>
      <c r="L873" t="s">
        <v>3071</v>
      </c>
      <c r="N873" t="s">
        <v>159</v>
      </c>
    </row>
    <row r="874" spans="1:14" ht="45" x14ac:dyDescent="0.25">
      <c r="A874" s="41" t="str">
        <f>Table1[[#This Row],[Route]]&amp;TEXT(Table1[[#This Row],[SegmentID]],"00")</f>
        <v>285D28</v>
      </c>
      <c r="B874" t="s">
        <v>1493</v>
      </c>
      <c r="D874">
        <f>IFERROR(ROUND(VLOOKUP(Table1[[#This Row],[Route]],SegmentsPerRoute!$C$3:$L$297,8,FALSE)+(Table1[[#This Row],[Sequence]]-1)*VLOOKUP(Table1[[#This Row],[Route]],SegmentsPerRoute!$C$3:$L$297,10,FALSE),0), 0)</f>
        <v>28</v>
      </c>
      <c r="E874">
        <v>3</v>
      </c>
      <c r="F874" s="1">
        <v>182.989</v>
      </c>
      <c r="G874" t="s">
        <v>1496</v>
      </c>
      <c r="H874" s="1">
        <v>248.44300000000001</v>
      </c>
      <c r="I874" t="s">
        <v>1497</v>
      </c>
      <c r="K874" t="s">
        <v>1693</v>
      </c>
      <c r="L874" t="s">
        <v>3072</v>
      </c>
      <c r="M874" t="s">
        <v>3086</v>
      </c>
      <c r="N874" s="4" t="s">
        <v>1500</v>
      </c>
    </row>
    <row r="875" spans="1:14" x14ac:dyDescent="0.25">
      <c r="A875" s="41" t="str">
        <f>Table1[[#This Row],[Route]]&amp;TEXT(Table1[[#This Row],[SegmentID]],"00")</f>
        <v>285D34</v>
      </c>
      <c r="B875" t="s">
        <v>1493</v>
      </c>
      <c r="D875">
        <f>IFERROR(ROUND(VLOOKUP(Table1[[#This Row],[Route]],SegmentsPerRoute!$C$3:$L$297,8,FALSE)+(Table1[[#This Row],[Sequence]]-1)*VLOOKUP(Table1[[#This Row],[Route]],SegmentsPerRoute!$C$3:$L$297,10,FALSE),0), 0)</f>
        <v>34</v>
      </c>
      <c r="E875">
        <v>4</v>
      </c>
      <c r="F875" s="1">
        <v>248.44300000000001</v>
      </c>
      <c r="G875" t="s">
        <v>1497</v>
      </c>
      <c r="H875" s="1">
        <v>250.08199999999999</v>
      </c>
      <c r="I875" t="s">
        <v>984</v>
      </c>
      <c r="K875" t="s">
        <v>1693</v>
      </c>
      <c r="L875" t="s">
        <v>3073</v>
      </c>
      <c r="M875" t="s">
        <v>3085</v>
      </c>
      <c r="N875" t="s">
        <v>1149</v>
      </c>
    </row>
    <row r="876" spans="1:14" x14ac:dyDescent="0.25">
      <c r="A876" s="41" t="str">
        <f>Table1[[#This Row],[Route]]&amp;TEXT(Table1[[#This Row],[SegmentID]],"00")</f>
        <v>285D41</v>
      </c>
      <c r="B876" t="s">
        <v>1493</v>
      </c>
      <c r="D876">
        <f>IFERROR(ROUND(VLOOKUP(Table1[[#This Row],[Route]],SegmentsPerRoute!$C$3:$L$297,8,FALSE)+(Table1[[#This Row],[Sequence]]-1)*VLOOKUP(Table1[[#This Row],[Route]],SegmentsPerRoute!$C$3:$L$297,10,FALSE),0), 0)</f>
        <v>41</v>
      </c>
      <c r="E876">
        <v>5</v>
      </c>
      <c r="F876" s="1">
        <v>250.08199999999999</v>
      </c>
      <c r="G876" t="s">
        <v>984</v>
      </c>
      <c r="H876" s="1">
        <v>253.512</v>
      </c>
      <c r="I876" t="s">
        <v>72</v>
      </c>
      <c r="K876" t="s">
        <v>1693</v>
      </c>
      <c r="L876" t="s">
        <v>3074</v>
      </c>
      <c r="M876" t="s">
        <v>3084</v>
      </c>
      <c r="N876" t="s">
        <v>1149</v>
      </c>
    </row>
    <row r="877" spans="1:14" x14ac:dyDescent="0.25">
      <c r="A877" s="41" t="str">
        <f>Table1[[#This Row],[Route]]&amp;TEXT(Table1[[#This Row],[SegmentID]],"00")</f>
        <v>285D47</v>
      </c>
      <c r="B877" t="s">
        <v>1493</v>
      </c>
      <c r="D877">
        <f>IFERROR(ROUND(VLOOKUP(Table1[[#This Row],[Route]],SegmentsPerRoute!$C$3:$L$297,8,FALSE)+(Table1[[#This Row],[Sequence]]-1)*VLOOKUP(Table1[[#This Row],[Route]],SegmentsPerRoute!$C$3:$L$297,10,FALSE),0), 0)</f>
        <v>47</v>
      </c>
      <c r="E877">
        <v>6</v>
      </c>
      <c r="F877" s="1">
        <v>253.512</v>
      </c>
      <c r="G877" t="s">
        <v>72</v>
      </c>
      <c r="H877" s="1">
        <v>255.03399999999999</v>
      </c>
      <c r="I877" t="s">
        <v>73</v>
      </c>
      <c r="K877" t="s">
        <v>1693</v>
      </c>
      <c r="L877" t="s">
        <v>3075</v>
      </c>
      <c r="M877" t="s">
        <v>3083</v>
      </c>
    </row>
    <row r="878" spans="1:14" x14ac:dyDescent="0.25">
      <c r="A878" s="41" t="str">
        <f>Table1[[#This Row],[Route]]&amp;TEXT(Table1[[#This Row],[SegmentID]],"00")</f>
        <v>285D53</v>
      </c>
      <c r="B878" t="s">
        <v>1493</v>
      </c>
      <c r="D878">
        <f>IFERROR(ROUND(VLOOKUP(Table1[[#This Row],[Route]],SegmentsPerRoute!$C$3:$L$297,8,FALSE)+(Table1[[#This Row],[Sequence]]-1)*VLOOKUP(Table1[[#This Row],[Route]],SegmentsPerRoute!$C$3:$L$297,10,FALSE),0), 0)</f>
        <v>53</v>
      </c>
      <c r="E878">
        <v>7</v>
      </c>
      <c r="F878" s="1">
        <v>255.03399999999999</v>
      </c>
      <c r="G878" t="s">
        <v>73</v>
      </c>
      <c r="H878" s="1">
        <v>256.54700000000003</v>
      </c>
      <c r="I878" t="s">
        <v>74</v>
      </c>
      <c r="K878" t="s">
        <v>1693</v>
      </c>
      <c r="L878" t="s">
        <v>3076</v>
      </c>
      <c r="M878" t="s">
        <v>3082</v>
      </c>
      <c r="N878" t="s">
        <v>155</v>
      </c>
    </row>
    <row r="879" spans="1:14" x14ac:dyDescent="0.25">
      <c r="A879" s="41" t="str">
        <f>Table1[[#This Row],[Route]]&amp;TEXT(Table1[[#This Row],[SegmentID]],"00")</f>
        <v>285D60</v>
      </c>
      <c r="B879" t="s">
        <v>1493</v>
      </c>
      <c r="D879">
        <f>IFERROR(ROUND(VLOOKUP(Table1[[#This Row],[Route]],SegmentsPerRoute!$C$3:$L$297,8,FALSE)+(Table1[[#This Row],[Sequence]]-1)*VLOOKUP(Table1[[#This Row],[Route]],SegmentsPerRoute!$C$3:$L$297,10,FALSE),0), 0)</f>
        <v>60</v>
      </c>
      <c r="E879">
        <v>8</v>
      </c>
      <c r="F879" s="1">
        <v>256.54700000000003</v>
      </c>
      <c r="G879" t="s">
        <v>74</v>
      </c>
      <c r="H879" s="1">
        <v>258.06299999999999</v>
      </c>
      <c r="I879" t="s">
        <v>75</v>
      </c>
      <c r="K879" t="s">
        <v>1693</v>
      </c>
      <c r="L879" t="s">
        <v>3076</v>
      </c>
      <c r="M879" t="s">
        <v>3082</v>
      </c>
      <c r="N879" t="s">
        <v>155</v>
      </c>
    </row>
    <row r="880" spans="1:14" x14ac:dyDescent="0.25">
      <c r="A880" s="41" t="str">
        <f>Table1[[#This Row],[Route]]&amp;TEXT(Table1[[#This Row],[SegmentID]],"00")</f>
        <v>285D66</v>
      </c>
      <c r="B880" t="s">
        <v>1493</v>
      </c>
      <c r="D880">
        <f>IFERROR(ROUND(VLOOKUP(Table1[[#This Row],[Route]],SegmentsPerRoute!$C$3:$L$297,8,FALSE)+(Table1[[#This Row],[Sequence]]-1)*VLOOKUP(Table1[[#This Row],[Route]],SegmentsPerRoute!$C$3:$L$297,10,FALSE),0), 0)</f>
        <v>66</v>
      </c>
      <c r="E880">
        <v>9</v>
      </c>
      <c r="F880" s="1">
        <v>258.06299999999999</v>
      </c>
      <c r="G880" t="s">
        <v>75</v>
      </c>
      <c r="H880" s="1">
        <v>259.32600000000002</v>
      </c>
      <c r="I880" t="s">
        <v>334</v>
      </c>
      <c r="K880" t="s">
        <v>1693</v>
      </c>
      <c r="L880" t="s">
        <v>3077</v>
      </c>
      <c r="M880" t="s">
        <v>3081</v>
      </c>
      <c r="N880" t="s">
        <v>1033</v>
      </c>
    </row>
    <row r="881" spans="1:14" x14ac:dyDescent="0.25">
      <c r="A881" s="41" t="str">
        <f>Table1[[#This Row],[Route]]&amp;TEXT(Table1[[#This Row],[SegmentID]],"00")</f>
        <v>285D73</v>
      </c>
      <c r="B881" t="s">
        <v>1493</v>
      </c>
      <c r="D881">
        <f>IFERROR(ROUND(VLOOKUP(Table1[[#This Row],[Route]],SegmentsPerRoute!$C$3:$L$297,8,FALSE)+(Table1[[#This Row],[Sequence]]-1)*VLOOKUP(Table1[[#This Row],[Route]],SegmentsPerRoute!$C$3:$L$297,10,FALSE),0), 0)</f>
        <v>73</v>
      </c>
      <c r="E881">
        <v>10</v>
      </c>
      <c r="F881" s="1">
        <v>259.32600000000002</v>
      </c>
      <c r="G881" t="s">
        <v>334</v>
      </c>
      <c r="H881" s="1">
        <v>261.71600000000001</v>
      </c>
      <c r="I881" t="s">
        <v>1027</v>
      </c>
      <c r="K881" t="s">
        <v>1693</v>
      </c>
      <c r="L881" t="s">
        <v>3078</v>
      </c>
      <c r="M881" t="s">
        <v>3080</v>
      </c>
      <c r="N881" t="s">
        <v>370</v>
      </c>
    </row>
    <row r="882" spans="1:14" x14ac:dyDescent="0.25">
      <c r="A882" s="41" t="str">
        <f>Table1[[#This Row],[Route]]&amp;TEXT(Table1[[#This Row],[SegmentID]],"00")</f>
        <v>285D79</v>
      </c>
      <c r="B882" t="s">
        <v>1493</v>
      </c>
      <c r="D882">
        <f>IFERROR(ROUND(VLOOKUP(Table1[[#This Row],[Route]],SegmentsPerRoute!$C$3:$L$297,8,FALSE)+(Table1[[#This Row],[Sequence]]-1)*VLOOKUP(Table1[[#This Row],[Route]],SegmentsPerRoute!$C$3:$L$297,10,FALSE),0), 0)</f>
        <v>79</v>
      </c>
      <c r="E882">
        <v>11</v>
      </c>
      <c r="F882" s="1">
        <v>261.71600000000001</v>
      </c>
      <c r="G882" t="s">
        <v>1027</v>
      </c>
      <c r="H882" s="1">
        <v>262.68799999999999</v>
      </c>
      <c r="I882" t="s">
        <v>83</v>
      </c>
      <c r="K882" t="s">
        <v>1693</v>
      </c>
      <c r="L882" t="s">
        <v>3078</v>
      </c>
      <c r="M882" t="s">
        <v>3080</v>
      </c>
    </row>
    <row r="883" spans="1:14" x14ac:dyDescent="0.25">
      <c r="A883" s="41" t="str">
        <f>Table1[[#This Row],[Route]]&amp;TEXT(Table1[[#This Row],[SegmentID]],"00")</f>
        <v>285D85</v>
      </c>
      <c r="B883" t="s">
        <v>1493</v>
      </c>
      <c r="D883">
        <f>IFERROR(ROUND(VLOOKUP(Table1[[#This Row],[Route]],SegmentsPerRoute!$C$3:$L$297,8,FALSE)+(Table1[[#This Row],[Sequence]]-1)*VLOOKUP(Table1[[#This Row],[Route]],SegmentsPerRoute!$C$3:$L$297,10,FALSE),0), 0)</f>
        <v>85</v>
      </c>
      <c r="E883">
        <v>12</v>
      </c>
      <c r="F883" s="1">
        <v>262.68799999999999</v>
      </c>
      <c r="G883" t="s">
        <v>83</v>
      </c>
      <c r="H883" s="1">
        <v>263.947</v>
      </c>
      <c r="I883" t="s">
        <v>1498</v>
      </c>
      <c r="K883" t="s">
        <v>1693</v>
      </c>
      <c r="L883" t="s">
        <v>3078</v>
      </c>
      <c r="M883" t="s">
        <v>3079</v>
      </c>
    </row>
    <row r="884" spans="1:14" x14ac:dyDescent="0.25">
      <c r="A884" s="41" t="str">
        <f>Table1[[#This Row],[Route]]&amp;TEXT(Table1[[#This Row],[SegmentID]],"00")</f>
        <v>287A01</v>
      </c>
      <c r="B884" t="s">
        <v>1501</v>
      </c>
      <c r="D884">
        <f>IFERROR(ROUND(VLOOKUP(Table1[[#This Row],[Route]],SegmentsPerRoute!$C$3:$L$297,8,FALSE)+(Table1[[#This Row],[Sequence]]-1)*VLOOKUP(Table1[[#This Row],[Route]],SegmentsPerRoute!$C$3:$L$297,10,FALSE),0), 0)</f>
        <v>1</v>
      </c>
      <c r="E884">
        <v>1</v>
      </c>
      <c r="F884" s="1">
        <v>0</v>
      </c>
      <c r="G884" t="s">
        <v>1502</v>
      </c>
      <c r="H884" s="1">
        <v>28.777000000000001</v>
      </c>
      <c r="I884" t="s">
        <v>1504</v>
      </c>
      <c r="K884" t="s">
        <v>1695</v>
      </c>
      <c r="L884" t="s">
        <v>3087</v>
      </c>
      <c r="M884" t="s">
        <v>3090</v>
      </c>
      <c r="N884" t="s">
        <v>1506</v>
      </c>
    </row>
    <row r="885" spans="1:14" x14ac:dyDescent="0.25">
      <c r="A885" s="41" t="str">
        <f>Table1[[#This Row],[Route]]&amp;TEXT(Table1[[#This Row],[SegmentID]],"00")</f>
        <v>287A43</v>
      </c>
      <c r="B885" t="s">
        <v>1501</v>
      </c>
      <c r="D885">
        <f>IFERROR(ROUND(VLOOKUP(Table1[[#This Row],[Route]],SegmentsPerRoute!$C$3:$L$297,8,FALSE)+(Table1[[#This Row],[Sequence]]-1)*VLOOKUP(Table1[[#This Row],[Route]],SegmentsPerRoute!$C$3:$L$297,10,FALSE),0), 0)</f>
        <v>43</v>
      </c>
      <c r="E885">
        <v>2</v>
      </c>
      <c r="F885" s="1">
        <v>28.777000000000001</v>
      </c>
      <c r="G885" t="s">
        <v>1504</v>
      </c>
      <c r="H885" s="1">
        <v>40.771999999999998</v>
      </c>
      <c r="I885" t="s">
        <v>1503</v>
      </c>
      <c r="K885" t="s">
        <v>1695</v>
      </c>
      <c r="L885" t="s">
        <v>3088</v>
      </c>
      <c r="M885" t="s">
        <v>3089</v>
      </c>
    </row>
    <row r="886" spans="1:14" x14ac:dyDescent="0.25">
      <c r="A886" s="41" t="str">
        <f>Table1[[#This Row],[Route]]&amp;TEXT(Table1[[#This Row],[SegmentID]],"00")</f>
        <v>287A85</v>
      </c>
      <c r="B886" t="s">
        <v>1501</v>
      </c>
      <c r="D886">
        <f>IFERROR(ROUND(VLOOKUP(Table1[[#This Row],[Route]],SegmentsPerRoute!$C$3:$L$297,8,FALSE)+(Table1[[#This Row],[Sequence]]-1)*VLOOKUP(Table1[[#This Row],[Route]],SegmentsPerRoute!$C$3:$L$297,10,FALSE),0), 0)</f>
        <v>85</v>
      </c>
      <c r="E886">
        <v>3</v>
      </c>
      <c r="F886" s="1">
        <v>40.771999999999998</v>
      </c>
      <c r="G886" t="s">
        <v>1503</v>
      </c>
      <c r="H886" s="1">
        <v>77.638999999999996</v>
      </c>
      <c r="I886" t="s">
        <v>1505</v>
      </c>
      <c r="K886" t="s">
        <v>1695</v>
      </c>
      <c r="L886" t="s">
        <v>3088</v>
      </c>
      <c r="M886" t="s">
        <v>3089</v>
      </c>
      <c r="N886" t="s">
        <v>1507</v>
      </c>
    </row>
    <row r="887" spans="1:14" x14ac:dyDescent="0.25">
      <c r="A887" s="41" t="str">
        <f>Table1[[#This Row],[Route]]&amp;TEXT(Table1[[#This Row],[SegmentID]],"00")</f>
        <v>287B15</v>
      </c>
      <c r="B887" t="s">
        <v>1508</v>
      </c>
      <c r="D887">
        <f>IFERROR(ROUND(VLOOKUP(Table1[[#This Row],[Route]],SegmentsPerRoute!$C$3:$L$297,8,FALSE)+(Table1[[#This Row],[Sequence]]-1)*VLOOKUP(Table1[[#This Row],[Route]],SegmentsPerRoute!$C$3:$L$297,10,FALSE),0), 0)</f>
        <v>15</v>
      </c>
      <c r="E887">
        <v>1</v>
      </c>
      <c r="F887" s="1">
        <v>85.188000000000002</v>
      </c>
      <c r="G887" t="s">
        <v>1509</v>
      </c>
      <c r="H887" s="1">
        <v>87.370999999999995</v>
      </c>
      <c r="I887" t="s">
        <v>1510</v>
      </c>
      <c r="K887" t="s">
        <v>1691</v>
      </c>
      <c r="L887" t="s">
        <v>3091</v>
      </c>
      <c r="M887" t="s">
        <v>3096</v>
      </c>
    </row>
    <row r="888" spans="1:14" x14ac:dyDescent="0.25">
      <c r="A888" s="41" t="str">
        <f>Table1[[#This Row],[Route]]&amp;TEXT(Table1[[#This Row],[SegmentID]],"00")</f>
        <v>287B38</v>
      </c>
      <c r="B888" t="s">
        <v>1508</v>
      </c>
      <c r="D888">
        <f>IFERROR(ROUND(VLOOKUP(Table1[[#This Row],[Route]],SegmentsPerRoute!$C$3:$L$297,8,FALSE)+(Table1[[#This Row],[Sequence]]-1)*VLOOKUP(Table1[[#This Row],[Route]],SegmentsPerRoute!$C$3:$L$297,10,FALSE),0), 0)</f>
        <v>38</v>
      </c>
      <c r="E888">
        <v>2</v>
      </c>
      <c r="F888" s="1">
        <v>87.370999999999995</v>
      </c>
      <c r="G888" t="s">
        <v>1510</v>
      </c>
      <c r="H888" s="1">
        <v>110.59</v>
      </c>
      <c r="I888" t="s">
        <v>1511</v>
      </c>
      <c r="K888" t="s">
        <v>1691</v>
      </c>
      <c r="L888" t="s">
        <v>3092</v>
      </c>
      <c r="M888" t="s">
        <v>3095</v>
      </c>
      <c r="N888" t="s">
        <v>1514</v>
      </c>
    </row>
    <row r="889" spans="1:14" x14ac:dyDescent="0.25">
      <c r="A889" s="41" t="str">
        <f>Table1[[#This Row],[Route]]&amp;TEXT(Table1[[#This Row],[SegmentID]],"00")</f>
        <v>287B62</v>
      </c>
      <c r="B889" t="s">
        <v>1508</v>
      </c>
      <c r="D889">
        <f>IFERROR(ROUND(VLOOKUP(Table1[[#This Row],[Route]],SegmentsPerRoute!$C$3:$L$297,8,FALSE)+(Table1[[#This Row],[Sequence]]-1)*VLOOKUP(Table1[[#This Row],[Route]],SegmentsPerRoute!$C$3:$L$297,10,FALSE),0), 0)</f>
        <v>62</v>
      </c>
      <c r="E889">
        <v>3</v>
      </c>
      <c r="F889" s="1">
        <v>110.59</v>
      </c>
      <c r="G889" t="s">
        <v>1511</v>
      </c>
      <c r="H889" s="1">
        <v>113.42</v>
      </c>
      <c r="I889" t="s">
        <v>1512</v>
      </c>
      <c r="K889" t="s">
        <v>1691</v>
      </c>
      <c r="L889" t="s">
        <v>3093</v>
      </c>
      <c r="M889" t="s">
        <v>3094</v>
      </c>
    </row>
    <row r="890" spans="1:14" x14ac:dyDescent="0.25">
      <c r="A890" s="41" t="str">
        <f>Table1[[#This Row],[Route]]&amp;TEXT(Table1[[#This Row],[SegmentID]],"00")</f>
        <v>287B85</v>
      </c>
      <c r="B890" t="s">
        <v>1508</v>
      </c>
      <c r="D890">
        <f>IFERROR(ROUND(VLOOKUP(Table1[[#This Row],[Route]],SegmentsPerRoute!$C$3:$L$297,8,FALSE)+(Table1[[#This Row],[Sequence]]-1)*VLOOKUP(Table1[[#This Row],[Route]],SegmentsPerRoute!$C$3:$L$297,10,FALSE),0), 0)</f>
        <v>85</v>
      </c>
      <c r="E890">
        <v>4</v>
      </c>
      <c r="F890" s="1">
        <v>113.42</v>
      </c>
      <c r="G890" t="s">
        <v>1512</v>
      </c>
      <c r="H890" s="1">
        <v>133.24</v>
      </c>
      <c r="I890" t="s">
        <v>1513</v>
      </c>
      <c r="K890" t="s">
        <v>1691</v>
      </c>
      <c r="L890" t="s">
        <v>3093</v>
      </c>
      <c r="M890" t="s">
        <v>3094</v>
      </c>
      <c r="N890" t="s">
        <v>1515</v>
      </c>
    </row>
    <row r="891" spans="1:14" x14ac:dyDescent="0.25">
      <c r="A891" s="41" t="str">
        <f>Table1[[#This Row],[Route]]&amp;TEXT(Table1[[#This Row],[SegmentID]],"00")</f>
        <v>287C15</v>
      </c>
      <c r="B891" t="s">
        <v>1516</v>
      </c>
      <c r="C891" s="3" t="s">
        <v>1536</v>
      </c>
      <c r="D891">
        <f>IFERROR(ROUND(VLOOKUP(Table1[[#This Row],[Route]],SegmentsPerRoute!$C$3:$L$297,8,FALSE)+(Table1[[#This Row],[Sequence]]-1)*VLOOKUP(Table1[[#This Row],[Route]],SegmentsPerRoute!$C$3:$L$297,10,FALSE),0), 0)</f>
        <v>15</v>
      </c>
      <c r="E891">
        <v>1</v>
      </c>
      <c r="F891" s="1">
        <v>282.7</v>
      </c>
      <c r="G891" t="s">
        <v>1517</v>
      </c>
      <c r="H891" s="1">
        <v>285.75200000000001</v>
      </c>
      <c r="I891" t="s">
        <v>1519</v>
      </c>
      <c r="K891" t="s">
        <v>1700</v>
      </c>
      <c r="L891" t="s">
        <v>3097</v>
      </c>
      <c r="M891" t="s">
        <v>3118</v>
      </c>
    </row>
    <row r="892" spans="1:14" x14ac:dyDescent="0.25">
      <c r="A892" s="41" t="str">
        <f>Table1[[#This Row],[Route]]&amp;TEXT(Table1[[#This Row],[SegmentID]],"00")</f>
        <v>287C19</v>
      </c>
      <c r="B892" t="s">
        <v>1516</v>
      </c>
      <c r="C892" s="3" t="s">
        <v>1536</v>
      </c>
      <c r="D892">
        <f>IFERROR(ROUND(VLOOKUP(Table1[[#This Row],[Route]],SegmentsPerRoute!$C$3:$L$297,8,FALSE)+(Table1[[#This Row],[Sequence]]-1)*VLOOKUP(Table1[[#This Row],[Route]],SegmentsPerRoute!$C$3:$L$297,10,FALSE),0), 0)</f>
        <v>19</v>
      </c>
      <c r="E892">
        <v>2</v>
      </c>
      <c r="F892" s="1">
        <v>285.75200000000001</v>
      </c>
      <c r="G892" t="s">
        <v>1519</v>
      </c>
      <c r="H892" s="1">
        <v>286.91300000000001</v>
      </c>
      <c r="I892" t="s">
        <v>1518</v>
      </c>
      <c r="K892" t="s">
        <v>1700</v>
      </c>
      <c r="L892" t="s">
        <v>3097</v>
      </c>
      <c r="M892" t="s">
        <v>3118</v>
      </c>
    </row>
    <row r="893" spans="1:14" x14ac:dyDescent="0.25">
      <c r="A893" s="41" t="str">
        <f>Table1[[#This Row],[Route]]&amp;TEXT(Table1[[#This Row],[SegmentID]],"00")</f>
        <v>287C22</v>
      </c>
      <c r="B893" t="s">
        <v>1516</v>
      </c>
      <c r="C893" s="3" t="s">
        <v>1536</v>
      </c>
      <c r="D893">
        <f>IFERROR(ROUND(VLOOKUP(Table1[[#This Row],[Route]],SegmentsPerRoute!$C$3:$L$297,8,FALSE)+(Table1[[#This Row],[Sequence]]-1)*VLOOKUP(Table1[[#This Row],[Route]],SegmentsPerRoute!$C$3:$L$297,10,FALSE),0), 0)</f>
        <v>22</v>
      </c>
      <c r="E893">
        <v>3</v>
      </c>
      <c r="F893" s="1">
        <v>286.91300000000001</v>
      </c>
      <c r="G893" t="s">
        <v>1518</v>
      </c>
      <c r="H893" s="1">
        <v>289.36700000000002</v>
      </c>
      <c r="I893" t="s">
        <v>1520</v>
      </c>
      <c r="K893" t="s">
        <v>1700</v>
      </c>
      <c r="L893" t="s">
        <v>3097</v>
      </c>
      <c r="M893" t="s">
        <v>3118</v>
      </c>
      <c r="N893" t="s">
        <v>1543</v>
      </c>
    </row>
    <row r="894" spans="1:14" x14ac:dyDescent="0.25">
      <c r="A894" s="41" t="str">
        <f>Table1[[#This Row],[Route]]&amp;TEXT(Table1[[#This Row],[SegmentID]],"00")</f>
        <v>287C26</v>
      </c>
      <c r="B894" t="s">
        <v>1516</v>
      </c>
      <c r="C894" s="3" t="s">
        <v>1538</v>
      </c>
      <c r="D894">
        <f>IFERROR(ROUND(VLOOKUP(Table1[[#This Row],[Route]],SegmentsPerRoute!$C$3:$L$297,8,FALSE)+(Table1[[#This Row],[Sequence]]-1)*VLOOKUP(Table1[[#This Row],[Route]],SegmentsPerRoute!$C$3:$L$297,10,FALSE),0), 0)</f>
        <v>26</v>
      </c>
      <c r="E894">
        <v>4</v>
      </c>
      <c r="F894" s="1">
        <v>289.36700000000002</v>
      </c>
      <c r="G894" t="s">
        <v>1520</v>
      </c>
      <c r="H894" s="1">
        <v>294.71100000000001</v>
      </c>
      <c r="I894" t="s">
        <v>1521</v>
      </c>
      <c r="K894" t="s">
        <v>1701</v>
      </c>
      <c r="L894" t="s">
        <v>3098</v>
      </c>
      <c r="M894" t="s">
        <v>3117</v>
      </c>
    </row>
    <row r="895" spans="1:14" x14ac:dyDescent="0.25">
      <c r="A895" s="41" t="str">
        <f>Table1[[#This Row],[Route]]&amp;TEXT(Table1[[#This Row],[SegmentID]],"00")</f>
        <v>287C30</v>
      </c>
      <c r="B895" t="s">
        <v>1516</v>
      </c>
      <c r="C895" s="3" t="s">
        <v>1541</v>
      </c>
      <c r="D895">
        <f>IFERROR(ROUND(VLOOKUP(Table1[[#This Row],[Route]],SegmentsPerRoute!$C$3:$L$297,8,FALSE)+(Table1[[#This Row],[Sequence]]-1)*VLOOKUP(Table1[[#This Row],[Route]],SegmentsPerRoute!$C$3:$L$297,10,FALSE),0), 0)</f>
        <v>30</v>
      </c>
      <c r="E895">
        <v>5</v>
      </c>
      <c r="F895" s="1">
        <v>294.71100000000001</v>
      </c>
      <c r="G895" t="s">
        <v>1521</v>
      </c>
      <c r="H895" s="1">
        <v>297.44299999999998</v>
      </c>
      <c r="I895" t="s">
        <v>1522</v>
      </c>
      <c r="K895" t="s">
        <v>1700</v>
      </c>
      <c r="L895" t="s">
        <v>3099</v>
      </c>
      <c r="M895" t="s">
        <v>3116</v>
      </c>
      <c r="N895" t="s">
        <v>369</v>
      </c>
    </row>
    <row r="896" spans="1:14" x14ac:dyDescent="0.25">
      <c r="A896" s="41" t="str">
        <f>Table1[[#This Row],[Route]]&amp;TEXT(Table1[[#This Row],[SegmentID]],"00")</f>
        <v>287C34</v>
      </c>
      <c r="B896" t="s">
        <v>1516</v>
      </c>
      <c r="C896" s="3" t="s">
        <v>1541</v>
      </c>
      <c r="D896">
        <f>IFERROR(ROUND(VLOOKUP(Table1[[#This Row],[Route]],SegmentsPerRoute!$C$3:$L$297,8,FALSE)+(Table1[[#This Row],[Sequence]]-1)*VLOOKUP(Table1[[#This Row],[Route]],SegmentsPerRoute!$C$3:$L$297,10,FALSE),0), 0)</f>
        <v>34</v>
      </c>
      <c r="E896">
        <v>6</v>
      </c>
      <c r="F896" s="1">
        <v>297.44299999999998</v>
      </c>
      <c r="G896" t="s">
        <v>1522</v>
      </c>
      <c r="H896" s="1">
        <v>298.08199999999999</v>
      </c>
      <c r="I896" t="s">
        <v>465</v>
      </c>
      <c r="K896" t="s">
        <v>1700</v>
      </c>
      <c r="L896" t="s">
        <v>3099</v>
      </c>
      <c r="M896" t="s">
        <v>3116</v>
      </c>
    </row>
    <row r="897" spans="1:14" x14ac:dyDescent="0.25">
      <c r="A897" s="41" t="str">
        <f>Table1[[#This Row],[Route]]&amp;TEXT(Table1[[#This Row],[SegmentID]],"00")</f>
        <v>287C37</v>
      </c>
      <c r="B897" t="s">
        <v>1516</v>
      </c>
      <c r="C897" s="3" t="s">
        <v>1541</v>
      </c>
      <c r="D897">
        <f>IFERROR(ROUND(VLOOKUP(Table1[[#This Row],[Route]],SegmentsPerRoute!$C$3:$L$297,8,FALSE)+(Table1[[#This Row],[Sequence]]-1)*VLOOKUP(Table1[[#This Row],[Route]],SegmentsPerRoute!$C$3:$L$297,10,FALSE),0), 0)</f>
        <v>37</v>
      </c>
      <c r="E897">
        <v>7</v>
      </c>
      <c r="F897" s="1">
        <v>298.08199999999999</v>
      </c>
      <c r="G897" t="s">
        <v>465</v>
      </c>
      <c r="H897" s="1">
        <v>300.88600000000002</v>
      </c>
      <c r="I897" t="s">
        <v>1523</v>
      </c>
      <c r="K897" t="s">
        <v>1700</v>
      </c>
      <c r="L897" t="s">
        <v>3100</v>
      </c>
      <c r="M897" t="s">
        <v>3116</v>
      </c>
      <c r="N897" t="s">
        <v>134</v>
      </c>
    </row>
    <row r="898" spans="1:14" x14ac:dyDescent="0.25">
      <c r="A898" s="41" t="str">
        <f>Table1[[#This Row],[Route]]&amp;TEXT(Table1[[#This Row],[SegmentID]],"00")</f>
        <v>287C41</v>
      </c>
      <c r="B898" t="s">
        <v>1516</v>
      </c>
      <c r="C898" s="3" t="s">
        <v>1541</v>
      </c>
      <c r="D898">
        <f>IFERROR(ROUND(VLOOKUP(Table1[[#This Row],[Route]],SegmentsPerRoute!$C$3:$L$297,8,FALSE)+(Table1[[#This Row],[Sequence]]-1)*VLOOKUP(Table1[[#This Row],[Route]],SegmentsPerRoute!$C$3:$L$297,10,FALSE),0), 0)</f>
        <v>41</v>
      </c>
      <c r="E898">
        <v>8</v>
      </c>
      <c r="F898" s="1">
        <v>300.88600000000002</v>
      </c>
      <c r="G898" t="s">
        <v>1523</v>
      </c>
      <c r="H898" s="1">
        <v>301.82499999999999</v>
      </c>
      <c r="I898" t="s">
        <v>1524</v>
      </c>
      <c r="K898" t="s">
        <v>1700</v>
      </c>
      <c r="L898" t="s">
        <v>3101</v>
      </c>
      <c r="M898" t="s">
        <v>3115</v>
      </c>
    </row>
    <row r="899" spans="1:14" x14ac:dyDescent="0.25">
      <c r="A899" s="41" t="str">
        <f>Table1[[#This Row],[Route]]&amp;TEXT(Table1[[#This Row],[SegmentID]],"00")</f>
        <v>287C45</v>
      </c>
      <c r="B899" t="s">
        <v>1516</v>
      </c>
      <c r="C899" s="3" t="s">
        <v>1541</v>
      </c>
      <c r="D899">
        <f>IFERROR(ROUND(VLOOKUP(Table1[[#This Row],[Route]],SegmentsPerRoute!$C$3:$L$297,8,FALSE)+(Table1[[#This Row],[Sequence]]-1)*VLOOKUP(Table1[[#This Row],[Route]],SegmentsPerRoute!$C$3:$L$297,10,FALSE),0), 0)</f>
        <v>45</v>
      </c>
      <c r="E899">
        <v>9</v>
      </c>
      <c r="F899" s="1">
        <v>301.82499999999999</v>
      </c>
      <c r="G899" t="s">
        <v>1524</v>
      </c>
      <c r="H899" s="1">
        <v>304.27300000000002</v>
      </c>
      <c r="I899" t="s">
        <v>1525</v>
      </c>
      <c r="K899" t="s">
        <v>1700</v>
      </c>
      <c r="L899" t="s">
        <v>3101</v>
      </c>
      <c r="M899" t="s">
        <v>3115</v>
      </c>
      <c r="N899" t="s">
        <v>476</v>
      </c>
    </row>
    <row r="900" spans="1:14" x14ac:dyDescent="0.25">
      <c r="A900" s="41" t="str">
        <f>Table1[[#This Row],[Route]]&amp;TEXT(Table1[[#This Row],[SegmentID]],"00")</f>
        <v>287C48</v>
      </c>
      <c r="B900" t="s">
        <v>1516</v>
      </c>
      <c r="C900" s="3" t="s">
        <v>1541</v>
      </c>
      <c r="D900">
        <f>IFERROR(ROUND(VLOOKUP(Table1[[#This Row],[Route]],SegmentsPerRoute!$C$3:$L$297,8,FALSE)+(Table1[[#This Row],[Sequence]]-1)*VLOOKUP(Table1[[#This Row],[Route]],SegmentsPerRoute!$C$3:$L$297,10,FALSE),0), 0)</f>
        <v>48</v>
      </c>
      <c r="E900">
        <v>10</v>
      </c>
      <c r="F900" s="1">
        <v>304.27300000000002</v>
      </c>
      <c r="G900" t="s">
        <v>1525</v>
      </c>
      <c r="H900" s="1">
        <v>305.36099999999999</v>
      </c>
      <c r="I900" t="s">
        <v>461</v>
      </c>
      <c r="K900" t="s">
        <v>1700</v>
      </c>
      <c r="L900" t="s">
        <v>3102</v>
      </c>
      <c r="M900" t="s">
        <v>3114</v>
      </c>
      <c r="N900" t="s">
        <v>1064</v>
      </c>
    </row>
    <row r="901" spans="1:14" x14ac:dyDescent="0.25">
      <c r="A901" s="41" t="str">
        <f>Table1[[#This Row],[Route]]&amp;TEXT(Table1[[#This Row],[SegmentID]],"00")</f>
        <v>287C52</v>
      </c>
      <c r="B901" t="s">
        <v>1516</v>
      </c>
      <c r="C901" s="3" t="s">
        <v>1542</v>
      </c>
      <c r="D901">
        <f>IFERROR(ROUND(VLOOKUP(Table1[[#This Row],[Route]],SegmentsPerRoute!$C$3:$L$297,8,FALSE)+(Table1[[#This Row],[Sequence]]-1)*VLOOKUP(Table1[[#This Row],[Route]],SegmentsPerRoute!$C$3:$L$297,10,FALSE),0), 0)</f>
        <v>52</v>
      </c>
      <c r="E901">
        <v>11</v>
      </c>
      <c r="F901" s="1">
        <v>305.36099999999999</v>
      </c>
      <c r="G901" t="s">
        <v>461</v>
      </c>
      <c r="H901" s="1">
        <v>310.39</v>
      </c>
      <c r="I901" t="s">
        <v>1169</v>
      </c>
      <c r="K901" t="s">
        <v>1700</v>
      </c>
      <c r="L901" t="s">
        <v>3103</v>
      </c>
      <c r="M901" t="s">
        <v>3113</v>
      </c>
      <c r="N901" t="s">
        <v>475</v>
      </c>
    </row>
    <row r="902" spans="1:14" x14ac:dyDescent="0.25">
      <c r="A902" s="41" t="str">
        <f>Table1[[#This Row],[Route]]&amp;TEXT(Table1[[#This Row],[SegmentID]],"00")</f>
        <v>287C56</v>
      </c>
      <c r="B902" t="s">
        <v>1516</v>
      </c>
      <c r="C902" s="3" t="s">
        <v>1542</v>
      </c>
      <c r="D902">
        <f>IFERROR(ROUND(VLOOKUP(Table1[[#This Row],[Route]],SegmentsPerRoute!$C$3:$L$297,8,FALSE)+(Table1[[#This Row],[Sequence]]-1)*VLOOKUP(Table1[[#This Row],[Route]],SegmentsPerRoute!$C$3:$L$297,10,FALSE),0), 0)</f>
        <v>56</v>
      </c>
      <c r="E902">
        <v>12</v>
      </c>
      <c r="F902" s="1">
        <v>310.39</v>
      </c>
      <c r="G902" t="s">
        <v>1169</v>
      </c>
      <c r="H902" s="1">
        <v>314.90199999999999</v>
      </c>
      <c r="I902" t="s">
        <v>1526</v>
      </c>
      <c r="K902" t="s">
        <v>1700</v>
      </c>
      <c r="L902" t="s">
        <v>3104</v>
      </c>
      <c r="M902" t="s">
        <v>3112</v>
      </c>
      <c r="N902" t="s">
        <v>473</v>
      </c>
    </row>
    <row r="903" spans="1:14" x14ac:dyDescent="0.25">
      <c r="A903" s="41" t="str">
        <f>Table1[[#This Row],[Route]]&amp;TEXT(Table1[[#This Row],[SegmentID]],"00")</f>
        <v>287C59</v>
      </c>
      <c r="B903" t="s">
        <v>1516</v>
      </c>
      <c r="C903" s="3" t="s">
        <v>1542</v>
      </c>
      <c r="D903">
        <f>IFERROR(ROUND(VLOOKUP(Table1[[#This Row],[Route]],SegmentsPerRoute!$C$3:$L$297,8,FALSE)+(Table1[[#This Row],[Sequence]]-1)*VLOOKUP(Table1[[#This Row],[Route]],SegmentsPerRoute!$C$3:$L$297,10,FALSE),0), 0)</f>
        <v>59</v>
      </c>
      <c r="E903">
        <v>13</v>
      </c>
      <c r="F903" s="1">
        <v>314.90199999999999</v>
      </c>
      <c r="G903" t="s">
        <v>1526</v>
      </c>
      <c r="H903" s="1">
        <v>318.32600000000002</v>
      </c>
      <c r="I903" t="s">
        <v>349</v>
      </c>
      <c r="K903" t="s">
        <v>1700</v>
      </c>
      <c r="L903" t="s">
        <v>3105</v>
      </c>
      <c r="M903" t="s">
        <v>3111</v>
      </c>
      <c r="N903" t="s">
        <v>371</v>
      </c>
    </row>
    <row r="904" spans="1:14" x14ac:dyDescent="0.25">
      <c r="A904" s="41" t="str">
        <f>Table1[[#This Row],[Route]]&amp;TEXT(Table1[[#This Row],[SegmentID]],"00")</f>
        <v>287C63</v>
      </c>
      <c r="B904" t="s">
        <v>1516</v>
      </c>
      <c r="C904" s="3" t="s">
        <v>1537</v>
      </c>
      <c r="D904">
        <f>IFERROR(ROUND(VLOOKUP(Table1[[#This Row],[Route]],SegmentsPerRoute!$C$3:$L$297,8,FALSE)+(Table1[[#This Row],[Sequence]]-1)*VLOOKUP(Table1[[#This Row],[Route]],SegmentsPerRoute!$C$3:$L$297,10,FALSE),0), 0)</f>
        <v>63</v>
      </c>
      <c r="E904">
        <v>14</v>
      </c>
      <c r="F904" s="1">
        <v>318.32600000000002</v>
      </c>
      <c r="G904" t="s">
        <v>349</v>
      </c>
      <c r="H904" s="1">
        <v>325.529</v>
      </c>
      <c r="I904" t="s">
        <v>1527</v>
      </c>
      <c r="K904" t="s">
        <v>1700</v>
      </c>
      <c r="L904" t="s">
        <v>3106</v>
      </c>
      <c r="M904" t="s">
        <v>3110</v>
      </c>
      <c r="N904" t="s">
        <v>1544</v>
      </c>
    </row>
    <row r="905" spans="1:14" x14ac:dyDescent="0.25">
      <c r="A905" s="41" t="str">
        <f>Table1[[#This Row],[Route]]&amp;TEXT(Table1[[#This Row],[SegmentID]],"00")</f>
        <v>287C67</v>
      </c>
      <c r="B905" t="s">
        <v>1516</v>
      </c>
      <c r="C905" s="3" t="s">
        <v>1537</v>
      </c>
      <c r="D905">
        <f>IFERROR(ROUND(VLOOKUP(Table1[[#This Row],[Route]],SegmentsPerRoute!$C$3:$L$297,8,FALSE)+(Table1[[#This Row],[Sequence]]-1)*VLOOKUP(Table1[[#This Row],[Route]],SegmentsPerRoute!$C$3:$L$297,10,FALSE),0), 0)</f>
        <v>67</v>
      </c>
      <c r="E905">
        <v>15</v>
      </c>
      <c r="F905" s="1">
        <v>325.529</v>
      </c>
      <c r="G905" t="s">
        <v>1527</v>
      </c>
      <c r="H905" s="1">
        <v>330.02300000000002</v>
      </c>
      <c r="I905" t="s">
        <v>1528</v>
      </c>
      <c r="K905" t="s">
        <v>1700</v>
      </c>
      <c r="L905" t="s">
        <v>3106</v>
      </c>
      <c r="M905" t="s">
        <v>3110</v>
      </c>
    </row>
    <row r="906" spans="1:14" x14ac:dyDescent="0.25">
      <c r="A906" s="41" t="str">
        <f>Table1[[#This Row],[Route]]&amp;TEXT(Table1[[#This Row],[SegmentID]],"00")</f>
        <v>287C71</v>
      </c>
      <c r="B906" t="s">
        <v>1516</v>
      </c>
      <c r="C906" s="3" t="s">
        <v>1537</v>
      </c>
      <c r="D906">
        <f>IFERROR(ROUND(VLOOKUP(Table1[[#This Row],[Route]],SegmentsPerRoute!$C$3:$L$297,8,FALSE)+(Table1[[#This Row],[Sequence]]-1)*VLOOKUP(Table1[[#This Row],[Route]],SegmentsPerRoute!$C$3:$L$297,10,FALSE),0), 0)</f>
        <v>71</v>
      </c>
      <c r="E906">
        <v>16</v>
      </c>
      <c r="F906" s="1">
        <v>330.02300000000002</v>
      </c>
      <c r="G906" t="s">
        <v>1528</v>
      </c>
      <c r="H906" s="1">
        <v>332.02800000000002</v>
      </c>
      <c r="I906" t="s">
        <v>1529</v>
      </c>
      <c r="K906" t="s">
        <v>1700</v>
      </c>
      <c r="L906" t="s">
        <v>3106</v>
      </c>
      <c r="M906" t="s">
        <v>3110</v>
      </c>
    </row>
    <row r="907" spans="1:14" x14ac:dyDescent="0.25">
      <c r="A907" s="41" t="str">
        <f>Table1[[#This Row],[Route]]&amp;TEXT(Table1[[#This Row],[SegmentID]],"00")</f>
        <v>287C74</v>
      </c>
      <c r="B907" t="s">
        <v>1516</v>
      </c>
      <c r="C907" s="3" t="s">
        <v>1537</v>
      </c>
      <c r="D907">
        <f>IFERROR(ROUND(VLOOKUP(Table1[[#This Row],[Route]],SegmentsPerRoute!$C$3:$L$297,8,FALSE)+(Table1[[#This Row],[Sequence]]-1)*VLOOKUP(Table1[[#This Row],[Route]],SegmentsPerRoute!$C$3:$L$297,10,FALSE),0), 0)</f>
        <v>74</v>
      </c>
      <c r="E907">
        <v>17</v>
      </c>
      <c r="F907" s="1">
        <v>332.02800000000002</v>
      </c>
      <c r="G907" t="s">
        <v>1529</v>
      </c>
      <c r="H907" s="1">
        <v>332.613</v>
      </c>
      <c r="I907" t="s">
        <v>1531</v>
      </c>
      <c r="K907" t="s">
        <v>1700</v>
      </c>
      <c r="L907" t="s">
        <v>3106</v>
      </c>
      <c r="M907" t="s">
        <v>3110</v>
      </c>
      <c r="N907" t="s">
        <v>373</v>
      </c>
    </row>
    <row r="908" spans="1:14" x14ac:dyDescent="0.25">
      <c r="A908" s="41" t="str">
        <f>Table1[[#This Row],[Route]]&amp;TEXT(Table1[[#This Row],[SegmentID]],"00")</f>
        <v>287C78</v>
      </c>
      <c r="B908" t="s">
        <v>1516</v>
      </c>
      <c r="C908" s="3" t="s">
        <v>1537</v>
      </c>
      <c r="D908">
        <f>IFERROR(ROUND(VLOOKUP(Table1[[#This Row],[Route]],SegmentsPerRoute!$C$3:$L$297,8,FALSE)+(Table1[[#This Row],[Sequence]]-1)*VLOOKUP(Table1[[#This Row],[Route]],SegmentsPerRoute!$C$3:$L$297,10,FALSE),0), 0)</f>
        <v>78</v>
      </c>
      <c r="E908">
        <v>18</v>
      </c>
      <c r="F908" s="1">
        <v>332.613</v>
      </c>
      <c r="G908" t="s">
        <v>1531</v>
      </c>
      <c r="H908" s="1">
        <v>334.053</v>
      </c>
      <c r="I908" t="s">
        <v>1530</v>
      </c>
      <c r="K908" t="s">
        <v>1700</v>
      </c>
      <c r="L908" t="s">
        <v>3106</v>
      </c>
      <c r="M908" t="s">
        <v>3109</v>
      </c>
    </row>
    <row r="909" spans="1:14" x14ac:dyDescent="0.25">
      <c r="A909" s="41" t="str">
        <f>Table1[[#This Row],[Route]]&amp;TEXT(Table1[[#This Row],[SegmentID]],"00")</f>
        <v>287C82</v>
      </c>
      <c r="B909" t="s">
        <v>1516</v>
      </c>
      <c r="C909" s="3" t="s">
        <v>1537</v>
      </c>
      <c r="D909">
        <f>IFERROR(ROUND(VLOOKUP(Table1[[#This Row],[Route]],SegmentsPerRoute!$C$3:$L$297,8,FALSE)+(Table1[[#This Row],[Sequence]]-1)*VLOOKUP(Table1[[#This Row],[Route]],SegmentsPerRoute!$C$3:$L$297,10,FALSE),0), 0)</f>
        <v>82</v>
      </c>
      <c r="E909">
        <v>19</v>
      </c>
      <c r="F909" s="1">
        <v>334.053</v>
      </c>
      <c r="G909" t="s">
        <v>1530</v>
      </c>
      <c r="H909" s="1">
        <v>334.31200000000001</v>
      </c>
      <c r="I909" t="s">
        <v>1531</v>
      </c>
      <c r="K909" t="s">
        <v>1700</v>
      </c>
      <c r="L909" t="s">
        <v>3106</v>
      </c>
      <c r="M909" t="s">
        <v>3109</v>
      </c>
    </row>
    <row r="910" spans="1:14" x14ac:dyDescent="0.25">
      <c r="A910" s="41" t="str">
        <f>Table1[[#This Row],[Route]]&amp;TEXT(Table1[[#This Row],[SegmentID]],"00")</f>
        <v>287C85</v>
      </c>
      <c r="B910" t="s">
        <v>1516</v>
      </c>
      <c r="C910" s="3" t="s">
        <v>1537</v>
      </c>
      <c r="D910">
        <f>IFERROR(ROUND(VLOOKUP(Table1[[#This Row],[Route]],SegmentsPerRoute!$C$3:$L$297,8,FALSE)+(Table1[[#This Row],[Sequence]]-1)*VLOOKUP(Table1[[#This Row],[Route]],SegmentsPerRoute!$C$3:$L$297,10,FALSE),0), 0)</f>
        <v>85</v>
      </c>
      <c r="E910">
        <v>20</v>
      </c>
      <c r="F910" s="1">
        <v>334.31200000000001</v>
      </c>
      <c r="G910" t="s">
        <v>1531</v>
      </c>
      <c r="H910" s="1">
        <v>339.12799999999999</v>
      </c>
      <c r="I910" t="s">
        <v>1532</v>
      </c>
      <c r="K910" t="s">
        <v>1700</v>
      </c>
      <c r="L910" t="s">
        <v>3106</v>
      </c>
      <c r="M910" t="s">
        <v>3110</v>
      </c>
      <c r="N910" t="s">
        <v>1173</v>
      </c>
    </row>
    <row r="911" spans="1:14" x14ac:dyDescent="0.25">
      <c r="A911" s="41" t="str">
        <f>Table1[[#This Row],[Route]]&amp;TEXT(Table1[[#This Row],[SegmentID]],"00")</f>
        <v>287C89</v>
      </c>
      <c r="B911" t="s">
        <v>1516</v>
      </c>
      <c r="C911" s="3" t="s">
        <v>1540</v>
      </c>
      <c r="D911">
        <f>IFERROR(ROUND(VLOOKUP(Table1[[#This Row],[Route]],SegmentsPerRoute!$C$3:$L$297,8,FALSE)+(Table1[[#This Row],[Sequence]]-1)*VLOOKUP(Table1[[#This Row],[Route]],SegmentsPerRoute!$C$3:$L$297,10,FALSE),0), 0)</f>
        <v>89</v>
      </c>
      <c r="E911">
        <v>21</v>
      </c>
      <c r="F911" s="1">
        <v>339.12799999999999</v>
      </c>
      <c r="G911" t="s">
        <v>1532</v>
      </c>
      <c r="H911" s="1">
        <v>346.87400000000002</v>
      </c>
      <c r="I911" t="s">
        <v>1533</v>
      </c>
      <c r="K911" t="s">
        <v>1700</v>
      </c>
      <c r="L911" t="s">
        <v>3107</v>
      </c>
      <c r="M911" t="s">
        <v>3108</v>
      </c>
      <c r="N911" t="s">
        <v>1545</v>
      </c>
    </row>
    <row r="912" spans="1:14" x14ac:dyDescent="0.25">
      <c r="A912" s="41" t="str">
        <f>Table1[[#This Row],[Route]]&amp;TEXT(Table1[[#This Row],[SegmentID]],"00")</f>
        <v>287C93</v>
      </c>
      <c r="B912" t="s">
        <v>1516</v>
      </c>
      <c r="C912" s="3" t="s">
        <v>1540</v>
      </c>
      <c r="D912">
        <f>IFERROR(ROUND(VLOOKUP(Table1[[#This Row],[Route]],SegmentsPerRoute!$C$3:$L$297,8,FALSE)+(Table1[[#This Row],[Sequence]]-1)*VLOOKUP(Table1[[#This Row],[Route]],SegmentsPerRoute!$C$3:$L$297,10,FALSE),0), 0)</f>
        <v>93</v>
      </c>
      <c r="E912">
        <v>22</v>
      </c>
      <c r="F912" s="1">
        <v>346.87400000000002</v>
      </c>
      <c r="G912" t="s">
        <v>1533</v>
      </c>
      <c r="H912" s="1">
        <v>348.63499999999999</v>
      </c>
      <c r="I912" t="s">
        <v>1534</v>
      </c>
      <c r="K912" t="s">
        <v>1700</v>
      </c>
      <c r="L912" t="s">
        <v>3107</v>
      </c>
      <c r="M912" t="s">
        <v>3108</v>
      </c>
      <c r="N912" t="s">
        <v>214</v>
      </c>
    </row>
    <row r="913" spans="1:14" x14ac:dyDescent="0.25">
      <c r="A913" s="41" t="str">
        <f>Table1[[#This Row],[Route]]&amp;TEXT(Table1[[#This Row],[SegmentID]],"00")</f>
        <v>287C96</v>
      </c>
      <c r="B913" t="s">
        <v>1516</v>
      </c>
      <c r="C913" s="3" t="s">
        <v>1540</v>
      </c>
      <c r="D913">
        <f>IFERROR(ROUND(VLOOKUP(Table1[[#This Row],[Route]],SegmentsPerRoute!$C$3:$L$297,8,FALSE)+(Table1[[#This Row],[Sequence]]-1)*VLOOKUP(Table1[[#This Row],[Route]],SegmentsPerRoute!$C$3:$L$297,10,FALSE),0), 0)</f>
        <v>96</v>
      </c>
      <c r="E913">
        <v>23</v>
      </c>
      <c r="F913" s="1">
        <v>348.63499999999999</v>
      </c>
      <c r="G913" t="s">
        <v>1534</v>
      </c>
      <c r="H913" s="1">
        <v>355.85599999999999</v>
      </c>
      <c r="I913" t="s">
        <v>1535</v>
      </c>
      <c r="K913" t="s">
        <v>1700</v>
      </c>
      <c r="L913" t="s">
        <v>3107</v>
      </c>
      <c r="M913" t="s">
        <v>3108</v>
      </c>
      <c r="N913" t="s">
        <v>214</v>
      </c>
    </row>
    <row r="914" spans="1:14" ht="45" x14ac:dyDescent="0.25">
      <c r="A914" s="41" t="str">
        <f>Table1[[#This Row],[Route]]&amp;TEXT(Table1[[#This Row],[SegmentID]],"00")</f>
        <v>287C99</v>
      </c>
      <c r="B914" t="s">
        <v>1516</v>
      </c>
      <c r="C914" s="3" t="s">
        <v>1540</v>
      </c>
      <c r="D914">
        <v>99</v>
      </c>
      <c r="E914">
        <v>24</v>
      </c>
      <c r="F914" s="1">
        <v>355.85599999999999</v>
      </c>
      <c r="G914" t="s">
        <v>1535</v>
      </c>
      <c r="H914" s="1">
        <v>385.22300000000001</v>
      </c>
      <c r="I914" t="s">
        <v>251</v>
      </c>
      <c r="K914" t="s">
        <v>1700</v>
      </c>
      <c r="L914" t="s">
        <v>3107</v>
      </c>
      <c r="M914" t="s">
        <v>3108</v>
      </c>
      <c r="N914" s="4" t="s">
        <v>1546</v>
      </c>
    </row>
    <row r="915" spans="1:14" x14ac:dyDescent="0.25">
      <c r="A915" s="41" t="str">
        <f>Table1[[#This Row],[Route]]&amp;TEXT(Table1[[#This Row],[SegmentID]],"00")</f>
        <v>287Z15</v>
      </c>
      <c r="B915" t="s">
        <v>1539</v>
      </c>
      <c r="D915">
        <f>IFERROR(ROUND(VLOOKUP(Table1[[#This Row],[Route]],SegmentsPerRoute!$C$3:$L$297,8,FALSE)+(Table1[[#This Row],[Sequence]]-1)*VLOOKUP(Table1[[#This Row],[Route]],SegmentsPerRoute!$C$3:$L$297,10,FALSE),0), 0)</f>
        <v>15</v>
      </c>
      <c r="E915">
        <v>1</v>
      </c>
      <c r="F915" s="1">
        <v>0</v>
      </c>
      <c r="G915" t="s">
        <v>1547</v>
      </c>
      <c r="H915" s="1">
        <v>0.30399999999999999</v>
      </c>
      <c r="I915" t="s">
        <v>1530</v>
      </c>
      <c r="K915" t="s">
        <v>1700</v>
      </c>
      <c r="L915" t="s">
        <v>3110</v>
      </c>
      <c r="M915" t="s">
        <v>2095</v>
      </c>
    </row>
    <row r="916" spans="1:14" x14ac:dyDescent="0.25">
      <c r="A916" s="41" t="str">
        <f>Table1[[#This Row],[Route]]&amp;TEXT(Table1[[#This Row],[SegmentID]],"00")</f>
        <v>287Z85</v>
      </c>
      <c r="B916" t="s">
        <v>1539</v>
      </c>
      <c r="D916">
        <f>IFERROR(ROUND(VLOOKUP(Table1[[#This Row],[Route]],SegmentsPerRoute!$C$3:$L$297,8,FALSE)+(Table1[[#This Row],[Sequence]]-1)*VLOOKUP(Table1[[#This Row],[Route]],SegmentsPerRoute!$C$3:$L$297,10,FALSE),0), 0)</f>
        <v>85</v>
      </c>
      <c r="E916">
        <v>2</v>
      </c>
      <c r="F916" s="1">
        <v>0.30399999999999999</v>
      </c>
      <c r="G916" t="s">
        <v>1530</v>
      </c>
      <c r="H916" s="1">
        <v>1.7629999999999999</v>
      </c>
      <c r="I916" t="s">
        <v>1547</v>
      </c>
      <c r="K916" t="s">
        <v>1700</v>
      </c>
      <c r="L916" t="s">
        <v>3110</v>
      </c>
      <c r="M916" t="s">
        <v>2095</v>
      </c>
    </row>
    <row r="917" spans="1:14" x14ac:dyDescent="0.25">
      <c r="A917" s="41" t="str">
        <f>Table1[[#This Row],[Route]]&amp;TEXT(Table1[[#This Row],[SegmentID]],"00")</f>
        <v>291A15</v>
      </c>
      <c r="B917" t="s">
        <v>1548</v>
      </c>
      <c r="D917">
        <f>IFERROR(ROUND(VLOOKUP(Table1[[#This Row],[Route]],SegmentsPerRoute!$C$3:$L$297,8,FALSE)+(Table1[[#This Row],[Sequence]]-1)*VLOOKUP(Table1[[#This Row],[Route]],SegmentsPerRoute!$C$3:$L$297,10,FALSE),0), 0)</f>
        <v>15</v>
      </c>
      <c r="E917">
        <v>1</v>
      </c>
      <c r="F917" s="1">
        <v>0</v>
      </c>
      <c r="G917" t="s">
        <v>1549</v>
      </c>
      <c r="H917" s="1">
        <v>9.1349999999999998</v>
      </c>
      <c r="I917" t="s">
        <v>1550</v>
      </c>
      <c r="K917" t="s">
        <v>1691</v>
      </c>
      <c r="L917" t="s">
        <v>3119</v>
      </c>
      <c r="M917" t="s">
        <v>3120</v>
      </c>
      <c r="N917" t="s">
        <v>269</v>
      </c>
    </row>
    <row r="918" spans="1:14" x14ac:dyDescent="0.25">
      <c r="A918" s="41" t="str">
        <f>Table1[[#This Row],[Route]]&amp;TEXT(Table1[[#This Row],[SegmentID]],"00")</f>
        <v>300A15</v>
      </c>
      <c r="B918" t="s">
        <v>1551</v>
      </c>
      <c r="D918">
        <f>IFERROR(ROUND(VLOOKUP(Table1[[#This Row],[Route]],SegmentsPerRoute!$C$3:$L$297,8,FALSE)+(Table1[[#This Row],[Sequence]]-1)*VLOOKUP(Table1[[#This Row],[Route]],SegmentsPerRoute!$C$3:$L$297,10,FALSE),0), 0)</f>
        <v>15</v>
      </c>
      <c r="E918">
        <v>1</v>
      </c>
      <c r="F918" s="1">
        <v>0</v>
      </c>
      <c r="G918" t="s">
        <v>1552</v>
      </c>
      <c r="H918" s="1">
        <v>3.3559999999999999</v>
      </c>
      <c r="I918" t="s">
        <v>1553</v>
      </c>
      <c r="J918" t="s">
        <v>21</v>
      </c>
      <c r="K918" t="s">
        <v>1709</v>
      </c>
      <c r="N918" t="s">
        <v>1554</v>
      </c>
    </row>
    <row r="919" spans="1:14" ht="30" x14ac:dyDescent="0.25">
      <c r="A919" s="41" t="str">
        <f>Table1[[#This Row],[Route]]&amp;TEXT(Table1[[#This Row],[SegmentID]],"00")</f>
        <v>317A15</v>
      </c>
      <c r="B919" t="s">
        <v>1555</v>
      </c>
      <c r="D919">
        <f>IFERROR(ROUND(VLOOKUP(Table1[[#This Row],[Route]],SegmentsPerRoute!$C$3:$L$297,8,FALSE)+(Table1[[#This Row],[Sequence]]-1)*VLOOKUP(Table1[[#This Row],[Route]],SegmentsPerRoute!$C$3:$L$297,10,FALSE),0), 0)</f>
        <v>15</v>
      </c>
      <c r="E919">
        <v>1</v>
      </c>
      <c r="F919" s="1">
        <v>0</v>
      </c>
      <c r="G919" t="s">
        <v>1556</v>
      </c>
      <c r="H919" s="1">
        <v>12.237</v>
      </c>
      <c r="I919" s="4" t="s">
        <v>1564</v>
      </c>
      <c r="J919" t="s">
        <v>21</v>
      </c>
      <c r="K919" t="s">
        <v>1709</v>
      </c>
      <c r="N919" t="s">
        <v>1557</v>
      </c>
    </row>
    <row r="920" spans="1:14" ht="30" x14ac:dyDescent="0.25">
      <c r="A920" s="41" t="str">
        <f>Table1[[#This Row],[Route]]&amp;TEXT(Table1[[#This Row],[SegmentID]],"00")</f>
        <v>318A15</v>
      </c>
      <c r="B920" t="s">
        <v>1558</v>
      </c>
      <c r="D920">
        <f>IFERROR(ROUND(VLOOKUP(Table1[[#This Row],[Route]],SegmentsPerRoute!$C$3:$L$297,8,FALSE)+(Table1[[#This Row],[Sequence]]-1)*VLOOKUP(Table1[[#This Row],[Route]],SegmentsPerRoute!$C$3:$L$297,10,FALSE),0), 0)</f>
        <v>15</v>
      </c>
      <c r="E920">
        <v>1</v>
      </c>
      <c r="F920" s="1">
        <v>0</v>
      </c>
      <c r="G920" t="s">
        <v>1563</v>
      </c>
      <c r="H920" s="1">
        <v>60.697000000000003</v>
      </c>
      <c r="I920" t="s">
        <v>1559</v>
      </c>
      <c r="J920" t="s">
        <v>21</v>
      </c>
      <c r="K920" t="s">
        <v>1709</v>
      </c>
      <c r="N920" s="4" t="s">
        <v>1560</v>
      </c>
    </row>
    <row r="921" spans="1:14" x14ac:dyDescent="0.25">
      <c r="A921" s="41" t="str">
        <f>Table1[[#This Row],[Route]]&amp;TEXT(Table1[[#This Row],[SegmentID]],"00")</f>
        <v>325A15</v>
      </c>
      <c r="B921" t="s">
        <v>1561</v>
      </c>
      <c r="D921">
        <f>IFERROR(ROUND(VLOOKUP(Table1[[#This Row],[Route]],SegmentsPerRoute!$C$3:$L$297,8,FALSE)+(Table1[[#This Row],[Sequence]]-1)*VLOOKUP(Table1[[#This Row],[Route]],SegmentsPerRoute!$C$3:$L$297,10,FALSE),0), 0)</f>
        <v>15</v>
      </c>
      <c r="E921">
        <v>1</v>
      </c>
      <c r="F921" s="1">
        <v>0</v>
      </c>
      <c r="G921" t="s">
        <v>110</v>
      </c>
      <c r="H921" s="1">
        <v>11.395</v>
      </c>
      <c r="I921" t="s">
        <v>1562</v>
      </c>
      <c r="J921" t="s">
        <v>21</v>
      </c>
      <c r="K921" t="s">
        <v>1709</v>
      </c>
      <c r="N921" t="s">
        <v>1565</v>
      </c>
    </row>
    <row r="922" spans="1:14" x14ac:dyDescent="0.25">
      <c r="A922" s="41" t="str">
        <f>Table1[[#This Row],[Route]]&amp;TEXT(Table1[[#This Row],[SegmentID]],"00")</f>
        <v>330A15</v>
      </c>
      <c r="B922" t="s">
        <v>1566</v>
      </c>
      <c r="D922">
        <f>IFERROR(ROUND(VLOOKUP(Table1[[#This Row],[Route]],SegmentsPerRoute!$C$3:$L$297,8,FALSE)+(Table1[[#This Row],[Sequence]]-1)*VLOOKUP(Table1[[#This Row],[Route]],SegmentsPerRoute!$C$3:$L$297,10,FALSE),0), 0)</f>
        <v>15</v>
      </c>
      <c r="E922">
        <v>1</v>
      </c>
      <c r="F922" s="1">
        <v>0</v>
      </c>
      <c r="G922" t="s">
        <v>1567</v>
      </c>
      <c r="H922" s="1">
        <v>11.395</v>
      </c>
      <c r="I922" t="s">
        <v>1568</v>
      </c>
      <c r="J922" t="s">
        <v>21</v>
      </c>
      <c r="K922" t="s">
        <v>1709</v>
      </c>
      <c r="N922" t="s">
        <v>744</v>
      </c>
    </row>
    <row r="923" spans="1:14" x14ac:dyDescent="0.25">
      <c r="A923" s="41" t="str">
        <f>Table1[[#This Row],[Route]]&amp;TEXT(Table1[[#This Row],[SegmentID]],"00")</f>
        <v>340A15</v>
      </c>
      <c r="B923" t="s">
        <v>1569</v>
      </c>
      <c r="C923" s="3" t="s">
        <v>1576</v>
      </c>
      <c r="D923">
        <f>IFERROR(ROUND(VLOOKUP(Table1[[#This Row],[Route]],SegmentsPerRoute!$C$3:$L$297,8,FALSE)+(Table1[[#This Row],[Sequence]]-1)*VLOOKUP(Table1[[#This Row],[Route]],SegmentsPerRoute!$C$3:$L$297,10,FALSE),0), 0)</f>
        <v>15</v>
      </c>
      <c r="E923">
        <v>1</v>
      </c>
      <c r="F923" s="1">
        <v>0</v>
      </c>
      <c r="G923" t="s">
        <v>1570</v>
      </c>
      <c r="H923" s="1">
        <v>0.50700000000000001</v>
      </c>
      <c r="I923" t="s">
        <v>1571</v>
      </c>
      <c r="K923" t="s">
        <v>1708</v>
      </c>
      <c r="L923" t="s">
        <v>3121</v>
      </c>
      <c r="M923" t="s">
        <v>3122</v>
      </c>
    </row>
    <row r="924" spans="1:14" x14ac:dyDescent="0.25">
      <c r="A924" s="41" t="str">
        <f>Table1[[#This Row],[Route]]&amp;TEXT(Table1[[#This Row],[SegmentID]],"00")</f>
        <v>340A85</v>
      </c>
      <c r="B924" t="s">
        <v>1569</v>
      </c>
      <c r="C924" s="3" t="s">
        <v>1577</v>
      </c>
      <c r="D924">
        <f>IFERROR(ROUND(VLOOKUP(Table1[[#This Row],[Route]],SegmentsPerRoute!$C$3:$L$297,8,FALSE)+(Table1[[#This Row],[Sequence]]-1)*VLOOKUP(Table1[[#This Row],[Route]],SegmentsPerRoute!$C$3:$L$297,10,FALSE),0), 0)</f>
        <v>85</v>
      </c>
      <c r="E924">
        <v>2</v>
      </c>
      <c r="F924" s="1">
        <v>0.50700000000000001</v>
      </c>
      <c r="G924" t="s">
        <v>1571</v>
      </c>
      <c r="H924" s="1">
        <v>13.340999999999999</v>
      </c>
      <c r="I924" t="s">
        <v>1572</v>
      </c>
      <c r="J924" t="s">
        <v>4619</v>
      </c>
      <c r="K924" t="s">
        <v>1706</v>
      </c>
      <c r="N924" t="s">
        <v>48</v>
      </c>
    </row>
    <row r="925" spans="1:14" ht="30" x14ac:dyDescent="0.25">
      <c r="A925" s="41" t="str">
        <f>Table1[[#This Row],[Route]]&amp;TEXT(Table1[[#This Row],[SegmentID]],"00")</f>
        <v>347A15</v>
      </c>
      <c r="B925" t="s">
        <v>1573</v>
      </c>
      <c r="D925">
        <f>IFERROR(ROUND(VLOOKUP(Table1[[#This Row],[Route]],SegmentsPerRoute!$C$3:$L$297,8,FALSE)+(Table1[[#This Row],[Sequence]]-1)*VLOOKUP(Table1[[#This Row],[Route]],SegmentsPerRoute!$C$3:$L$297,10,FALSE),0), 0)</f>
        <v>15</v>
      </c>
      <c r="E925">
        <v>1</v>
      </c>
      <c r="F925" s="1">
        <v>0</v>
      </c>
      <c r="G925" t="s">
        <v>1574</v>
      </c>
      <c r="H925" s="1">
        <v>5.2480000000000002</v>
      </c>
      <c r="I925" s="4" t="s">
        <v>1575</v>
      </c>
      <c r="J925" t="s">
        <v>21</v>
      </c>
      <c r="K925" t="s">
        <v>1709</v>
      </c>
      <c r="N925" t="s">
        <v>633</v>
      </c>
    </row>
    <row r="926" spans="1:14" ht="30" x14ac:dyDescent="0.25">
      <c r="A926" s="41" t="str">
        <f>Table1[[#This Row],[Route]]&amp;TEXT(Table1[[#This Row],[SegmentID]],"00")</f>
        <v>348A15</v>
      </c>
      <c r="B926" t="s">
        <v>1578</v>
      </c>
      <c r="C926" s="3" t="s">
        <v>1579</v>
      </c>
      <c r="D926">
        <f>IFERROR(ROUND(VLOOKUP(Table1[[#This Row],[Route]],SegmentsPerRoute!$C$3:$L$297,8,FALSE)+(Table1[[#This Row],[Sequence]]-1)*VLOOKUP(Table1[[#This Row],[Route]],SegmentsPerRoute!$C$3:$L$297,10,FALSE),0), 0)</f>
        <v>15</v>
      </c>
      <c r="E926">
        <v>1</v>
      </c>
      <c r="F926" s="1">
        <v>0</v>
      </c>
      <c r="G926" t="s">
        <v>1050</v>
      </c>
      <c r="H926" s="1">
        <v>16.832000000000001</v>
      </c>
      <c r="I926" t="s">
        <v>1580</v>
      </c>
      <c r="J926" t="s">
        <v>4606</v>
      </c>
      <c r="K926" t="s">
        <v>1708</v>
      </c>
      <c r="N926" s="4" t="s">
        <v>1582</v>
      </c>
    </row>
    <row r="927" spans="1:14" x14ac:dyDescent="0.25">
      <c r="A927" s="41" t="str">
        <f>Table1[[#This Row],[Route]]&amp;TEXT(Table1[[#This Row],[SegmentID]],"00")</f>
        <v>348A85</v>
      </c>
      <c r="B927" t="s">
        <v>1578</v>
      </c>
      <c r="C927" s="3" t="s">
        <v>1581</v>
      </c>
      <c r="D927">
        <f>IFERROR(ROUND(VLOOKUP(Table1[[#This Row],[Route]],SegmentsPerRoute!$C$3:$L$297,8,FALSE)+(Table1[[#This Row],[Sequence]]-1)*VLOOKUP(Table1[[#This Row],[Route]],SegmentsPerRoute!$C$3:$L$297,10,FALSE),0), 0)</f>
        <v>85</v>
      </c>
      <c r="E927">
        <v>2</v>
      </c>
      <c r="F927" s="1">
        <v>16.832000000000001</v>
      </c>
      <c r="G927" t="s">
        <v>1580</v>
      </c>
      <c r="H927" s="1">
        <v>17.059000000000001</v>
      </c>
      <c r="I927" t="s">
        <v>676</v>
      </c>
      <c r="K927" t="s">
        <v>1708</v>
      </c>
      <c r="L927" t="s">
        <v>3123</v>
      </c>
      <c r="M927" t="s">
        <v>3124</v>
      </c>
    </row>
    <row r="928" spans="1:14" x14ac:dyDescent="0.25">
      <c r="A928" s="41" t="str">
        <f>Table1[[#This Row],[Route]]&amp;TEXT(Table1[[#This Row],[SegmentID]],"00")</f>
        <v>350A15</v>
      </c>
      <c r="B928" t="s">
        <v>1583</v>
      </c>
      <c r="D928">
        <f>IFERROR(ROUND(VLOOKUP(Table1[[#This Row],[Route]],SegmentsPerRoute!$C$3:$L$297,8,FALSE)+(Table1[[#This Row],[Sequence]]-1)*VLOOKUP(Table1[[#This Row],[Route]],SegmentsPerRoute!$C$3:$L$297,10,FALSE),0), 0)</f>
        <v>15</v>
      </c>
      <c r="E928">
        <v>1</v>
      </c>
      <c r="F928" s="1">
        <v>0</v>
      </c>
      <c r="G928" t="s">
        <v>1584</v>
      </c>
      <c r="H928" s="1">
        <v>59.411999999999999</v>
      </c>
      <c r="I928" t="s">
        <v>1585</v>
      </c>
      <c r="K928" t="s">
        <v>1691</v>
      </c>
      <c r="L928" t="s">
        <v>3125</v>
      </c>
      <c r="M928" t="s">
        <v>3128</v>
      </c>
      <c r="N928" t="s">
        <v>1586</v>
      </c>
    </row>
    <row r="929" spans="1:14" x14ac:dyDescent="0.25">
      <c r="A929" s="41" t="str">
        <f>Table1[[#This Row],[Route]]&amp;TEXT(Table1[[#This Row],[SegmentID]],"00")</f>
        <v>350A85</v>
      </c>
      <c r="B929" t="s">
        <v>1583</v>
      </c>
      <c r="D929">
        <f>IFERROR(ROUND(VLOOKUP(Table1[[#This Row],[Route]],SegmentsPerRoute!$C$3:$L$297,8,FALSE)+(Table1[[#This Row],[Sequence]]-1)*VLOOKUP(Table1[[#This Row],[Route]],SegmentsPerRoute!$C$3:$L$297,10,FALSE),0), 0)</f>
        <v>85</v>
      </c>
      <c r="E929">
        <v>2</v>
      </c>
      <c r="F929" s="1">
        <v>59.411999999999999</v>
      </c>
      <c r="G929" t="s">
        <v>1585</v>
      </c>
      <c r="H929" s="1">
        <v>72.718000000000004</v>
      </c>
      <c r="I929" t="s">
        <v>175</v>
      </c>
      <c r="K929" t="s">
        <v>1691</v>
      </c>
      <c r="L929" t="s">
        <v>3126</v>
      </c>
      <c r="M929" t="s">
        <v>3127</v>
      </c>
    </row>
    <row r="930" spans="1:14" x14ac:dyDescent="0.25">
      <c r="A930" s="41" t="str">
        <f>Table1[[#This Row],[Route]]&amp;TEXT(Table1[[#This Row],[SegmentID]],"00")</f>
        <v>368A15</v>
      </c>
      <c r="B930" t="s">
        <v>1587</v>
      </c>
      <c r="D930">
        <f>IFERROR(ROUND(VLOOKUP(Table1[[#This Row],[Route]],SegmentsPerRoute!$C$3:$L$297,8,FALSE)+(Table1[[#This Row],[Sequence]]-1)*VLOOKUP(Table1[[#This Row],[Route]],SegmentsPerRoute!$C$3:$L$297,10,FALSE),0), 0)</f>
        <v>15</v>
      </c>
      <c r="E930">
        <v>1</v>
      </c>
      <c r="F930" s="1">
        <v>0</v>
      </c>
      <c r="G930" t="s">
        <v>1588</v>
      </c>
      <c r="H930" s="1">
        <v>6.0220000000000002</v>
      </c>
      <c r="I930" t="s">
        <v>1589</v>
      </c>
      <c r="K930" t="s">
        <v>1691</v>
      </c>
      <c r="L930" t="s">
        <v>3129</v>
      </c>
      <c r="M930" t="s">
        <v>3130</v>
      </c>
    </row>
    <row r="931" spans="1:14" x14ac:dyDescent="0.25">
      <c r="A931" s="41" t="str">
        <f>Table1[[#This Row],[Route]]&amp;TEXT(Table1[[#This Row],[SegmentID]],"00")</f>
        <v>368A85</v>
      </c>
      <c r="B931" t="s">
        <v>1587</v>
      </c>
      <c r="D931">
        <f>IFERROR(ROUND(VLOOKUP(Table1[[#This Row],[Route]],SegmentsPerRoute!$C$3:$L$297,8,FALSE)+(Table1[[#This Row],[Sequence]]-1)*VLOOKUP(Table1[[#This Row],[Route]],SegmentsPerRoute!$C$3:$L$297,10,FALSE),0), 0)</f>
        <v>85</v>
      </c>
      <c r="E931">
        <v>2</v>
      </c>
      <c r="F931" s="1">
        <v>6.0220000000000002</v>
      </c>
      <c r="G931" t="s">
        <v>1589</v>
      </c>
      <c r="H931" s="1">
        <v>12.329000000000001</v>
      </c>
      <c r="I931" t="s">
        <v>1590</v>
      </c>
      <c r="K931" t="s">
        <v>1691</v>
      </c>
      <c r="L931" t="s">
        <v>3129</v>
      </c>
      <c r="M931" t="s">
        <v>3130</v>
      </c>
    </row>
    <row r="932" spans="1:14" x14ac:dyDescent="0.25">
      <c r="A932" s="41" t="str">
        <f>Table1[[#This Row],[Route]]&amp;TEXT(Table1[[#This Row],[SegmentID]],"00")</f>
        <v>370A15</v>
      </c>
      <c r="B932" t="s">
        <v>1591</v>
      </c>
      <c r="D932">
        <f>IFERROR(ROUND(VLOOKUP(Table1[[#This Row],[Route]],SegmentsPerRoute!$C$3:$L$297,8,FALSE)+(Table1[[#This Row],[Sequence]]-1)*VLOOKUP(Table1[[#This Row],[Route]],SegmentsPerRoute!$C$3:$L$297,10,FALSE),0), 0)</f>
        <v>15</v>
      </c>
      <c r="E932">
        <v>1</v>
      </c>
      <c r="F932" s="1">
        <v>0</v>
      </c>
      <c r="G932" t="s">
        <v>1592</v>
      </c>
      <c r="H932" s="1">
        <v>3.996</v>
      </c>
      <c r="I932" t="s">
        <v>1593</v>
      </c>
      <c r="K932" t="s">
        <v>1691</v>
      </c>
      <c r="L932" t="s">
        <v>3131</v>
      </c>
      <c r="M932" t="s">
        <v>3134</v>
      </c>
    </row>
    <row r="933" spans="1:14" x14ac:dyDescent="0.25">
      <c r="A933" s="41" t="str">
        <f>Table1[[#This Row],[Route]]&amp;TEXT(Table1[[#This Row],[SegmentID]],"00")</f>
        <v>370A85</v>
      </c>
      <c r="B933" t="s">
        <v>1591</v>
      </c>
      <c r="D933">
        <f>IFERROR(ROUND(VLOOKUP(Table1[[#This Row],[Route]],SegmentsPerRoute!$C$3:$L$297,8,FALSE)+(Table1[[#This Row],[Sequence]]-1)*VLOOKUP(Table1[[#This Row],[Route]],SegmentsPerRoute!$C$3:$L$297,10,FALSE),0), 0)</f>
        <v>85</v>
      </c>
      <c r="E933">
        <v>2</v>
      </c>
      <c r="F933" s="1">
        <v>3.996</v>
      </c>
      <c r="G933" t="s">
        <v>1593</v>
      </c>
      <c r="H933" s="1">
        <v>14.115</v>
      </c>
      <c r="I933" t="s">
        <v>1594</v>
      </c>
      <c r="K933" t="s">
        <v>1691</v>
      </c>
      <c r="L933" t="s">
        <v>3132</v>
      </c>
      <c r="M933" t="s">
        <v>3133</v>
      </c>
    </row>
    <row r="934" spans="1:14" x14ac:dyDescent="0.25">
      <c r="A934" s="41" t="str">
        <f>Table1[[#This Row],[Route]]&amp;TEXT(Table1[[#This Row],[SegmentID]],"00")</f>
        <v>371A15</v>
      </c>
      <c r="B934" t="s">
        <v>1595</v>
      </c>
      <c r="D934">
        <f>IFERROR(ROUND(VLOOKUP(Table1[[#This Row],[Route]],SegmentsPerRoute!$C$3:$L$297,8,FALSE)+(Table1[[#This Row],[Sequence]]-1)*VLOOKUP(Table1[[#This Row],[Route]],SegmentsPerRoute!$C$3:$L$297,10,FALSE),0), 0)</f>
        <v>15</v>
      </c>
      <c r="E934">
        <v>1</v>
      </c>
      <c r="F934" s="1">
        <v>0</v>
      </c>
      <c r="G934" t="s">
        <v>1596</v>
      </c>
      <c r="H934" s="1">
        <v>6.0759999999999996</v>
      </c>
      <c r="I934" t="s">
        <v>1597</v>
      </c>
      <c r="K934" t="s">
        <v>1691</v>
      </c>
      <c r="L934" t="s">
        <v>3135</v>
      </c>
      <c r="M934" t="s">
        <v>3136</v>
      </c>
    </row>
    <row r="935" spans="1:14" ht="30" x14ac:dyDescent="0.25">
      <c r="A935" s="41" t="str">
        <f>Table1[[#This Row],[Route]]&amp;TEXT(Table1[[#This Row],[SegmentID]],"00")</f>
        <v>385A15</v>
      </c>
      <c r="B935" t="s">
        <v>1598</v>
      </c>
      <c r="D935">
        <f>IFERROR(ROUND(VLOOKUP(Table1[[#This Row],[Route]],SegmentsPerRoute!$C$3:$L$297,8,FALSE)+(Table1[[#This Row],[Sequence]]-1)*VLOOKUP(Table1[[#This Row],[Route]],SegmentsPerRoute!$C$3:$L$297,10,FALSE),0), 0)</f>
        <v>15</v>
      </c>
      <c r="E935">
        <v>1</v>
      </c>
      <c r="F935" s="1">
        <v>95</v>
      </c>
      <c r="G935" t="s">
        <v>1599</v>
      </c>
      <c r="H935" s="1">
        <v>122.879</v>
      </c>
      <c r="I935" t="s">
        <v>1600</v>
      </c>
      <c r="K935" t="s">
        <v>1691</v>
      </c>
      <c r="L935" t="s">
        <v>3137</v>
      </c>
      <c r="M935" t="s">
        <v>3138</v>
      </c>
      <c r="N935" s="4" t="s">
        <v>1601</v>
      </c>
    </row>
    <row r="936" spans="1:14" x14ac:dyDescent="0.25">
      <c r="A936" s="41" t="str">
        <f>Table1[[#This Row],[Route]]&amp;TEXT(Table1[[#This Row],[SegmentID]],"00")</f>
        <v>385B15</v>
      </c>
      <c r="B936" t="s">
        <v>1602</v>
      </c>
      <c r="D936">
        <f>IFERROR(ROUND(VLOOKUP(Table1[[#This Row],[Route]],SegmentsPerRoute!$C$3:$L$297,8,FALSE)+(Table1[[#This Row],[Sequence]]-1)*VLOOKUP(Table1[[#This Row],[Route]],SegmentsPerRoute!$C$3:$L$297,10,FALSE),0), 0)</f>
        <v>15</v>
      </c>
      <c r="E936">
        <v>1</v>
      </c>
      <c r="F936" s="1">
        <v>123.682</v>
      </c>
      <c r="G936" t="s">
        <v>1603</v>
      </c>
      <c r="H936" s="1">
        <v>149.70099999999999</v>
      </c>
      <c r="I936" t="s">
        <v>1604</v>
      </c>
      <c r="K936" t="s">
        <v>1691</v>
      </c>
      <c r="L936" t="s">
        <v>3139</v>
      </c>
      <c r="M936" t="s">
        <v>3140</v>
      </c>
    </row>
    <row r="937" spans="1:14" x14ac:dyDescent="0.25">
      <c r="A937" s="41" t="str">
        <f>Table1[[#This Row],[Route]]&amp;TEXT(Table1[[#This Row],[SegmentID]],"00")</f>
        <v>385C15</v>
      </c>
      <c r="B937" t="s">
        <v>1605</v>
      </c>
      <c r="C937" s="3" t="s">
        <v>1612</v>
      </c>
      <c r="D937">
        <f>IFERROR(ROUND(VLOOKUP(Table1[[#This Row],[Route]],SegmentsPerRoute!$C$3:$L$297,8,FALSE)+(Table1[[#This Row],[Sequence]]-1)*VLOOKUP(Table1[[#This Row],[Route]],SegmentsPerRoute!$C$3:$L$297,10,FALSE),0), 0)</f>
        <v>15</v>
      </c>
      <c r="E937">
        <v>1</v>
      </c>
      <c r="F937" s="1">
        <v>150.251</v>
      </c>
      <c r="G937" t="s">
        <v>1606</v>
      </c>
      <c r="H937" s="1">
        <v>187.411</v>
      </c>
      <c r="I937" t="s">
        <v>1607</v>
      </c>
      <c r="K937" t="s">
        <v>1708</v>
      </c>
      <c r="L937" t="s">
        <v>3141</v>
      </c>
      <c r="M937" t="s">
        <v>3148</v>
      </c>
      <c r="N937" t="s">
        <v>1613</v>
      </c>
    </row>
    <row r="938" spans="1:14" x14ac:dyDescent="0.25">
      <c r="A938" s="41" t="str">
        <f>Table1[[#This Row],[Route]]&amp;TEXT(Table1[[#This Row],[SegmentID]],"00")</f>
        <v>385C38</v>
      </c>
      <c r="B938" t="s">
        <v>1605</v>
      </c>
      <c r="C938" s="3" t="s">
        <v>1612</v>
      </c>
      <c r="D938">
        <f>IFERROR(ROUND(VLOOKUP(Table1[[#This Row],[Route]],SegmentsPerRoute!$C$3:$L$297,8,FALSE)+(Table1[[#This Row],[Sequence]]-1)*VLOOKUP(Table1[[#This Row],[Route]],SegmentsPerRoute!$C$3:$L$297,10,FALSE),0), 0)</f>
        <v>38</v>
      </c>
      <c r="E938">
        <v>2</v>
      </c>
      <c r="F938" s="1">
        <v>187.411</v>
      </c>
      <c r="G938" t="s">
        <v>1607</v>
      </c>
      <c r="H938" s="1">
        <v>187.886</v>
      </c>
      <c r="I938" t="s">
        <v>1608</v>
      </c>
      <c r="K938" t="s">
        <v>1708</v>
      </c>
      <c r="L938" t="s">
        <v>3142</v>
      </c>
      <c r="M938" t="s">
        <v>3147</v>
      </c>
    </row>
    <row r="939" spans="1:14" x14ac:dyDescent="0.25">
      <c r="A939" s="41" t="str">
        <f>Table1[[#This Row],[Route]]&amp;TEXT(Table1[[#This Row],[SegmentID]],"00")</f>
        <v>385C62</v>
      </c>
      <c r="B939" t="s">
        <v>1605</v>
      </c>
      <c r="C939" s="3" t="s">
        <v>1611</v>
      </c>
      <c r="D939">
        <f>IFERROR(ROUND(VLOOKUP(Table1[[#This Row],[Route]],SegmentsPerRoute!$C$3:$L$297,8,FALSE)+(Table1[[#This Row],[Sequence]]-1)*VLOOKUP(Table1[[#This Row],[Route]],SegmentsPerRoute!$C$3:$L$297,10,FALSE),0), 0)</f>
        <v>62</v>
      </c>
      <c r="E939">
        <v>3</v>
      </c>
      <c r="F939" s="1">
        <v>187.886</v>
      </c>
      <c r="G939" t="s">
        <v>1608</v>
      </c>
      <c r="H939" s="1">
        <v>188.85499999999999</v>
      </c>
      <c r="I939" t="s">
        <v>1609</v>
      </c>
      <c r="K939" t="s">
        <v>1708</v>
      </c>
      <c r="L939" t="s">
        <v>3143</v>
      </c>
      <c r="M939" t="s">
        <v>3146</v>
      </c>
    </row>
    <row r="940" spans="1:14" ht="30" x14ac:dyDescent="0.25">
      <c r="A940" s="41" t="str">
        <f>Table1[[#This Row],[Route]]&amp;TEXT(Table1[[#This Row],[SegmentID]],"00")</f>
        <v>385C85</v>
      </c>
      <c r="B940" t="s">
        <v>1605</v>
      </c>
      <c r="C940" s="3" t="s">
        <v>1611</v>
      </c>
      <c r="D940">
        <f>IFERROR(ROUND(VLOOKUP(Table1[[#This Row],[Route]],SegmentsPerRoute!$C$3:$L$297,8,FALSE)+(Table1[[#This Row],[Sequence]]-1)*VLOOKUP(Table1[[#This Row],[Route]],SegmentsPerRoute!$C$3:$L$297,10,FALSE),0), 0)</f>
        <v>85</v>
      </c>
      <c r="E940">
        <v>4</v>
      </c>
      <c r="F940" s="1">
        <v>188.85499999999999</v>
      </c>
      <c r="G940" t="s">
        <v>1609</v>
      </c>
      <c r="H940" s="1">
        <v>216.86099999999999</v>
      </c>
      <c r="I940" t="s">
        <v>1610</v>
      </c>
      <c r="K940" t="s">
        <v>1708</v>
      </c>
      <c r="L940" t="s">
        <v>3144</v>
      </c>
      <c r="M940" t="s">
        <v>3145</v>
      </c>
      <c r="N940" s="4" t="s">
        <v>1614</v>
      </c>
    </row>
    <row r="941" spans="1:14" ht="45" x14ac:dyDescent="0.25">
      <c r="A941" s="41" t="str">
        <f>Table1[[#This Row],[Route]]&amp;TEXT(Table1[[#This Row],[SegmentID]],"00")</f>
        <v>385D15</v>
      </c>
      <c r="B941" t="s">
        <v>1615</v>
      </c>
      <c r="D941">
        <f>IFERROR(ROUND(VLOOKUP(Table1[[#This Row],[Route]],SegmentsPerRoute!$C$3:$L$297,8,FALSE)+(Table1[[#This Row],[Sequence]]-1)*VLOOKUP(Table1[[#This Row],[Route]],SegmentsPerRoute!$C$3:$L$297,10,FALSE),0), 0)</f>
        <v>15</v>
      </c>
      <c r="E941">
        <v>1</v>
      </c>
      <c r="F941" s="1">
        <v>219.44800000000001</v>
      </c>
      <c r="G941" t="s">
        <v>1616</v>
      </c>
      <c r="H941" s="1">
        <v>243.345</v>
      </c>
      <c r="I941" t="s">
        <v>1617</v>
      </c>
      <c r="K941" t="s">
        <v>1691</v>
      </c>
      <c r="L941" t="s">
        <v>3149</v>
      </c>
      <c r="M941" t="s">
        <v>3156</v>
      </c>
      <c r="N941" s="4" t="s">
        <v>1622</v>
      </c>
    </row>
    <row r="942" spans="1:14" x14ac:dyDescent="0.25">
      <c r="A942" s="41" t="str">
        <f>Table1[[#This Row],[Route]]&amp;TEXT(Table1[[#This Row],[SegmentID]],"00")</f>
        <v>385D33</v>
      </c>
      <c r="B942" t="s">
        <v>1615</v>
      </c>
      <c r="D942">
        <f>IFERROR(ROUND(VLOOKUP(Table1[[#This Row],[Route]],SegmentsPerRoute!$C$3:$L$297,8,FALSE)+(Table1[[#This Row],[Sequence]]-1)*VLOOKUP(Table1[[#This Row],[Route]],SegmentsPerRoute!$C$3:$L$297,10,FALSE),0), 0)</f>
        <v>33</v>
      </c>
      <c r="E942">
        <v>2</v>
      </c>
      <c r="F942" s="1">
        <v>243.345</v>
      </c>
      <c r="G942" t="s">
        <v>1617</v>
      </c>
      <c r="H942" s="1">
        <v>279.42399999999998</v>
      </c>
      <c r="I942" t="s">
        <v>1618</v>
      </c>
      <c r="K942" t="s">
        <v>1691</v>
      </c>
      <c r="L942" t="s">
        <v>3150</v>
      </c>
      <c r="M942" t="s">
        <v>3155</v>
      </c>
      <c r="N942" s="4" t="s">
        <v>423</v>
      </c>
    </row>
    <row r="943" spans="1:14" x14ac:dyDescent="0.25">
      <c r="A943" s="41" t="str">
        <f>Table1[[#This Row],[Route]]&amp;TEXT(Table1[[#This Row],[SegmentID]],"00")</f>
        <v>385D50</v>
      </c>
      <c r="B943" t="s">
        <v>1615</v>
      </c>
      <c r="D943">
        <f>IFERROR(ROUND(VLOOKUP(Table1[[#This Row],[Route]],SegmentsPerRoute!$C$3:$L$297,8,FALSE)+(Table1[[#This Row],[Sequence]]-1)*VLOOKUP(Table1[[#This Row],[Route]],SegmentsPerRoute!$C$3:$L$297,10,FALSE),0), 0)</f>
        <v>50</v>
      </c>
      <c r="E943">
        <v>3</v>
      </c>
      <c r="F943" s="1">
        <v>279.42399999999998</v>
      </c>
      <c r="G943" t="s">
        <v>1618</v>
      </c>
      <c r="H943" s="1">
        <v>279.89299999999997</v>
      </c>
      <c r="I943" t="s">
        <v>1619</v>
      </c>
      <c r="K943" t="s">
        <v>1691</v>
      </c>
      <c r="L943" t="s">
        <v>3151</v>
      </c>
      <c r="M943" t="s">
        <v>3154</v>
      </c>
      <c r="N943" s="4"/>
    </row>
    <row r="944" spans="1:14" x14ac:dyDescent="0.25">
      <c r="A944" s="41" t="str">
        <f>Table1[[#This Row],[Route]]&amp;TEXT(Table1[[#This Row],[SegmentID]],"00")</f>
        <v>385D68</v>
      </c>
      <c r="B944" t="s">
        <v>1615</v>
      </c>
      <c r="D944">
        <f>IFERROR(ROUND(VLOOKUP(Table1[[#This Row],[Route]],SegmentsPerRoute!$C$3:$L$297,8,FALSE)+(Table1[[#This Row],[Sequence]]-1)*VLOOKUP(Table1[[#This Row],[Route]],SegmentsPerRoute!$C$3:$L$297,10,FALSE),0), 0)</f>
        <v>68</v>
      </c>
      <c r="E944">
        <v>4</v>
      </c>
      <c r="F944" s="1">
        <v>279.89299999999997</v>
      </c>
      <c r="G944" t="s">
        <v>1619</v>
      </c>
      <c r="H944" s="1">
        <v>309.15800000000002</v>
      </c>
      <c r="I944" t="s">
        <v>1620</v>
      </c>
      <c r="K944" t="s">
        <v>1691</v>
      </c>
      <c r="L944" t="s">
        <v>3151</v>
      </c>
      <c r="M944" t="s">
        <v>3154</v>
      </c>
      <c r="N944" s="4"/>
    </row>
    <row r="945" spans="1:14" x14ac:dyDescent="0.25">
      <c r="A945" s="41" t="str">
        <f>Table1[[#This Row],[Route]]&amp;TEXT(Table1[[#This Row],[SegmentID]],"00")</f>
        <v>385D85</v>
      </c>
      <c r="B945" t="s">
        <v>1615</v>
      </c>
      <c r="D945">
        <f>IFERROR(ROUND(VLOOKUP(Table1[[#This Row],[Route]],SegmentsPerRoute!$C$3:$L$297,8,FALSE)+(Table1[[#This Row],[Sequence]]-1)*VLOOKUP(Table1[[#This Row],[Route]],SegmentsPerRoute!$C$3:$L$297,10,FALSE),0), 0)</f>
        <v>85</v>
      </c>
      <c r="E945">
        <v>5</v>
      </c>
      <c r="F945" s="1">
        <v>309.15800000000002</v>
      </c>
      <c r="G945" t="s">
        <v>1620</v>
      </c>
      <c r="H945" s="1">
        <v>310.99599999999998</v>
      </c>
      <c r="I945" t="s">
        <v>1621</v>
      </c>
      <c r="K945" t="s">
        <v>1691</v>
      </c>
      <c r="L945" t="s">
        <v>3152</v>
      </c>
      <c r="M945" t="s">
        <v>3153</v>
      </c>
      <c r="N945" t="s">
        <v>77</v>
      </c>
    </row>
    <row r="946" spans="1:14" x14ac:dyDescent="0.25">
      <c r="A946" s="41" t="str">
        <f>Table1[[#This Row],[Route]]&amp;TEXT(Table1[[#This Row],[SegmentID]],"00")</f>
        <v>385E15</v>
      </c>
      <c r="B946" t="s">
        <v>1623</v>
      </c>
      <c r="D946">
        <f>IFERROR(ROUND(VLOOKUP(Table1[[#This Row],[Route]],SegmentsPerRoute!$C$3:$L$297,8,FALSE)+(Table1[[#This Row],[Sequence]]-1)*VLOOKUP(Table1[[#This Row],[Route]],SegmentsPerRoute!$C$3:$L$297,10,FALSE),0), 0)</f>
        <v>15</v>
      </c>
      <c r="E946">
        <v>1</v>
      </c>
      <c r="F946" s="1">
        <v>313.84899999999999</v>
      </c>
      <c r="G946" t="s">
        <v>177</v>
      </c>
      <c r="H946" s="1">
        <v>317.63099999999997</v>
      </c>
      <c r="I946" t="s">
        <v>249</v>
      </c>
      <c r="K946" t="s">
        <v>1695</v>
      </c>
      <c r="L946" t="s">
        <v>3157</v>
      </c>
      <c r="M946" t="s">
        <v>3158</v>
      </c>
      <c r="N946" t="s">
        <v>1624</v>
      </c>
    </row>
    <row r="947" spans="1:14" x14ac:dyDescent="0.25">
      <c r="A947" s="41" t="str">
        <f>Table1[[#This Row],[Route]]&amp;TEXT(Table1[[#This Row],[SegmentID]],"00")</f>
        <v>389A01</v>
      </c>
      <c r="B947" t="s">
        <v>1625</v>
      </c>
      <c r="D947">
        <f>IFERROR(ROUND(VLOOKUP(Table1[[#This Row],[Route]],SegmentsPerRoute!$C$3:$L$297,8,FALSE)+(Table1[[#This Row],[Sequence]]-1)*VLOOKUP(Table1[[#This Row],[Route]],SegmentsPerRoute!$C$3:$L$297,10,FALSE),0), 0)</f>
        <v>1</v>
      </c>
      <c r="E947">
        <v>1</v>
      </c>
      <c r="F947" s="1">
        <v>0</v>
      </c>
      <c r="G947" t="s">
        <v>231</v>
      </c>
      <c r="H947" s="1">
        <v>12.803000000000001</v>
      </c>
      <c r="I947" t="s">
        <v>1626</v>
      </c>
      <c r="K947" t="s">
        <v>1695</v>
      </c>
      <c r="L947" t="s">
        <v>3159</v>
      </c>
      <c r="M947" t="s">
        <v>3160</v>
      </c>
    </row>
    <row r="948" spans="1:14" x14ac:dyDescent="0.25">
      <c r="A948" s="41" t="str">
        <f>Table1[[#This Row],[Route]]&amp;TEXT(Table1[[#This Row],[SegmentID]],"00")</f>
        <v>391A15</v>
      </c>
      <c r="B948" t="s">
        <v>1627</v>
      </c>
      <c r="C948" s="3" t="s">
        <v>1628</v>
      </c>
      <c r="D948">
        <f>IFERROR(ROUND(VLOOKUP(Table1[[#This Row],[Route]],SegmentsPerRoute!$C$3:$L$297,8,FALSE)+(Table1[[#This Row],[Sequence]]-1)*VLOOKUP(Table1[[#This Row],[Route]],SegmentsPerRoute!$C$3:$L$297,10,FALSE),0), 0)</f>
        <v>15</v>
      </c>
      <c r="E948">
        <v>1</v>
      </c>
      <c r="F948" s="1">
        <v>0</v>
      </c>
      <c r="G948" t="s">
        <v>985</v>
      </c>
      <c r="H948" s="1">
        <v>0.98499999999999999</v>
      </c>
      <c r="I948" t="s">
        <v>1182</v>
      </c>
      <c r="K948" t="s">
        <v>1708</v>
      </c>
      <c r="L948" t="s">
        <v>3161</v>
      </c>
      <c r="M948" t="s">
        <v>3166</v>
      </c>
      <c r="N948" t="s">
        <v>155</v>
      </c>
    </row>
    <row r="949" spans="1:14" x14ac:dyDescent="0.25">
      <c r="A949" s="41" t="str">
        <f>Table1[[#This Row],[Route]]&amp;TEXT(Table1[[#This Row],[SegmentID]],"00")</f>
        <v>391A38</v>
      </c>
      <c r="B949" t="s">
        <v>1627</v>
      </c>
      <c r="C949" s="3" t="s">
        <v>1628</v>
      </c>
      <c r="D949">
        <f>IFERROR(ROUND(VLOOKUP(Table1[[#This Row],[Route]],SegmentsPerRoute!$C$3:$L$297,8,FALSE)+(Table1[[#This Row],[Sequence]]-1)*VLOOKUP(Table1[[#This Row],[Route]],SegmentsPerRoute!$C$3:$L$297,10,FALSE),0), 0)</f>
        <v>38</v>
      </c>
      <c r="E949">
        <v>2</v>
      </c>
      <c r="F949" s="1">
        <v>0.98499999999999999</v>
      </c>
      <c r="G949" t="s">
        <v>1182</v>
      </c>
      <c r="H949" s="1">
        <v>5.24</v>
      </c>
      <c r="I949" t="s">
        <v>336</v>
      </c>
      <c r="K949" t="s">
        <v>1708</v>
      </c>
      <c r="L949" t="s">
        <v>3161</v>
      </c>
      <c r="M949" t="s">
        <v>3166</v>
      </c>
    </row>
    <row r="950" spans="1:14" x14ac:dyDescent="0.25">
      <c r="A950" s="41" t="str">
        <f>Table1[[#This Row],[Route]]&amp;TEXT(Table1[[#This Row],[SegmentID]],"00")</f>
        <v>391A62</v>
      </c>
      <c r="B950" t="s">
        <v>1627</v>
      </c>
      <c r="C950" s="3" t="s">
        <v>1628</v>
      </c>
      <c r="D950">
        <f>IFERROR(ROUND(VLOOKUP(Table1[[#This Row],[Route]],SegmentsPerRoute!$C$3:$L$297,8,FALSE)+(Table1[[#This Row],[Sequence]]-1)*VLOOKUP(Table1[[#This Row],[Route]],SegmentsPerRoute!$C$3:$L$297,10,FALSE),0), 0)</f>
        <v>62</v>
      </c>
      <c r="E950">
        <v>3</v>
      </c>
      <c r="F950" s="1">
        <v>5.24</v>
      </c>
      <c r="G950" t="s">
        <v>336</v>
      </c>
      <c r="H950" s="1">
        <v>6.2679999999999998</v>
      </c>
      <c r="I950" t="s">
        <v>337</v>
      </c>
      <c r="K950" t="s">
        <v>1708</v>
      </c>
      <c r="L950" t="s">
        <v>3162</v>
      </c>
      <c r="M950" t="s">
        <v>3165</v>
      </c>
      <c r="N950" t="s">
        <v>1189</v>
      </c>
    </row>
    <row r="951" spans="1:14" x14ac:dyDescent="0.25">
      <c r="A951" s="41" t="str">
        <f>Table1[[#This Row],[Route]]&amp;TEXT(Table1[[#This Row],[SegmentID]],"00")</f>
        <v>391A85</v>
      </c>
      <c r="B951" t="s">
        <v>1627</v>
      </c>
      <c r="C951" s="3" t="s">
        <v>1629</v>
      </c>
      <c r="D951">
        <f>IFERROR(ROUND(VLOOKUP(Table1[[#This Row],[Route]],SegmentsPerRoute!$C$3:$L$297,8,FALSE)+(Table1[[#This Row],[Sequence]]-1)*VLOOKUP(Table1[[#This Row],[Route]],SegmentsPerRoute!$C$3:$L$297,10,FALSE),0), 0)</f>
        <v>85</v>
      </c>
      <c r="E951">
        <v>4</v>
      </c>
      <c r="F951" s="1">
        <v>6.2679999999999998</v>
      </c>
      <c r="G951" t="s">
        <v>337</v>
      </c>
      <c r="H951" s="1">
        <v>9.641</v>
      </c>
      <c r="I951" t="s">
        <v>16</v>
      </c>
      <c r="K951" t="s">
        <v>1708</v>
      </c>
      <c r="L951" t="s">
        <v>3163</v>
      </c>
      <c r="M951" t="s">
        <v>3164</v>
      </c>
      <c r="N951" t="s">
        <v>76</v>
      </c>
    </row>
    <row r="952" spans="1:14" x14ac:dyDescent="0.25">
      <c r="A952" s="41" t="str">
        <f>Table1[[#This Row],[Route]]&amp;TEXT(Table1[[#This Row],[SegmentID]],"00")</f>
        <v>392A15</v>
      </c>
      <c r="B952" t="s">
        <v>1630</v>
      </c>
      <c r="D952">
        <f>IFERROR(ROUND(VLOOKUP(Table1[[#This Row],[Route]],SegmentsPerRoute!$C$3:$L$297,8,FALSE)+(Table1[[#This Row],[Sequence]]-1)*VLOOKUP(Table1[[#This Row],[Route]],SegmentsPerRoute!$C$3:$L$297,10,FALSE),0), 0)</f>
        <v>15</v>
      </c>
      <c r="E952">
        <v>1</v>
      </c>
      <c r="F952" s="1">
        <v>95.305000000000007</v>
      </c>
      <c r="G952" t="s">
        <v>1631</v>
      </c>
      <c r="H952" s="1">
        <v>100</v>
      </c>
      <c r="I952" t="s">
        <v>11</v>
      </c>
      <c r="K952" t="s">
        <v>1691</v>
      </c>
      <c r="L952" t="s">
        <v>3167</v>
      </c>
      <c r="M952" t="s">
        <v>3170</v>
      </c>
      <c r="N952" t="s">
        <v>1633</v>
      </c>
    </row>
    <row r="953" spans="1:14" x14ac:dyDescent="0.25">
      <c r="A953" s="41" t="str">
        <f>Table1[[#This Row],[Route]]&amp;TEXT(Table1[[#This Row],[SegmentID]],"00")</f>
        <v>392A85</v>
      </c>
      <c r="B953" t="s">
        <v>1630</v>
      </c>
      <c r="D953">
        <f>IFERROR(ROUND(VLOOKUP(Table1[[#This Row],[Route]],SegmentsPerRoute!$C$3:$L$297,8,FALSE)+(Table1[[#This Row],[Sequence]]-1)*VLOOKUP(Table1[[#This Row],[Route]],SegmentsPerRoute!$C$3:$L$297,10,FALSE),0), 0)</f>
        <v>85</v>
      </c>
      <c r="E953">
        <v>2</v>
      </c>
      <c r="F953" s="1">
        <v>100</v>
      </c>
      <c r="G953" t="s">
        <v>11</v>
      </c>
      <c r="H953" s="1">
        <v>104.455</v>
      </c>
      <c r="I953" t="s">
        <v>1632</v>
      </c>
      <c r="K953" t="s">
        <v>1691</v>
      </c>
      <c r="L953" t="s">
        <v>3168</v>
      </c>
      <c r="M953" t="s">
        <v>3169</v>
      </c>
      <c r="N953" t="s">
        <v>214</v>
      </c>
    </row>
    <row r="954" spans="1:14" x14ac:dyDescent="0.25">
      <c r="A954" s="41" t="str">
        <f>Table1[[#This Row],[Route]]&amp;TEXT(Table1[[#This Row],[SegmentID]],"00")</f>
        <v>392B15</v>
      </c>
      <c r="B954" t="s">
        <v>1634</v>
      </c>
      <c r="D954">
        <f>IFERROR(ROUND(VLOOKUP(Table1[[#This Row],[Route]],SegmentsPerRoute!$C$3:$L$297,8,FALSE)+(Table1[[#This Row],[Sequence]]-1)*VLOOKUP(Table1[[#This Row],[Route]],SegmentsPerRoute!$C$3:$L$297,10,FALSE),0), 0)</f>
        <v>15</v>
      </c>
      <c r="E954">
        <v>1</v>
      </c>
      <c r="F954" s="1">
        <v>105.43899999999999</v>
      </c>
      <c r="G954" t="s">
        <v>1632</v>
      </c>
      <c r="H954" s="1">
        <v>115.4</v>
      </c>
      <c r="I954" t="s">
        <v>1635</v>
      </c>
      <c r="K954" t="s">
        <v>1691</v>
      </c>
      <c r="L954" t="s">
        <v>3171</v>
      </c>
      <c r="M954" t="s">
        <v>3174</v>
      </c>
      <c r="N954" t="s">
        <v>1637</v>
      </c>
    </row>
    <row r="955" spans="1:14" ht="30" x14ac:dyDescent="0.25">
      <c r="A955" s="41" t="str">
        <f>Table1[[#This Row],[Route]]&amp;TEXT(Table1[[#This Row],[SegmentID]],"00")</f>
        <v>392B85</v>
      </c>
      <c r="B955" t="s">
        <v>1634</v>
      </c>
      <c r="D955">
        <f>IFERROR(ROUND(VLOOKUP(Table1[[#This Row],[Route]],SegmentsPerRoute!$C$3:$L$297,8,FALSE)+(Table1[[#This Row],[Sequence]]-1)*VLOOKUP(Table1[[#This Row],[Route]],SegmentsPerRoute!$C$3:$L$297,10,FALSE),0), 0)</f>
        <v>85</v>
      </c>
      <c r="E955">
        <v>2</v>
      </c>
      <c r="F955" s="1">
        <v>115.4</v>
      </c>
      <c r="G955" t="s">
        <v>1635</v>
      </c>
      <c r="H955" s="1">
        <v>141.583</v>
      </c>
      <c r="I955" t="s">
        <v>1636</v>
      </c>
      <c r="K955" t="s">
        <v>1691</v>
      </c>
      <c r="L955" t="s">
        <v>3172</v>
      </c>
      <c r="M955" t="s">
        <v>3173</v>
      </c>
      <c r="N955" s="4" t="s">
        <v>1638</v>
      </c>
    </row>
    <row r="956" spans="1:14" x14ac:dyDescent="0.25">
      <c r="A956" s="41" t="str">
        <f>Table1[[#This Row],[Route]]&amp;TEXT(Table1[[#This Row],[SegmentID]],"00")</f>
        <v>394A15</v>
      </c>
      <c r="B956" t="s">
        <v>1639</v>
      </c>
      <c r="D956">
        <f>IFERROR(ROUND(VLOOKUP(Table1[[#This Row],[Route]],SegmentsPerRoute!$C$3:$L$297,8,FALSE)+(Table1[[#This Row],[Sequence]]-1)*VLOOKUP(Table1[[#This Row],[Route]],SegmentsPerRoute!$C$3:$L$297,10,FALSE),0), 0)</f>
        <v>15</v>
      </c>
      <c r="E956">
        <v>1</v>
      </c>
      <c r="F956" s="1">
        <v>0</v>
      </c>
      <c r="G956" t="s">
        <v>1640</v>
      </c>
      <c r="H956" s="1">
        <v>0.123</v>
      </c>
      <c r="I956" t="s">
        <v>1641</v>
      </c>
      <c r="K956" s="10" t="s">
        <v>1711</v>
      </c>
      <c r="L956" s="10" t="s">
        <v>3175</v>
      </c>
      <c r="M956" s="10" t="s">
        <v>3176</v>
      </c>
    </row>
    <row r="957" spans="1:14" ht="30" x14ac:dyDescent="0.25">
      <c r="A957" s="41" t="str">
        <f>Table1[[#This Row],[Route]]&amp;TEXT(Table1[[#This Row],[SegmentID]],"00")</f>
        <v>394A85</v>
      </c>
      <c r="B957" t="s">
        <v>1639</v>
      </c>
      <c r="D957">
        <f>IFERROR(ROUND(VLOOKUP(Table1[[#This Row],[Route]],SegmentsPerRoute!$C$3:$L$297,8,FALSE)+(Table1[[#This Row],[Sequence]]-1)*VLOOKUP(Table1[[#This Row],[Route]],SegmentsPerRoute!$C$3:$L$297,10,FALSE),0), 0)</f>
        <v>85</v>
      </c>
      <c r="E957">
        <v>2</v>
      </c>
      <c r="F957" s="1">
        <v>0.123</v>
      </c>
      <c r="G957" t="s">
        <v>1641</v>
      </c>
      <c r="H957" s="1">
        <v>9.3780000000000001</v>
      </c>
      <c r="I957" s="4" t="s">
        <v>1642</v>
      </c>
      <c r="J957" t="s">
        <v>21</v>
      </c>
      <c r="K957" s="10" t="s">
        <v>1711</v>
      </c>
      <c r="L957" s="10"/>
      <c r="M957" s="10"/>
      <c r="N957" t="s">
        <v>188</v>
      </c>
    </row>
    <row r="958" spans="1:14" x14ac:dyDescent="0.25">
      <c r="A958" s="41" t="str">
        <f>Table1[[#This Row],[Route]]&amp;TEXT(Table1[[#This Row],[SegmentID]],"00")</f>
        <v>402A15</v>
      </c>
      <c r="B958" t="s">
        <v>1643</v>
      </c>
      <c r="D958">
        <f>IFERROR(ROUND(VLOOKUP(Table1[[#This Row],[Route]],SegmentsPerRoute!$C$3:$L$297,8,FALSE)+(Table1[[#This Row],[Sequence]]-1)*VLOOKUP(Table1[[#This Row],[Route]],SegmentsPerRoute!$C$3:$L$297,10,FALSE),0), 0)</f>
        <v>15</v>
      </c>
      <c r="E958">
        <v>1</v>
      </c>
      <c r="F958" s="1">
        <v>0</v>
      </c>
      <c r="G958" t="s">
        <v>1644</v>
      </c>
      <c r="H958" s="1">
        <v>4.306</v>
      </c>
      <c r="I958" t="s">
        <v>11</v>
      </c>
      <c r="K958" t="s">
        <v>1691</v>
      </c>
      <c r="L958" t="s">
        <v>3177</v>
      </c>
      <c r="M958" t="s">
        <v>3178</v>
      </c>
      <c r="N958" t="s">
        <v>373</v>
      </c>
    </row>
    <row r="959" spans="1:14" s="10" customFormat="1" x14ac:dyDescent="0.25">
      <c r="A959" s="41" t="str">
        <f>Table1[[#This Row],[Route]]&amp;TEXT(Table1[[#This Row],[SegmentID]],"00")</f>
        <v>470A15</v>
      </c>
      <c r="B959" s="10" t="s">
        <v>1645</v>
      </c>
      <c r="C959" s="11" t="s">
        <v>1650</v>
      </c>
      <c r="D959">
        <f>IFERROR(ROUND(VLOOKUP(Table1[[#This Row],[Route]],SegmentsPerRoute!$C$3:$L$297,8,FALSE)+(Table1[[#This Row],[Sequence]]-1)*VLOOKUP(Table1[[#This Row],[Route]],SegmentsPerRoute!$C$3:$L$297,10,FALSE),0), 0)</f>
        <v>15</v>
      </c>
      <c r="E959" s="10">
        <v>1</v>
      </c>
      <c r="F959" s="14">
        <v>0</v>
      </c>
      <c r="G959" s="10" t="s">
        <v>1646</v>
      </c>
      <c r="H959" s="14">
        <v>4.2480000000000002</v>
      </c>
      <c r="I959" s="10" t="s">
        <v>912</v>
      </c>
      <c r="K959" s="10" t="s">
        <v>1708</v>
      </c>
      <c r="L959" s="10" t="s">
        <v>3179</v>
      </c>
      <c r="M959" s="10" t="s">
        <v>3180</v>
      </c>
    </row>
    <row r="960" spans="1:14" s="10" customFormat="1" x14ac:dyDescent="0.25">
      <c r="A960" s="41" t="str">
        <f>Table1[[#This Row],[Route]]&amp;TEXT(Table1[[#This Row],[SegmentID]],"00")</f>
        <v>470A27</v>
      </c>
      <c r="B960" s="10" t="s">
        <v>1645</v>
      </c>
      <c r="C960" s="11" t="s">
        <v>1650</v>
      </c>
      <c r="D960">
        <f>IFERROR(ROUND(VLOOKUP(Table1[[#This Row],[Route]],SegmentsPerRoute!$C$3:$L$297,8,FALSE)+(Table1[[#This Row],[Sequence]]-1)*VLOOKUP(Table1[[#This Row],[Route]],SegmentsPerRoute!$C$3:$L$297,10,FALSE),0), 0)</f>
        <v>27</v>
      </c>
      <c r="E960" s="10">
        <v>2</v>
      </c>
      <c r="F960" s="14">
        <v>4.2480000000000002</v>
      </c>
      <c r="G960" s="10" t="s">
        <v>912</v>
      </c>
      <c r="H960" s="14">
        <v>5.6950000000000003</v>
      </c>
      <c r="I960" s="10" t="s">
        <v>13</v>
      </c>
      <c r="K960" s="10" t="s">
        <v>1708</v>
      </c>
      <c r="L960" s="10" t="s">
        <v>3179</v>
      </c>
      <c r="M960" s="10" t="s">
        <v>3180</v>
      </c>
      <c r="N960" s="10" t="s">
        <v>1651</v>
      </c>
    </row>
    <row r="961" spans="1:14" s="10" customFormat="1" x14ac:dyDescent="0.25">
      <c r="A961" s="41" t="str">
        <f>Table1[[#This Row],[Route]]&amp;TEXT(Table1[[#This Row],[SegmentID]],"00")</f>
        <v>470A38</v>
      </c>
      <c r="B961" s="10" t="s">
        <v>1645</v>
      </c>
      <c r="C961" s="11" t="s">
        <v>1650</v>
      </c>
      <c r="D961">
        <f>IFERROR(ROUND(VLOOKUP(Table1[[#This Row],[Route]],SegmentsPerRoute!$C$3:$L$297,8,FALSE)+(Table1[[#This Row],[Sequence]]-1)*VLOOKUP(Table1[[#This Row],[Route]],SegmentsPerRoute!$C$3:$L$297,10,FALSE),0), 0)</f>
        <v>38</v>
      </c>
      <c r="E961" s="10">
        <v>3</v>
      </c>
      <c r="F961" s="14">
        <v>5.6950000000000003</v>
      </c>
      <c r="G961" s="10" t="s">
        <v>13</v>
      </c>
      <c r="H961" s="14">
        <v>13.901999999999999</v>
      </c>
      <c r="I961" s="10" t="s">
        <v>1647</v>
      </c>
      <c r="K961" s="10" t="s">
        <v>1708</v>
      </c>
      <c r="L961" s="10" t="s">
        <v>3179</v>
      </c>
      <c r="M961" s="10" t="s">
        <v>3180</v>
      </c>
      <c r="N961" s="10" t="s">
        <v>1149</v>
      </c>
    </row>
    <row r="962" spans="1:14" s="10" customFormat="1" x14ac:dyDescent="0.25">
      <c r="A962" s="41" t="str">
        <f>Table1[[#This Row],[Route]]&amp;TEXT(Table1[[#This Row],[SegmentID]],"00")</f>
        <v>470A50</v>
      </c>
      <c r="B962" s="10" t="s">
        <v>1645</v>
      </c>
      <c r="C962" s="11" t="s">
        <v>1650</v>
      </c>
      <c r="D962">
        <f>IFERROR(ROUND(VLOOKUP(Table1[[#This Row],[Route]],SegmentsPerRoute!$C$3:$L$297,8,FALSE)+(Table1[[#This Row],[Sequence]]-1)*VLOOKUP(Table1[[#This Row],[Route]],SegmentsPerRoute!$C$3:$L$297,10,FALSE),0), 0)</f>
        <v>50</v>
      </c>
      <c r="E962" s="10">
        <v>4</v>
      </c>
      <c r="F962" s="14">
        <v>13.901999999999999</v>
      </c>
      <c r="G962" s="10" t="s">
        <v>1647</v>
      </c>
      <c r="H962" s="14">
        <v>15.443</v>
      </c>
      <c r="I962" s="10" t="s">
        <v>1648</v>
      </c>
      <c r="K962" s="10" t="s">
        <v>1708</v>
      </c>
      <c r="L962" s="10" t="s">
        <v>3179</v>
      </c>
      <c r="M962" s="10" t="s">
        <v>3180</v>
      </c>
      <c r="N962" s="10" t="s">
        <v>1652</v>
      </c>
    </row>
    <row r="963" spans="1:14" s="10" customFormat="1" x14ac:dyDescent="0.25">
      <c r="A963" s="41" t="str">
        <f>Table1[[#This Row],[Route]]&amp;TEXT(Table1[[#This Row],[SegmentID]],"00")</f>
        <v>470A62</v>
      </c>
      <c r="B963" s="10" t="s">
        <v>1645</v>
      </c>
      <c r="C963" s="11" t="s">
        <v>1650</v>
      </c>
      <c r="D963">
        <f>IFERROR(ROUND(VLOOKUP(Table1[[#This Row],[Route]],SegmentsPerRoute!$C$3:$L$297,8,FALSE)+(Table1[[#This Row],[Sequence]]-1)*VLOOKUP(Table1[[#This Row],[Route]],SegmentsPerRoute!$C$3:$L$297,10,FALSE),0), 0)</f>
        <v>62</v>
      </c>
      <c r="E963" s="10">
        <v>5</v>
      </c>
      <c r="F963" s="14">
        <v>15.443</v>
      </c>
      <c r="G963" s="10" t="s">
        <v>1648</v>
      </c>
      <c r="H963" s="14">
        <v>17.05</v>
      </c>
      <c r="I963" s="10" t="s">
        <v>334</v>
      </c>
      <c r="K963" s="10" t="s">
        <v>1708</v>
      </c>
      <c r="L963" s="10" t="s">
        <v>3179</v>
      </c>
      <c r="M963" s="10" t="s">
        <v>3180</v>
      </c>
      <c r="N963" s="10" t="s">
        <v>77</v>
      </c>
    </row>
    <row r="964" spans="1:14" s="10" customFormat="1" x14ac:dyDescent="0.25">
      <c r="A964" s="41" t="str">
        <f>Table1[[#This Row],[Route]]&amp;TEXT(Table1[[#This Row],[SegmentID]],"00")</f>
        <v>470A74</v>
      </c>
      <c r="B964" s="10" t="s">
        <v>1645</v>
      </c>
      <c r="C964" s="11" t="s">
        <v>1650</v>
      </c>
      <c r="D964">
        <f>IFERROR(ROUND(VLOOKUP(Table1[[#This Row],[Route]],SegmentsPerRoute!$C$3:$L$297,8,FALSE)+(Table1[[#This Row],[Sequence]]-1)*VLOOKUP(Table1[[#This Row],[Route]],SegmentsPerRoute!$C$3:$L$297,10,FALSE),0), 0)</f>
        <v>74</v>
      </c>
      <c r="E964" s="10">
        <v>6</v>
      </c>
      <c r="F964" s="14">
        <v>17.05</v>
      </c>
      <c r="G964" s="10" t="s">
        <v>334</v>
      </c>
      <c r="H964" s="14">
        <v>21.068999999999999</v>
      </c>
      <c r="I964" s="10" t="s">
        <v>1027</v>
      </c>
      <c r="K964" s="10" t="s">
        <v>1708</v>
      </c>
      <c r="L964" s="10" t="s">
        <v>3179</v>
      </c>
      <c r="M964" s="10" t="s">
        <v>3180</v>
      </c>
    </row>
    <row r="965" spans="1:14" s="10" customFormat="1" x14ac:dyDescent="0.25">
      <c r="A965" s="41" t="str">
        <f>Table1[[#This Row],[Route]]&amp;TEXT(Table1[[#This Row],[SegmentID]],"00")</f>
        <v>470A85</v>
      </c>
      <c r="B965" s="10" t="s">
        <v>1645</v>
      </c>
      <c r="C965" s="11" t="s">
        <v>1650</v>
      </c>
      <c r="D965">
        <f>IFERROR(ROUND(VLOOKUP(Table1[[#This Row],[Route]],SegmentsPerRoute!$C$3:$L$297,8,FALSE)+(Table1[[#This Row],[Sequence]]-1)*VLOOKUP(Table1[[#This Row],[Route]],SegmentsPerRoute!$C$3:$L$297,10,FALSE),0), 0)</f>
        <v>85</v>
      </c>
      <c r="E965" s="10">
        <v>7</v>
      </c>
      <c r="F965" s="14">
        <v>21.068999999999999</v>
      </c>
      <c r="G965" s="10" t="s">
        <v>1027</v>
      </c>
      <c r="H965" s="14">
        <v>26.195</v>
      </c>
      <c r="I965" s="10" t="s">
        <v>1649</v>
      </c>
      <c r="K965" s="10" t="s">
        <v>1708</v>
      </c>
      <c r="L965" s="10" t="s">
        <v>3179</v>
      </c>
      <c r="M965" s="10" t="s">
        <v>3180</v>
      </c>
      <c r="N965" s="10" t="s">
        <v>1653</v>
      </c>
    </row>
    <row r="966" spans="1:14" x14ac:dyDescent="0.25">
      <c r="A966" s="41" t="str">
        <f>Table1[[#This Row],[Route]]&amp;TEXT(Table1[[#This Row],[SegmentID]],"00")</f>
        <v>470B15</v>
      </c>
      <c r="B966" t="s">
        <v>1654</v>
      </c>
      <c r="D966">
        <f>IFERROR(ROUND(VLOOKUP(Table1[[#This Row],[Route]],SegmentsPerRoute!$C$3:$L$297,8,FALSE)+(Table1[[#This Row],[Sequence]]-1)*VLOOKUP(Table1[[#This Row],[Route]],SegmentsPerRoute!$C$3:$L$297,10,FALSE),0), 0)</f>
        <v>15</v>
      </c>
      <c r="E966">
        <v>1</v>
      </c>
      <c r="F966" s="1">
        <v>0</v>
      </c>
      <c r="G966" t="s">
        <v>1655</v>
      </c>
      <c r="H966" s="1">
        <v>5.1749999999999998</v>
      </c>
      <c r="I966" t="s">
        <v>387</v>
      </c>
      <c r="K966" t="s">
        <v>1691</v>
      </c>
      <c r="L966" t="s">
        <v>3181</v>
      </c>
      <c r="M966" t="s">
        <v>3183</v>
      </c>
      <c r="N966" t="s">
        <v>392</v>
      </c>
    </row>
    <row r="967" spans="1:14" x14ac:dyDescent="0.25">
      <c r="A967" s="41" t="str">
        <f>Table1[[#This Row],[Route]]&amp;TEXT(Table1[[#This Row],[SegmentID]],"00")</f>
        <v>470B27</v>
      </c>
      <c r="B967" t="s">
        <v>1654</v>
      </c>
      <c r="D967">
        <f>IFERROR(ROUND(VLOOKUP(Table1[[#This Row],[Route]],SegmentsPerRoute!$C$3:$L$297,8,FALSE)+(Table1[[#This Row],[Sequence]]-1)*VLOOKUP(Table1[[#This Row],[Route]],SegmentsPerRoute!$C$3:$L$297,10,FALSE),0), 0)</f>
        <v>27</v>
      </c>
      <c r="E967">
        <v>2</v>
      </c>
      <c r="F967" s="1">
        <v>5.1749999999999998</v>
      </c>
      <c r="G967" t="s">
        <v>387</v>
      </c>
      <c r="H967" s="1">
        <v>13.352</v>
      </c>
      <c r="I967" t="s">
        <v>1656</v>
      </c>
      <c r="K967" t="s">
        <v>1691</v>
      </c>
      <c r="L967" t="s">
        <v>3181</v>
      </c>
      <c r="M967" t="s">
        <v>3183</v>
      </c>
    </row>
    <row r="968" spans="1:14" x14ac:dyDescent="0.25">
      <c r="A968" s="41" t="str">
        <f>Table1[[#This Row],[Route]]&amp;TEXT(Table1[[#This Row],[SegmentID]],"00")</f>
        <v>470B38</v>
      </c>
      <c r="B968" t="s">
        <v>1654</v>
      </c>
      <c r="D968">
        <f>IFERROR(ROUND(VLOOKUP(Table1[[#This Row],[Route]],SegmentsPerRoute!$C$3:$L$297,8,FALSE)+(Table1[[#This Row],[Sequence]]-1)*VLOOKUP(Table1[[#This Row],[Route]],SegmentsPerRoute!$C$3:$L$297,10,FALSE),0), 0)</f>
        <v>38</v>
      </c>
      <c r="E968">
        <v>3</v>
      </c>
      <c r="F968" s="1">
        <v>13.352</v>
      </c>
      <c r="G968" t="s">
        <v>1656</v>
      </c>
      <c r="H968" s="1">
        <v>16.350000000000001</v>
      </c>
      <c r="I968" t="s">
        <v>1657</v>
      </c>
      <c r="K968" t="s">
        <v>1691</v>
      </c>
      <c r="L968" t="s">
        <v>3182</v>
      </c>
      <c r="M968" t="s">
        <v>3184</v>
      </c>
    </row>
    <row r="969" spans="1:14" x14ac:dyDescent="0.25">
      <c r="A969" s="41" t="str">
        <f>Table1[[#This Row],[Route]]&amp;TEXT(Table1[[#This Row],[SegmentID]],"00")</f>
        <v>470B50</v>
      </c>
      <c r="B969" t="s">
        <v>1654</v>
      </c>
      <c r="D969">
        <f>IFERROR(ROUND(VLOOKUP(Table1[[#This Row],[Route]],SegmentsPerRoute!$C$3:$L$297,8,FALSE)+(Table1[[#This Row],[Sequence]]-1)*VLOOKUP(Table1[[#This Row],[Route]],SegmentsPerRoute!$C$3:$L$297,10,FALSE),0), 0)</f>
        <v>50</v>
      </c>
      <c r="E969">
        <v>4</v>
      </c>
      <c r="F969" s="1">
        <v>16.350000000000001</v>
      </c>
      <c r="G969" t="s">
        <v>1657</v>
      </c>
      <c r="H969" s="1">
        <v>20.547000000000001</v>
      </c>
      <c r="I969" t="s">
        <v>16</v>
      </c>
      <c r="K969" t="s">
        <v>1691</v>
      </c>
      <c r="L969" t="s">
        <v>3181</v>
      </c>
      <c r="M969" t="s">
        <v>3183</v>
      </c>
    </row>
    <row r="970" spans="1:14" x14ac:dyDescent="0.25">
      <c r="A970" s="41" t="str">
        <f>Table1[[#This Row],[Route]]&amp;TEXT(Table1[[#This Row],[SegmentID]],"00")</f>
        <v>470B62</v>
      </c>
      <c r="B970" t="s">
        <v>1654</v>
      </c>
      <c r="D970">
        <f>IFERROR(ROUND(VLOOKUP(Table1[[#This Row],[Route]],SegmentsPerRoute!$C$3:$L$297,8,FALSE)+(Table1[[#This Row],[Sequence]]-1)*VLOOKUP(Table1[[#This Row],[Route]],SegmentsPerRoute!$C$3:$L$297,10,FALSE),0), 0)</f>
        <v>62</v>
      </c>
      <c r="E970">
        <v>5</v>
      </c>
      <c r="F970" s="1">
        <v>20.547000000000001</v>
      </c>
      <c r="G970" t="s">
        <v>16</v>
      </c>
      <c r="H970" s="1">
        <v>35.491</v>
      </c>
      <c r="I970" t="s">
        <v>87</v>
      </c>
      <c r="K970" t="s">
        <v>1691</v>
      </c>
      <c r="L970" t="s">
        <v>3181</v>
      </c>
      <c r="M970" t="s">
        <v>3183</v>
      </c>
      <c r="N970" t="s">
        <v>1659</v>
      </c>
    </row>
    <row r="971" spans="1:14" x14ac:dyDescent="0.25">
      <c r="A971" s="41" t="str">
        <f>Table1[[#This Row],[Route]]&amp;TEXT(Table1[[#This Row],[SegmentID]],"00")</f>
        <v>470B74</v>
      </c>
      <c r="B971" t="s">
        <v>1654</v>
      </c>
      <c r="D971">
        <f>IFERROR(ROUND(VLOOKUP(Table1[[#This Row],[Route]],SegmentsPerRoute!$C$3:$L$297,8,FALSE)+(Table1[[#This Row],[Sequence]]-1)*VLOOKUP(Table1[[#This Row],[Route]],SegmentsPerRoute!$C$3:$L$297,10,FALSE),0), 0)</f>
        <v>74</v>
      </c>
      <c r="E971">
        <v>6</v>
      </c>
      <c r="F971" s="1">
        <v>35.491</v>
      </c>
      <c r="G971" t="s">
        <v>87</v>
      </c>
      <c r="H971" s="1">
        <v>37.83</v>
      </c>
      <c r="I971" t="s">
        <v>246</v>
      </c>
      <c r="K971" t="s">
        <v>1691</v>
      </c>
      <c r="L971" t="s">
        <v>3181</v>
      </c>
      <c r="M971" t="s">
        <v>3183</v>
      </c>
    </row>
    <row r="972" spans="1:14" x14ac:dyDescent="0.25">
      <c r="A972" s="41" t="str">
        <f>Table1[[#This Row],[Route]]&amp;TEXT(Table1[[#This Row],[SegmentID]],"00")</f>
        <v>470B85</v>
      </c>
      <c r="B972" t="s">
        <v>1654</v>
      </c>
      <c r="D972">
        <f>IFERROR(ROUND(VLOOKUP(Table1[[#This Row],[Route]],SegmentsPerRoute!$C$3:$L$297,8,FALSE)+(Table1[[#This Row],[Sequence]]-1)*VLOOKUP(Table1[[#This Row],[Route]],SegmentsPerRoute!$C$3:$L$297,10,FALSE),0), 0)</f>
        <v>85</v>
      </c>
      <c r="E972">
        <v>7</v>
      </c>
      <c r="F972" s="1">
        <v>37.83</v>
      </c>
      <c r="G972" t="s">
        <v>246</v>
      </c>
      <c r="H972" s="1">
        <v>46.398000000000003</v>
      </c>
      <c r="I972" t="s">
        <v>1658</v>
      </c>
      <c r="K972" t="s">
        <v>1691</v>
      </c>
      <c r="L972" t="s">
        <v>3181</v>
      </c>
      <c r="M972" t="s">
        <v>3183</v>
      </c>
      <c r="N972" t="s">
        <v>1660</v>
      </c>
    </row>
    <row r="973" spans="1:14" x14ac:dyDescent="0.25">
      <c r="A973" s="41" t="str">
        <f>Table1[[#This Row],[Route]]&amp;TEXT(Table1[[#This Row],[SegmentID]],"00")</f>
        <v>470N15</v>
      </c>
      <c r="B973" t="s">
        <v>1661</v>
      </c>
      <c r="D973">
        <f>IFERROR(ROUND(VLOOKUP(Table1[[#This Row],[Route]],SegmentsPerRoute!$C$3:$L$297,8,FALSE)+(Table1[[#This Row],[Sequence]]-1)*VLOOKUP(Table1[[#This Row],[Route]],SegmentsPerRoute!$C$3:$L$297,10,FALSE),0), 0)</f>
        <v>15</v>
      </c>
      <c r="E973">
        <v>1</v>
      </c>
      <c r="F973" s="1">
        <v>46.398000000000003</v>
      </c>
      <c r="G973" t="s">
        <v>1649</v>
      </c>
      <c r="H973" s="1">
        <v>52.36</v>
      </c>
      <c r="I973" t="s">
        <v>10</v>
      </c>
      <c r="K973" t="s">
        <v>1691</v>
      </c>
      <c r="L973" t="s">
        <v>3185</v>
      </c>
      <c r="M973" t="s">
        <v>3188</v>
      </c>
      <c r="N973" t="s">
        <v>134</v>
      </c>
    </row>
    <row r="974" spans="1:14" ht="45" x14ac:dyDescent="0.25">
      <c r="A974" s="41" t="str">
        <f>Table1[[#This Row],[Route]]&amp;TEXT(Table1[[#This Row],[SegmentID]],"00")</f>
        <v>470N85</v>
      </c>
      <c r="B974" t="s">
        <v>1661</v>
      </c>
      <c r="D974">
        <f>IFERROR(ROUND(VLOOKUP(Table1[[#This Row],[Route]],SegmentsPerRoute!$C$3:$L$297,8,FALSE)+(Table1[[#This Row],[Sequence]]-1)*VLOOKUP(Table1[[#This Row],[Route]],SegmentsPerRoute!$C$3:$L$297,10,FALSE),0), 0)</f>
        <v>85</v>
      </c>
      <c r="E974">
        <v>2</v>
      </c>
      <c r="F974" s="1">
        <v>52.36</v>
      </c>
      <c r="G974" t="s">
        <v>10</v>
      </c>
      <c r="H974" s="1">
        <v>54.45</v>
      </c>
      <c r="I974" t="s">
        <v>1662</v>
      </c>
      <c r="J974" s="4" t="s">
        <v>1663</v>
      </c>
      <c r="K974" t="s">
        <v>1691</v>
      </c>
      <c r="L974" t="s">
        <v>3186</v>
      </c>
      <c r="M974" t="s">
        <v>3187</v>
      </c>
      <c r="N974" t="s">
        <v>1664</v>
      </c>
    </row>
    <row r="975" spans="1:14" s="10" customFormat="1" x14ac:dyDescent="0.25">
      <c r="A975" s="41" t="str">
        <f>Table1[[#This Row],[Route]]&amp;TEXT(Table1[[#This Row],[SegmentID]],"00")</f>
        <v>470W15</v>
      </c>
      <c r="B975" s="10" t="s">
        <v>1665</v>
      </c>
      <c r="C975" s="11" t="s">
        <v>1650</v>
      </c>
      <c r="D975">
        <f>IFERROR(ROUND(VLOOKUP(Table1[[#This Row],[Route]],SegmentsPerRoute!$C$3:$L$297,8,FALSE)+(Table1[[#This Row],[Sequence]]-1)*VLOOKUP(Table1[[#This Row],[Route]],SegmentsPerRoute!$C$3:$L$297,10,FALSE),0), 0)</f>
        <v>15</v>
      </c>
      <c r="E975" s="10">
        <v>1</v>
      </c>
      <c r="F975" s="14">
        <v>0</v>
      </c>
      <c r="G975" s="10" t="s">
        <v>1666</v>
      </c>
      <c r="H975" s="14">
        <v>1.212</v>
      </c>
      <c r="I975" s="10" t="s">
        <v>1667</v>
      </c>
      <c r="K975" s="10" t="s">
        <v>1708</v>
      </c>
      <c r="L975" s="10" t="s">
        <v>3179</v>
      </c>
      <c r="M975" s="10" t="s">
        <v>3180</v>
      </c>
      <c r="N975" s="10" t="s">
        <v>1668</v>
      </c>
    </row>
    <row r="976" spans="1:14" x14ac:dyDescent="0.25">
      <c r="A976" s="41" t="str">
        <f>Table1[[#This Row],[Route]]&amp;TEXT(Table1[[#This Row],[SegmentID]],"00")</f>
        <v>491A01</v>
      </c>
      <c r="B976" t="s">
        <v>1669</v>
      </c>
      <c r="D976">
        <f>IFERROR(ROUND(VLOOKUP(Table1[[#This Row],[Route]],SegmentsPerRoute!$C$3:$L$297,8,FALSE)+(Table1[[#This Row],[Sequence]]-1)*VLOOKUP(Table1[[#This Row],[Route]],SegmentsPerRoute!$C$3:$L$297,10,FALSE),0), 0)</f>
        <v>1</v>
      </c>
      <c r="E976">
        <v>1</v>
      </c>
      <c r="F976" s="1">
        <v>0</v>
      </c>
      <c r="G976" t="s">
        <v>231</v>
      </c>
      <c r="H976" s="1">
        <v>6.4219999999999997</v>
      </c>
      <c r="I976" t="s">
        <v>1670</v>
      </c>
      <c r="K976" t="s">
        <v>1694</v>
      </c>
      <c r="L976" t="s">
        <v>3189</v>
      </c>
      <c r="M976" t="s">
        <v>3190</v>
      </c>
      <c r="N976" t="s">
        <v>1344</v>
      </c>
    </row>
    <row r="977" spans="1:14" x14ac:dyDescent="0.25">
      <c r="A977" s="41" t="str">
        <f>Table1[[#This Row],[Route]]&amp;TEXT(Table1[[#This Row],[SegmentID]],"00")</f>
        <v>491B15</v>
      </c>
      <c r="B977" t="s">
        <v>1671</v>
      </c>
      <c r="D977">
        <f>IFERROR(ROUND(VLOOKUP(Table1[[#This Row],[Route]],SegmentsPerRoute!$C$3:$L$297,8,FALSE)+(Table1[[#This Row],[Sequence]]-1)*VLOOKUP(Table1[[#This Row],[Route]],SegmentsPerRoute!$C$3:$L$297,10,FALSE),0), 0)</f>
        <v>15</v>
      </c>
      <c r="E977">
        <v>1</v>
      </c>
      <c r="F977" s="1">
        <v>26.216999999999999</v>
      </c>
      <c r="G977" t="s">
        <v>1285</v>
      </c>
      <c r="H977" s="1">
        <v>26.718</v>
      </c>
      <c r="I977" t="s">
        <v>1317</v>
      </c>
      <c r="K977" t="s">
        <v>1694</v>
      </c>
      <c r="L977" t="s">
        <v>3191</v>
      </c>
      <c r="M977" t="s">
        <v>3196</v>
      </c>
    </row>
    <row r="978" spans="1:14" x14ac:dyDescent="0.25">
      <c r="A978" s="41" t="str">
        <f>Table1[[#This Row],[Route]]&amp;TEXT(Table1[[#This Row],[SegmentID]],"00")</f>
        <v>491B43</v>
      </c>
      <c r="B978" t="s">
        <v>1671</v>
      </c>
      <c r="D978">
        <f>IFERROR(ROUND(VLOOKUP(Table1[[#This Row],[Route]],SegmentsPerRoute!$C$3:$L$297,8,FALSE)+(Table1[[#This Row],[Sequence]]-1)*VLOOKUP(Table1[[#This Row],[Route]],SegmentsPerRoute!$C$3:$L$297,10,FALSE),0), 0)</f>
        <v>43</v>
      </c>
      <c r="E978">
        <v>2</v>
      </c>
      <c r="F978" s="1">
        <v>26.718</v>
      </c>
      <c r="G978" t="s">
        <v>1317</v>
      </c>
      <c r="H978" s="1">
        <v>36.801000000000002</v>
      </c>
      <c r="I978" t="s">
        <v>1672</v>
      </c>
      <c r="K978" t="s">
        <v>1694</v>
      </c>
      <c r="L978" t="s">
        <v>3192</v>
      </c>
      <c r="M978" t="s">
        <v>3195</v>
      </c>
    </row>
    <row r="979" spans="1:14" x14ac:dyDescent="0.25">
      <c r="A979" s="41" t="str">
        <f>Table1[[#This Row],[Route]]&amp;TEXT(Table1[[#This Row],[SegmentID]],"00")</f>
        <v>491B71</v>
      </c>
      <c r="B979" t="s">
        <v>1671</v>
      </c>
      <c r="D979">
        <f>IFERROR(ROUND(VLOOKUP(Table1[[#This Row],[Route]],SegmentsPerRoute!$C$3:$L$297,8,FALSE)+(Table1[[#This Row],[Sequence]]-1)*VLOOKUP(Table1[[#This Row],[Route]],SegmentsPerRoute!$C$3:$L$297,10,FALSE),0), 0)</f>
        <v>71</v>
      </c>
      <c r="E979">
        <v>3</v>
      </c>
      <c r="F979" s="1">
        <v>36.801000000000002</v>
      </c>
      <c r="G979" t="s">
        <v>1672</v>
      </c>
      <c r="H979" s="1">
        <v>63.271999999999998</v>
      </c>
      <c r="I979" t="s">
        <v>1673</v>
      </c>
      <c r="K979" t="s">
        <v>1694</v>
      </c>
      <c r="L979" t="s">
        <v>3193</v>
      </c>
      <c r="M979" t="s">
        <v>3194</v>
      </c>
    </row>
    <row r="980" spans="1:14" x14ac:dyDescent="0.25">
      <c r="A980" s="41" t="str">
        <f>Table1[[#This Row],[Route]]&amp;TEXT(Table1[[#This Row],[SegmentID]],"00")</f>
        <v>491B99</v>
      </c>
      <c r="B980" t="s">
        <v>1671</v>
      </c>
      <c r="D980">
        <f>IFERROR(ROUND(VLOOKUP(Table1[[#This Row],[Route]],SegmentsPerRoute!$C$3:$L$297,8,FALSE)+(Table1[[#This Row],[Sequence]]-1)*VLOOKUP(Table1[[#This Row],[Route]],SegmentsPerRoute!$C$3:$L$297,10,FALSE),0), 0)</f>
        <v>99</v>
      </c>
      <c r="E980">
        <v>4</v>
      </c>
      <c r="F980" s="1">
        <v>63.271999999999998</v>
      </c>
      <c r="G980" t="s">
        <v>1673</v>
      </c>
      <c r="H980" s="1">
        <v>69.602000000000004</v>
      </c>
      <c r="I980" t="s">
        <v>514</v>
      </c>
      <c r="K980" t="s">
        <v>1694</v>
      </c>
      <c r="L980" t="s">
        <v>3193</v>
      </c>
      <c r="M980" t="s">
        <v>3194</v>
      </c>
    </row>
    <row r="981" spans="1:14" x14ac:dyDescent="0.25">
      <c r="A981" s="41" t="str">
        <f>Table1[[#This Row],[Route]]&amp;TEXT(Table1[[#This Row],[SegmentID]],"00")</f>
        <v>491C15</v>
      </c>
      <c r="B981" t="s">
        <v>1674</v>
      </c>
      <c r="D981">
        <f>IFERROR(ROUND(VLOOKUP(Table1[[#This Row],[Route]],SegmentsPerRoute!$C$3:$L$297,8,FALSE)+(Table1[[#This Row],[Sequence]]-1)*VLOOKUP(Table1[[#This Row],[Route]],SegmentsPerRoute!$C$3:$L$297,10,FALSE),0), 0)</f>
        <v>15</v>
      </c>
      <c r="E981">
        <v>1</v>
      </c>
      <c r="F981" s="1">
        <v>0</v>
      </c>
      <c r="G981" t="s">
        <v>1675</v>
      </c>
      <c r="H981" s="1">
        <v>0.24199999999999999</v>
      </c>
      <c r="I981" t="s">
        <v>1676</v>
      </c>
      <c r="K981" t="s">
        <v>1691</v>
      </c>
      <c r="L981" t="s">
        <v>3197</v>
      </c>
      <c r="M981" t="s">
        <v>3198</v>
      </c>
    </row>
    <row r="982" spans="1:14" x14ac:dyDescent="0.25">
      <c r="A982" s="41" t="str">
        <f>Table1[[#This Row],[Route]]&amp;TEXT(Table1[[#This Row],[SegmentID]],"00")</f>
        <v>550A01</v>
      </c>
      <c r="B982" t="s">
        <v>1677</v>
      </c>
      <c r="D982">
        <f>IFERROR(ROUND(VLOOKUP(Table1[[#This Row],[Route]],SegmentsPerRoute!$C$3:$L$297,8,FALSE)+(Table1[[#This Row],[Sequence]]-1)*VLOOKUP(Table1[[#This Row],[Route]],SegmentsPerRoute!$C$3:$L$297,10,FALSE),0), 0)</f>
        <v>1</v>
      </c>
      <c r="E982">
        <v>1</v>
      </c>
      <c r="F982" s="1">
        <v>0</v>
      </c>
      <c r="G982" t="s">
        <v>231</v>
      </c>
      <c r="H982" s="1">
        <v>16.561</v>
      </c>
      <c r="I982" t="s">
        <v>1678</v>
      </c>
      <c r="K982" t="s">
        <v>1694</v>
      </c>
      <c r="L982" t="s">
        <v>3199</v>
      </c>
      <c r="M982" t="s">
        <v>3200</v>
      </c>
      <c r="N982" t="s">
        <v>1679</v>
      </c>
    </row>
    <row r="983" spans="1:14" x14ac:dyDescent="0.25">
      <c r="A983" s="41" t="str">
        <f>Table1[[#This Row],[Route]]&amp;TEXT(Table1[[#This Row],[SegmentID]],"00")</f>
        <v>550B15</v>
      </c>
      <c r="B983" t="s">
        <v>1680</v>
      </c>
      <c r="D983">
        <f>IFERROR(ROUND(VLOOKUP(Table1[[#This Row],[Route]],SegmentsPerRoute!$C$3:$L$297,8,FALSE)+(Table1[[#This Row],[Sequence]]-1)*VLOOKUP(Table1[[#This Row],[Route]],SegmentsPerRoute!$C$3:$L$297,10,FALSE),0), 0)</f>
        <v>15</v>
      </c>
      <c r="E983">
        <v>1</v>
      </c>
      <c r="F983" s="1">
        <v>20.916</v>
      </c>
      <c r="G983" t="s">
        <v>1681</v>
      </c>
      <c r="H983" s="1">
        <v>70.370999999999995</v>
      </c>
      <c r="I983" t="s">
        <v>1682</v>
      </c>
      <c r="K983" t="s">
        <v>1693</v>
      </c>
      <c r="L983" t="s">
        <v>3201</v>
      </c>
      <c r="M983" t="s">
        <v>3204</v>
      </c>
      <c r="N983" t="s">
        <v>25</v>
      </c>
    </row>
    <row r="984" spans="1:14" ht="30" x14ac:dyDescent="0.25">
      <c r="A984" s="41" t="str">
        <f>Table1[[#This Row],[Route]]&amp;TEXT(Table1[[#This Row],[SegmentID]],"00")</f>
        <v>550B38</v>
      </c>
      <c r="B984" t="s">
        <v>1680</v>
      </c>
      <c r="D984">
        <f>IFERROR(ROUND(VLOOKUP(Table1[[#This Row],[Route]],SegmentsPerRoute!$C$3:$L$297,8,FALSE)+(Table1[[#This Row],[Sequence]]-1)*VLOOKUP(Table1[[#This Row],[Route]],SegmentsPerRoute!$C$3:$L$297,10,FALSE),0), 0)</f>
        <v>38</v>
      </c>
      <c r="E984">
        <v>2</v>
      </c>
      <c r="F984" s="1">
        <v>70.370999999999995</v>
      </c>
      <c r="G984" t="s">
        <v>1682</v>
      </c>
      <c r="H984" s="1">
        <v>103.702</v>
      </c>
      <c r="I984" t="s">
        <v>1683</v>
      </c>
      <c r="K984" t="s">
        <v>1693</v>
      </c>
      <c r="L984" t="s">
        <v>3201</v>
      </c>
      <c r="M984" t="s">
        <v>3204</v>
      </c>
      <c r="N984" s="4" t="s">
        <v>1686</v>
      </c>
    </row>
    <row r="985" spans="1:14" x14ac:dyDescent="0.25">
      <c r="A985" s="41" t="str">
        <f>Table1[[#This Row],[Route]]&amp;TEXT(Table1[[#This Row],[SegmentID]],"00")</f>
        <v>550B62</v>
      </c>
      <c r="B985" t="s">
        <v>1680</v>
      </c>
      <c r="D985">
        <f>IFERROR(ROUND(VLOOKUP(Table1[[#This Row],[Route]],SegmentsPerRoute!$C$3:$L$297,8,FALSE)+(Table1[[#This Row],[Sequence]]-1)*VLOOKUP(Table1[[#This Row],[Route]],SegmentsPerRoute!$C$3:$L$297,10,FALSE),0), 0)</f>
        <v>62</v>
      </c>
      <c r="E985">
        <v>3</v>
      </c>
      <c r="F985" s="1">
        <v>103.702</v>
      </c>
      <c r="G985" t="s">
        <v>1683</v>
      </c>
      <c r="H985" s="1">
        <v>129.25700000000001</v>
      </c>
      <c r="I985" t="s">
        <v>1684</v>
      </c>
      <c r="K985" t="s">
        <v>1693</v>
      </c>
      <c r="L985" t="s">
        <v>3202</v>
      </c>
      <c r="M985" t="s">
        <v>3203</v>
      </c>
      <c r="N985" t="s">
        <v>634</v>
      </c>
    </row>
    <row r="986" spans="1:14" x14ac:dyDescent="0.25">
      <c r="A986" s="41" t="str">
        <f>Table1[[#This Row],[Route]]&amp;TEXT(Table1[[#This Row],[SegmentID]],"00")</f>
        <v>550B85</v>
      </c>
      <c r="B986" t="s">
        <v>1680</v>
      </c>
      <c r="D986">
        <f>IFERROR(ROUND(VLOOKUP(Table1[[#This Row],[Route]],SegmentsPerRoute!$C$3:$L$297,8,FALSE)+(Table1[[#This Row],[Sequence]]-1)*VLOOKUP(Table1[[#This Row],[Route]],SegmentsPerRoute!$C$3:$L$297,10,FALSE),0), 0)</f>
        <v>85</v>
      </c>
      <c r="E986">
        <v>4</v>
      </c>
      <c r="F986" s="1">
        <v>129.25700000000001</v>
      </c>
      <c r="G986" t="s">
        <v>1684</v>
      </c>
      <c r="H986" s="1">
        <v>130.21899999999999</v>
      </c>
      <c r="I986" t="s">
        <v>1685</v>
      </c>
      <c r="K986" t="s">
        <v>1693</v>
      </c>
      <c r="L986" t="s">
        <v>3202</v>
      </c>
      <c r="M986" t="s">
        <v>3203</v>
      </c>
      <c r="N986" t="s">
        <v>634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18" sqref="I18"/>
    </sheetView>
  </sheetViews>
  <sheetFormatPr defaultRowHeight="15" x14ac:dyDescent="0.25"/>
  <cols>
    <col min="2" max="2" width="15.140625" customWidth="1"/>
    <col min="3" max="3" width="11.85546875" customWidth="1"/>
    <col min="4" max="4" width="15.140625" customWidth="1"/>
    <col min="5" max="5" width="16.5703125" customWidth="1"/>
    <col min="6" max="6" width="15.5703125" customWidth="1"/>
  </cols>
  <sheetData>
    <row r="1" spans="1:6" x14ac:dyDescent="0.25">
      <c r="A1" t="s">
        <v>1</v>
      </c>
      <c r="B1" t="s">
        <v>1150</v>
      </c>
      <c r="C1" t="s">
        <v>1151</v>
      </c>
      <c r="D1" t="s">
        <v>1152</v>
      </c>
      <c r="E1" t="s">
        <v>1153</v>
      </c>
      <c r="F1" t="s">
        <v>1154</v>
      </c>
    </row>
    <row r="2" spans="1:6" x14ac:dyDescent="0.25">
      <c r="A2" t="s">
        <v>93</v>
      </c>
      <c r="B2" s="3" t="s">
        <v>103</v>
      </c>
      <c r="C2" s="1">
        <v>404.64400000000001</v>
      </c>
      <c r="D2" t="s">
        <v>122</v>
      </c>
      <c r="E2" s="3"/>
      <c r="F2" s="5">
        <v>0</v>
      </c>
    </row>
    <row r="3" spans="1:6" x14ac:dyDescent="0.25">
      <c r="A3" t="s">
        <v>122</v>
      </c>
      <c r="B3" s="3"/>
      <c r="C3" s="1">
        <v>0.60399999999999998</v>
      </c>
      <c r="D3" t="s">
        <v>93</v>
      </c>
      <c r="E3" s="3" t="s">
        <v>103</v>
      </c>
      <c r="F3" s="1">
        <v>404.12799999999999</v>
      </c>
    </row>
    <row r="4" spans="1:6" x14ac:dyDescent="0.25">
      <c r="A4" t="s">
        <v>430</v>
      </c>
      <c r="B4" s="3" t="s">
        <v>427</v>
      </c>
      <c r="C4" s="5">
        <v>10</v>
      </c>
      <c r="D4" t="s">
        <v>445</v>
      </c>
      <c r="E4" s="3"/>
      <c r="F4" s="5">
        <v>0</v>
      </c>
    </row>
    <row r="5" spans="1:6" x14ac:dyDescent="0.25">
      <c r="A5" t="s">
        <v>445</v>
      </c>
      <c r="B5" s="3"/>
      <c r="C5" s="1">
        <v>1.3009999999999999</v>
      </c>
      <c r="D5" t="s">
        <v>430</v>
      </c>
      <c r="E5" s="3" t="s">
        <v>427</v>
      </c>
      <c r="F5" s="1">
        <v>8.7680000000000007</v>
      </c>
    </row>
    <row r="6" spans="1:6" x14ac:dyDescent="0.25">
      <c r="A6" t="s">
        <v>454</v>
      </c>
      <c r="B6" s="3" t="s">
        <v>469</v>
      </c>
      <c r="C6" s="1">
        <v>20.657</v>
      </c>
      <c r="D6" t="s">
        <v>508</v>
      </c>
      <c r="E6" s="3"/>
      <c r="F6" s="5">
        <v>0</v>
      </c>
    </row>
    <row r="7" spans="1:6" x14ac:dyDescent="0.25">
      <c r="A7" t="s">
        <v>508</v>
      </c>
      <c r="B7" s="3"/>
      <c r="C7" s="1">
        <v>0.29899999999999999</v>
      </c>
      <c r="D7" t="s">
        <v>454</v>
      </c>
      <c r="E7" s="3" t="s">
        <v>469</v>
      </c>
      <c r="F7" s="1">
        <v>20.317</v>
      </c>
    </row>
    <row r="8" spans="1:6" x14ac:dyDescent="0.25">
      <c r="A8" t="s">
        <v>513</v>
      </c>
      <c r="B8" s="3" t="s">
        <v>528</v>
      </c>
      <c r="C8" s="1">
        <v>91.262</v>
      </c>
      <c r="D8" t="s">
        <v>583</v>
      </c>
      <c r="E8" s="3"/>
      <c r="F8" s="5">
        <v>0</v>
      </c>
    </row>
    <row r="9" spans="1:6" x14ac:dyDescent="0.25">
      <c r="A9" t="s">
        <v>583</v>
      </c>
      <c r="B9" s="3"/>
      <c r="C9" s="1">
        <v>0.73</v>
      </c>
      <c r="D9" t="s">
        <v>513</v>
      </c>
      <c r="E9" s="3" t="s">
        <v>528</v>
      </c>
      <c r="F9" s="1">
        <v>90.358000000000004</v>
      </c>
    </row>
    <row r="10" spans="1:6" x14ac:dyDescent="0.25">
      <c r="A10" t="s">
        <v>640</v>
      </c>
      <c r="B10" s="3"/>
      <c r="C10" s="1">
        <v>369.42</v>
      </c>
      <c r="D10" t="s">
        <v>680</v>
      </c>
      <c r="E10" s="3"/>
      <c r="F10" s="5">
        <v>0</v>
      </c>
    </row>
    <row r="11" spans="1:6" x14ac:dyDescent="0.25">
      <c r="A11" t="s">
        <v>680</v>
      </c>
      <c r="B11" s="3"/>
      <c r="C11" s="1">
        <v>2.6030000000000002</v>
      </c>
      <c r="D11" t="s">
        <v>640</v>
      </c>
      <c r="E11" s="3"/>
      <c r="F11" s="1">
        <v>366.97</v>
      </c>
    </row>
    <row r="12" spans="1:6" x14ac:dyDescent="0.25">
      <c r="A12" t="s">
        <v>836</v>
      </c>
      <c r="B12" s="3" t="s">
        <v>845</v>
      </c>
      <c r="C12" s="1">
        <v>6.5880000000000001</v>
      </c>
      <c r="D12" t="s">
        <v>879</v>
      </c>
      <c r="E12" s="3" t="s">
        <v>882</v>
      </c>
      <c r="F12" s="5">
        <v>0</v>
      </c>
    </row>
    <row r="13" spans="1:6" x14ac:dyDescent="0.25">
      <c r="A13" t="s">
        <v>879</v>
      </c>
      <c r="B13" s="3" t="s">
        <v>883</v>
      </c>
      <c r="C13" s="1">
        <v>1.3380000000000001</v>
      </c>
      <c r="D13" t="s">
        <v>836</v>
      </c>
      <c r="E13" s="3" t="s">
        <v>844</v>
      </c>
      <c r="F13" s="1">
        <v>5.2629999999999999</v>
      </c>
    </row>
    <row r="14" spans="1:6" x14ac:dyDescent="0.25">
      <c r="A14" t="s">
        <v>1236</v>
      </c>
      <c r="B14" s="3" t="s">
        <v>1246</v>
      </c>
      <c r="C14" s="1">
        <v>0.54600000000000004</v>
      </c>
      <c r="D14" t="s">
        <v>1245</v>
      </c>
      <c r="E14" s="3"/>
      <c r="F14" s="5">
        <v>0</v>
      </c>
    </row>
    <row r="15" spans="1:6" x14ac:dyDescent="0.25">
      <c r="A15" s="6" t="s">
        <v>1245</v>
      </c>
      <c r="B15" s="7"/>
      <c r="C15" s="8">
        <v>0.61399999999999999</v>
      </c>
      <c r="D15" s="6" t="s">
        <v>1236</v>
      </c>
      <c r="E15" s="7" t="s">
        <v>1246</v>
      </c>
      <c r="F15" s="9">
        <v>0</v>
      </c>
    </row>
    <row r="16" spans="1:6" x14ac:dyDescent="0.25">
      <c r="A16" t="s">
        <v>1313</v>
      </c>
      <c r="B16" s="3"/>
      <c r="C16" s="1">
        <v>233.48699999999999</v>
      </c>
      <c r="D16" t="s">
        <v>1371</v>
      </c>
      <c r="E16" s="3"/>
      <c r="F16" s="5">
        <v>0</v>
      </c>
    </row>
    <row r="17" spans="1:6" x14ac:dyDescent="0.25">
      <c r="A17" t="s">
        <v>1371</v>
      </c>
      <c r="B17" s="3"/>
      <c r="C17" s="1">
        <v>0.66400000000000003</v>
      </c>
      <c r="D17" t="s">
        <v>1313</v>
      </c>
      <c r="E17" s="3"/>
      <c r="F17" s="1">
        <v>232.483</v>
      </c>
    </row>
    <row r="18" spans="1:6" x14ac:dyDescent="0.25">
      <c r="A18" t="s">
        <v>1516</v>
      </c>
      <c r="B18" s="3" t="s">
        <v>1537</v>
      </c>
      <c r="C18" s="1">
        <v>334.31200000000001</v>
      </c>
      <c r="D18" t="s">
        <v>1539</v>
      </c>
      <c r="E18" s="3"/>
      <c r="F18" s="1">
        <v>0</v>
      </c>
    </row>
    <row r="19" spans="1:6" x14ac:dyDescent="0.25">
      <c r="A19" t="s">
        <v>1539</v>
      </c>
      <c r="B19" s="3"/>
      <c r="C19" s="1">
        <v>1.7629999999999999</v>
      </c>
      <c r="D19" t="s">
        <v>1516</v>
      </c>
      <c r="E19" s="3" t="s">
        <v>1537</v>
      </c>
      <c r="F19" s="1">
        <v>332.613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1:M64"/>
  <sheetViews>
    <sheetView topLeftCell="L1" zoomScaleNormal="100" workbookViewId="0">
      <selection activeCell="G1" sqref="G1:G1048576"/>
    </sheetView>
  </sheetViews>
  <sheetFormatPr defaultRowHeight="15" x14ac:dyDescent="0.25"/>
  <cols>
    <col min="1" max="1" width="19.85546875" hidden="1" customWidth="1"/>
    <col min="2" max="2" width="9.5703125" customWidth="1"/>
    <col min="3" max="3" width="21.5703125" hidden="1" customWidth="1"/>
    <col min="4" max="5" width="38.5703125" bestFit="1" customWidth="1"/>
    <col min="6" max="6" width="40.85546875" bestFit="1" customWidth="1"/>
    <col min="7" max="8" width="12" customWidth="1"/>
    <col min="9" max="9" width="13.140625" hidden="1" customWidth="1"/>
    <col min="10" max="10" width="11.5703125" hidden="1" customWidth="1"/>
    <col min="11" max="11" width="12.5703125" customWidth="1"/>
    <col min="12" max="12" width="12.85546875" bestFit="1" customWidth="1"/>
    <col min="13" max="13" width="16.140625" bestFit="1" customWidth="1"/>
  </cols>
  <sheetData>
    <row r="1" spans="1:13" ht="47.45" customHeight="1" x14ac:dyDescent="0.25">
      <c r="A1" t="s">
        <v>1738</v>
      </c>
      <c r="B1" t="s">
        <v>1737</v>
      </c>
      <c r="C1" t="s">
        <v>1739</v>
      </c>
      <c r="D1" t="s">
        <v>1744</v>
      </c>
      <c r="E1" t="s">
        <v>1740</v>
      </c>
      <c r="F1" t="s">
        <v>1741</v>
      </c>
      <c r="G1" t="s">
        <v>1742</v>
      </c>
      <c r="H1" s="4" t="s">
        <v>1745</v>
      </c>
      <c r="I1" t="s">
        <v>1746</v>
      </c>
      <c r="J1" s="4" t="s">
        <v>1743</v>
      </c>
      <c r="K1" s="4" t="s">
        <v>1747</v>
      </c>
      <c r="L1" t="s">
        <v>4448</v>
      </c>
      <c r="M1" t="s">
        <v>4449</v>
      </c>
    </row>
    <row r="2" spans="1:13" x14ac:dyDescent="0.25">
      <c r="B2" s="25" t="s">
        <v>1956</v>
      </c>
      <c r="D2" t="s">
        <v>1930</v>
      </c>
      <c r="E2" t="s">
        <v>1931</v>
      </c>
      <c r="F2" t="s">
        <v>1932</v>
      </c>
      <c r="G2" s="1">
        <v>0.504</v>
      </c>
      <c r="H2" s="17" t="s">
        <v>1755</v>
      </c>
      <c r="I2" s="17">
        <v>306</v>
      </c>
      <c r="J2" s="17" t="s">
        <v>1934</v>
      </c>
      <c r="K2" t="s">
        <v>1933</v>
      </c>
      <c r="L2" s="17">
        <v>1</v>
      </c>
      <c r="M2" s="17" t="s">
        <v>4557</v>
      </c>
    </row>
    <row r="3" spans="1:13" x14ac:dyDescent="0.25">
      <c r="B3" s="25" t="s">
        <v>1963</v>
      </c>
      <c r="D3" t="s">
        <v>1807</v>
      </c>
      <c r="E3" t="s">
        <v>1813</v>
      </c>
      <c r="F3" t="s">
        <v>1805</v>
      </c>
      <c r="G3" s="1">
        <v>0.13500000000000001</v>
      </c>
      <c r="H3" s="17"/>
      <c r="I3" s="17"/>
      <c r="J3" s="17" t="s">
        <v>1583</v>
      </c>
      <c r="K3" t="s">
        <v>1812</v>
      </c>
      <c r="L3" s="17">
        <v>2</v>
      </c>
      <c r="M3" s="17" t="s">
        <v>4560</v>
      </c>
    </row>
    <row r="4" spans="1:13" x14ac:dyDescent="0.25">
      <c r="B4" s="25" t="s">
        <v>1957</v>
      </c>
      <c r="D4" t="s">
        <v>1893</v>
      </c>
      <c r="E4" t="s">
        <v>1894</v>
      </c>
      <c r="F4" t="s">
        <v>1753</v>
      </c>
      <c r="G4" s="1">
        <v>9.4E-2</v>
      </c>
      <c r="H4" s="17" t="s">
        <v>1755</v>
      </c>
      <c r="I4" s="17">
        <v>266</v>
      </c>
      <c r="J4" s="17" t="s">
        <v>1895</v>
      </c>
      <c r="K4" t="s">
        <v>1896</v>
      </c>
      <c r="L4" s="17">
        <v>1</v>
      </c>
      <c r="M4" s="17" t="s">
        <v>4562</v>
      </c>
    </row>
    <row r="5" spans="1:13" x14ac:dyDescent="0.25">
      <c r="B5" s="25" t="s">
        <v>1958</v>
      </c>
      <c r="D5" t="s">
        <v>1912</v>
      </c>
      <c r="E5" t="s">
        <v>1913</v>
      </c>
      <c r="F5" t="s">
        <v>74</v>
      </c>
      <c r="G5" s="1">
        <v>0.499</v>
      </c>
      <c r="H5" s="17" t="s">
        <v>1755</v>
      </c>
      <c r="I5" s="17" t="s">
        <v>1914</v>
      </c>
      <c r="J5" s="17"/>
      <c r="K5" t="s">
        <v>1915</v>
      </c>
      <c r="L5" s="17">
        <v>1</v>
      </c>
      <c r="M5" s="17" t="s">
        <v>4563</v>
      </c>
    </row>
    <row r="6" spans="1:13" x14ac:dyDescent="0.25">
      <c r="B6" s="25" t="s">
        <v>1964</v>
      </c>
      <c r="D6" t="s">
        <v>1806</v>
      </c>
      <c r="E6" t="s">
        <v>1814</v>
      </c>
      <c r="F6" t="s">
        <v>1805</v>
      </c>
      <c r="G6" s="1">
        <v>6.4000000000000001E-2</v>
      </c>
      <c r="H6" s="17"/>
      <c r="I6" s="17"/>
      <c r="J6" s="17" t="s">
        <v>1583</v>
      </c>
      <c r="K6" t="s">
        <v>1812</v>
      </c>
      <c r="L6" s="17">
        <v>2</v>
      </c>
      <c r="M6" s="17" t="s">
        <v>4560</v>
      </c>
    </row>
    <row r="7" spans="1:13" x14ac:dyDescent="0.25">
      <c r="B7" s="25" t="s">
        <v>1965</v>
      </c>
      <c r="D7" t="s">
        <v>1906</v>
      </c>
      <c r="E7" t="s">
        <v>5048</v>
      </c>
      <c r="F7" t="s">
        <v>1907</v>
      </c>
      <c r="G7" s="1">
        <v>0.19400000000000001</v>
      </c>
      <c r="H7" s="17"/>
      <c r="I7" s="17"/>
      <c r="J7" s="17"/>
      <c r="K7" t="s">
        <v>1908</v>
      </c>
      <c r="L7" s="17">
        <v>1</v>
      </c>
      <c r="M7" s="17" t="s">
        <v>4566</v>
      </c>
    </row>
    <row r="8" spans="1:13" x14ac:dyDescent="0.25">
      <c r="B8" s="25" t="s">
        <v>1966</v>
      </c>
      <c r="D8" t="s">
        <v>1898</v>
      </c>
      <c r="E8" t="s">
        <v>1899</v>
      </c>
      <c r="F8" t="s">
        <v>1900</v>
      </c>
      <c r="G8" s="1">
        <v>0.105</v>
      </c>
      <c r="H8" s="17" t="s">
        <v>1783</v>
      </c>
      <c r="I8" s="17" t="s">
        <v>1901</v>
      </c>
      <c r="J8" s="17" t="s">
        <v>1902</v>
      </c>
      <c r="L8" s="17">
        <v>1</v>
      </c>
      <c r="M8" s="17" t="s">
        <v>4564</v>
      </c>
    </row>
    <row r="9" spans="1:13" x14ac:dyDescent="0.25">
      <c r="B9" s="25" t="s">
        <v>1967</v>
      </c>
      <c r="D9" t="s">
        <v>1824</v>
      </c>
      <c r="E9" t="s">
        <v>1825</v>
      </c>
      <c r="F9" t="s">
        <v>1826</v>
      </c>
      <c r="G9" s="1">
        <v>0.191</v>
      </c>
      <c r="H9" s="17" t="s">
        <v>1827</v>
      </c>
      <c r="I9" s="18" t="s">
        <v>1828</v>
      </c>
      <c r="J9" s="17" t="s">
        <v>1829</v>
      </c>
      <c r="K9" t="s">
        <v>1830</v>
      </c>
      <c r="L9" s="17">
        <v>4</v>
      </c>
      <c r="M9" s="17" t="s">
        <v>4558</v>
      </c>
    </row>
    <row r="10" spans="1:13" ht="30" x14ac:dyDescent="0.25">
      <c r="B10" s="25" t="s">
        <v>1959</v>
      </c>
      <c r="D10" t="s">
        <v>1921</v>
      </c>
      <c r="E10" t="s">
        <v>1922</v>
      </c>
      <c r="F10" s="4" t="s">
        <v>1923</v>
      </c>
      <c r="G10" s="1">
        <v>0.96199999999999997</v>
      </c>
      <c r="H10" s="17" t="s">
        <v>1924</v>
      </c>
      <c r="I10" s="17" t="s">
        <v>1925</v>
      </c>
      <c r="J10" s="17"/>
      <c r="K10" t="s">
        <v>1661</v>
      </c>
      <c r="L10" s="17">
        <v>1</v>
      </c>
      <c r="M10" s="17" t="s">
        <v>4565</v>
      </c>
    </row>
    <row r="11" spans="1:13" x14ac:dyDescent="0.25">
      <c r="B11" s="25" t="s">
        <v>1960</v>
      </c>
      <c r="D11" t="s">
        <v>1870</v>
      </c>
      <c r="E11" t="s">
        <v>1871</v>
      </c>
      <c r="F11" t="s">
        <v>1872</v>
      </c>
      <c r="G11" s="1">
        <v>6.5000000000000002E-2</v>
      </c>
      <c r="H11" s="17" t="s">
        <v>1783</v>
      </c>
      <c r="I11" s="17" t="s">
        <v>1873</v>
      </c>
      <c r="J11" s="17" t="s">
        <v>1874</v>
      </c>
      <c r="K11" t="s">
        <v>1875</v>
      </c>
      <c r="L11" s="17">
        <v>1</v>
      </c>
      <c r="M11" s="17" t="s">
        <v>4593</v>
      </c>
    </row>
    <row r="12" spans="1:13" x14ac:dyDescent="0.25">
      <c r="B12" s="25" t="s">
        <v>1961</v>
      </c>
      <c r="D12" t="s">
        <v>1840</v>
      </c>
      <c r="E12" t="s">
        <v>1841</v>
      </c>
      <c r="F12" t="s">
        <v>1842</v>
      </c>
      <c r="G12" s="1">
        <v>0.20200000000000001</v>
      </c>
      <c r="H12" s="17" t="s">
        <v>1843</v>
      </c>
      <c r="I12" s="18" t="s">
        <v>1844</v>
      </c>
      <c r="J12" s="17"/>
      <c r="K12" t="s">
        <v>1845</v>
      </c>
      <c r="L12" s="17">
        <v>1</v>
      </c>
      <c r="M12" s="17" t="s">
        <v>4567</v>
      </c>
    </row>
    <row r="13" spans="1:13" x14ac:dyDescent="0.25">
      <c r="B13" s="25" t="s">
        <v>1962</v>
      </c>
      <c r="D13" t="s">
        <v>1774</v>
      </c>
      <c r="E13" t="s">
        <v>1775</v>
      </c>
      <c r="F13" t="s">
        <v>1776</v>
      </c>
      <c r="G13" s="1">
        <v>0.56799999999999995</v>
      </c>
      <c r="H13" s="17" t="s">
        <v>1755</v>
      </c>
      <c r="I13" s="17">
        <v>167</v>
      </c>
      <c r="J13" s="17" t="s">
        <v>1777</v>
      </c>
      <c r="K13" t="s">
        <v>1779</v>
      </c>
      <c r="L13" s="17">
        <v>3</v>
      </c>
      <c r="M13" s="17" t="s">
        <v>4568</v>
      </c>
    </row>
    <row r="14" spans="1:13" x14ac:dyDescent="0.25">
      <c r="B14" s="25" t="s">
        <v>1968</v>
      </c>
      <c r="D14" t="s">
        <v>1796</v>
      </c>
      <c r="E14" t="s">
        <v>1797</v>
      </c>
      <c r="F14" t="s">
        <v>1798</v>
      </c>
      <c r="G14" s="1">
        <v>6.5000000000000002E-2</v>
      </c>
      <c r="H14" s="17"/>
      <c r="I14" s="17"/>
      <c r="J14" s="17"/>
      <c r="K14" t="s">
        <v>1799</v>
      </c>
      <c r="L14" s="17">
        <v>2</v>
      </c>
      <c r="M14" s="17" t="s">
        <v>4570</v>
      </c>
    </row>
    <row r="15" spans="1:13" x14ac:dyDescent="0.25">
      <c r="B15" s="25" t="s">
        <v>1969</v>
      </c>
      <c r="D15" t="s">
        <v>1808</v>
      </c>
      <c r="E15" t="s">
        <v>1806</v>
      </c>
      <c r="F15" t="s">
        <v>1807</v>
      </c>
      <c r="G15" s="1">
        <v>0.13600000000000001</v>
      </c>
      <c r="H15" s="17" t="s">
        <v>1809</v>
      </c>
      <c r="I15" s="18" t="s">
        <v>1810</v>
      </c>
      <c r="J15" s="17" t="s">
        <v>1583</v>
      </c>
      <c r="K15" t="s">
        <v>1583</v>
      </c>
      <c r="L15" s="17">
        <v>2</v>
      </c>
      <c r="M15" s="17" t="s">
        <v>4560</v>
      </c>
    </row>
    <row r="16" spans="1:13" x14ac:dyDescent="0.25">
      <c r="B16" s="25" t="s">
        <v>1969</v>
      </c>
      <c r="D16" t="s">
        <v>1808</v>
      </c>
      <c r="E16" t="s">
        <v>1807</v>
      </c>
      <c r="F16" t="s">
        <v>1811</v>
      </c>
      <c r="G16" s="1">
        <v>9.7000000000000003E-2</v>
      </c>
      <c r="H16" s="17" t="s">
        <v>1809</v>
      </c>
      <c r="I16" s="18" t="s">
        <v>1810</v>
      </c>
      <c r="J16" s="17" t="s">
        <v>1583</v>
      </c>
      <c r="K16" t="s">
        <v>1583</v>
      </c>
      <c r="L16" s="17">
        <v>2</v>
      </c>
      <c r="M16" s="17" t="s">
        <v>4560</v>
      </c>
    </row>
    <row r="17" spans="2:13" x14ac:dyDescent="0.25">
      <c r="B17" s="25" t="s">
        <v>2012</v>
      </c>
      <c r="D17" t="s">
        <v>1916</v>
      </c>
      <c r="E17" t="s">
        <v>1917</v>
      </c>
      <c r="F17" t="s">
        <v>1918</v>
      </c>
      <c r="G17" s="1">
        <f>0.036 + 0.094</f>
        <v>0.13</v>
      </c>
      <c r="H17" s="17" t="s">
        <v>1783</v>
      </c>
      <c r="I17" s="17" t="s">
        <v>1416</v>
      </c>
      <c r="J17" s="17" t="s">
        <v>1829</v>
      </c>
      <c r="L17" s="17">
        <v>1</v>
      </c>
      <c r="M17" s="17" t="s">
        <v>4593</v>
      </c>
    </row>
    <row r="18" spans="2:13" x14ac:dyDescent="0.25">
      <c r="B18" s="25" t="s">
        <v>1970</v>
      </c>
      <c r="D18" t="s">
        <v>1772</v>
      </c>
      <c r="E18" t="s">
        <v>1753</v>
      </c>
      <c r="F18" t="s">
        <v>1773</v>
      </c>
      <c r="G18" s="1">
        <v>0.19400000000000001</v>
      </c>
      <c r="H18" s="17" t="s">
        <v>1755</v>
      </c>
      <c r="I18" s="17">
        <v>105</v>
      </c>
      <c r="J18" s="17"/>
      <c r="K18" t="s">
        <v>1764</v>
      </c>
      <c r="L18" s="17">
        <v>3</v>
      </c>
      <c r="M18" s="17" t="s">
        <v>4561</v>
      </c>
    </row>
    <row r="19" spans="2:13" x14ac:dyDescent="0.25">
      <c r="B19" s="25" t="s">
        <v>1971</v>
      </c>
      <c r="D19" t="s">
        <v>1884</v>
      </c>
      <c r="E19" t="s">
        <v>1885</v>
      </c>
      <c r="F19" t="s">
        <v>1872</v>
      </c>
      <c r="G19" s="1">
        <v>0.06</v>
      </c>
      <c r="H19" s="17" t="s">
        <v>1783</v>
      </c>
      <c r="I19" s="17" t="s">
        <v>1873</v>
      </c>
      <c r="J19" s="17"/>
      <c r="K19" t="s">
        <v>1875</v>
      </c>
      <c r="L19" s="17">
        <v>1</v>
      </c>
      <c r="M19" s="17" t="s">
        <v>4593</v>
      </c>
    </row>
    <row r="20" spans="2:13" x14ac:dyDescent="0.25">
      <c r="B20" s="25" t="s">
        <v>1973</v>
      </c>
      <c r="D20" t="s">
        <v>1760</v>
      </c>
      <c r="E20" t="s">
        <v>1761</v>
      </c>
      <c r="F20" t="s">
        <v>1762</v>
      </c>
      <c r="G20" s="1">
        <v>0.755</v>
      </c>
      <c r="H20" s="17"/>
      <c r="I20" s="17"/>
      <c r="J20" s="17" t="s">
        <v>1764</v>
      </c>
      <c r="K20" t="s">
        <v>1778</v>
      </c>
      <c r="L20" s="17">
        <v>3</v>
      </c>
      <c r="M20" s="17" t="s">
        <v>4559</v>
      </c>
    </row>
    <row r="21" spans="2:13" x14ac:dyDescent="0.25">
      <c r="B21" s="25" t="s">
        <v>1973</v>
      </c>
      <c r="D21" t="s">
        <v>1760</v>
      </c>
      <c r="E21" t="s">
        <v>1762</v>
      </c>
      <c r="F21" t="s">
        <v>1769</v>
      </c>
      <c r="G21" s="1">
        <v>0.13100000000000001</v>
      </c>
      <c r="H21" s="17"/>
      <c r="I21" s="17"/>
      <c r="J21" s="17" t="s">
        <v>1764</v>
      </c>
      <c r="K21" t="s">
        <v>1766</v>
      </c>
      <c r="L21" s="17">
        <v>3</v>
      </c>
      <c r="M21" s="17" t="s">
        <v>4559</v>
      </c>
    </row>
    <row r="22" spans="2:13" x14ac:dyDescent="0.25">
      <c r="B22" s="25" t="s">
        <v>1973</v>
      </c>
      <c r="D22" t="s">
        <v>1760</v>
      </c>
      <c r="E22" t="s">
        <v>1763</v>
      </c>
      <c r="F22" t="s">
        <v>1765</v>
      </c>
      <c r="G22" s="1">
        <v>0.14699999999999999</v>
      </c>
      <c r="H22" s="17"/>
      <c r="I22" s="17"/>
      <c r="J22" s="17" t="s">
        <v>1764</v>
      </c>
      <c r="K22" t="s">
        <v>1764</v>
      </c>
      <c r="L22" s="17">
        <v>3</v>
      </c>
      <c r="M22" s="17" t="s">
        <v>4559</v>
      </c>
    </row>
    <row r="23" spans="2:13" x14ac:dyDescent="0.25">
      <c r="B23" s="25" t="s">
        <v>1972</v>
      </c>
      <c r="D23" t="s">
        <v>1860</v>
      </c>
      <c r="E23" t="s">
        <v>1861</v>
      </c>
      <c r="F23" t="s">
        <v>1862</v>
      </c>
      <c r="G23" s="1">
        <v>0.106</v>
      </c>
      <c r="H23" s="17" t="s">
        <v>1493</v>
      </c>
      <c r="I23" s="18" t="s">
        <v>1863</v>
      </c>
      <c r="J23" s="17"/>
      <c r="L23" s="17">
        <v>1</v>
      </c>
      <c r="M23" s="17" t="s">
        <v>4569</v>
      </c>
    </row>
    <row r="24" spans="2:13" x14ac:dyDescent="0.25">
      <c r="B24" s="25" t="s">
        <v>1974</v>
      </c>
      <c r="D24" t="s">
        <v>1767</v>
      </c>
      <c r="E24" t="s">
        <v>1759</v>
      </c>
      <c r="F24" t="s">
        <v>1769</v>
      </c>
      <c r="G24" s="1">
        <v>0.35</v>
      </c>
      <c r="H24" s="17"/>
      <c r="I24" s="17"/>
      <c r="J24" s="17">
        <v>13</v>
      </c>
      <c r="K24" t="s">
        <v>1755</v>
      </c>
      <c r="L24" s="17">
        <v>3</v>
      </c>
      <c r="M24" s="17" t="s">
        <v>4559</v>
      </c>
    </row>
    <row r="25" spans="2:13" x14ac:dyDescent="0.25">
      <c r="B25" s="25" t="s">
        <v>1974</v>
      </c>
      <c r="D25" t="s">
        <v>1767</v>
      </c>
      <c r="E25" t="s">
        <v>1769</v>
      </c>
      <c r="F25" t="s">
        <v>1768</v>
      </c>
      <c r="G25" s="1">
        <v>0.13100000000000001</v>
      </c>
      <c r="H25" s="17"/>
      <c r="I25" s="17"/>
      <c r="J25" s="17">
        <v>13</v>
      </c>
      <c r="K25" t="s">
        <v>1764</v>
      </c>
      <c r="L25" s="17">
        <v>3</v>
      </c>
      <c r="M25" s="17" t="s">
        <v>4559</v>
      </c>
    </row>
    <row r="26" spans="2:13" x14ac:dyDescent="0.25">
      <c r="B26" s="25" t="s">
        <v>1975</v>
      </c>
      <c r="D26" t="s">
        <v>1897</v>
      </c>
      <c r="E26" t="s">
        <v>16</v>
      </c>
      <c r="F26" t="s">
        <v>337</v>
      </c>
      <c r="G26" s="1">
        <v>0.187</v>
      </c>
      <c r="H26" s="17" t="s">
        <v>1755</v>
      </c>
      <c r="I26" s="17">
        <v>263</v>
      </c>
      <c r="J26" s="17"/>
      <c r="K26" t="s">
        <v>1852</v>
      </c>
      <c r="L26" s="17">
        <v>1</v>
      </c>
      <c r="M26" s="17" t="s">
        <v>4562</v>
      </c>
    </row>
    <row r="27" spans="2:13" x14ac:dyDescent="0.25">
      <c r="B27" s="25" t="s">
        <v>2031</v>
      </c>
      <c r="D27" t="s">
        <v>1948</v>
      </c>
      <c r="E27" t="s">
        <v>246</v>
      </c>
      <c r="F27" t="s">
        <v>1949</v>
      </c>
      <c r="G27" s="1">
        <v>0.92200000000000004</v>
      </c>
      <c r="H27" s="17" t="s">
        <v>1654</v>
      </c>
      <c r="I27" s="17">
        <v>38</v>
      </c>
      <c r="J27" s="17"/>
      <c r="K27" t="s">
        <v>1950</v>
      </c>
      <c r="L27" s="17">
        <v>1</v>
      </c>
      <c r="M27" s="17" t="s">
        <v>4571</v>
      </c>
    </row>
    <row r="28" spans="2:13" x14ac:dyDescent="0.25">
      <c r="B28" s="25" t="s">
        <v>1977</v>
      </c>
      <c r="D28" t="s">
        <v>1780</v>
      </c>
      <c r="E28" t="s">
        <v>1781</v>
      </c>
      <c r="F28" t="s">
        <v>1782</v>
      </c>
      <c r="G28" s="1">
        <v>0.13900000000000001</v>
      </c>
      <c r="H28" s="17" t="s">
        <v>1783</v>
      </c>
      <c r="I28" s="17">
        <v>6</v>
      </c>
      <c r="J28" s="17"/>
      <c r="L28" s="17">
        <v>2</v>
      </c>
      <c r="M28" s="17" t="s">
        <v>4572</v>
      </c>
    </row>
    <row r="29" spans="2:13" x14ac:dyDescent="0.25">
      <c r="B29" s="25" t="s">
        <v>1978</v>
      </c>
      <c r="D29" t="s">
        <v>1784</v>
      </c>
      <c r="E29" t="s">
        <v>1785</v>
      </c>
      <c r="F29" t="s">
        <v>1786</v>
      </c>
      <c r="G29" s="1">
        <v>0.29799999999999999</v>
      </c>
      <c r="H29" s="17" t="s">
        <v>1783</v>
      </c>
      <c r="I29" s="17">
        <v>8</v>
      </c>
      <c r="J29" s="17"/>
      <c r="L29" s="17">
        <v>2</v>
      </c>
      <c r="M29" s="17" t="s">
        <v>4573</v>
      </c>
    </row>
    <row r="30" spans="2:13" x14ac:dyDescent="0.25">
      <c r="B30" s="25" t="s">
        <v>2000</v>
      </c>
      <c r="D30" t="s">
        <v>1752</v>
      </c>
      <c r="E30" t="s">
        <v>1753</v>
      </c>
      <c r="F30" t="s">
        <v>1754</v>
      </c>
      <c r="G30" s="1">
        <v>0.151</v>
      </c>
      <c r="H30" s="17" t="s">
        <v>1755</v>
      </c>
      <c r="I30" s="17">
        <v>75</v>
      </c>
      <c r="J30" s="17"/>
      <c r="K30" t="s">
        <v>1756</v>
      </c>
      <c r="L30" s="17">
        <v>3</v>
      </c>
      <c r="M30" s="17" t="s">
        <v>4574</v>
      </c>
    </row>
    <row r="31" spans="2:13" x14ac:dyDescent="0.25">
      <c r="B31" s="25" t="s">
        <v>2001</v>
      </c>
      <c r="D31" t="s">
        <v>1757</v>
      </c>
      <c r="E31" t="s">
        <v>1758</v>
      </c>
      <c r="F31" t="s">
        <v>1979</v>
      </c>
      <c r="G31" s="1">
        <v>0.161</v>
      </c>
      <c r="H31" s="17" t="s">
        <v>1755</v>
      </c>
      <c r="I31" s="17">
        <v>81</v>
      </c>
      <c r="J31" s="17"/>
      <c r="K31" t="s">
        <v>1756</v>
      </c>
      <c r="L31" s="17">
        <v>3</v>
      </c>
      <c r="M31" s="17" t="s">
        <v>4575</v>
      </c>
    </row>
    <row r="32" spans="2:13" x14ac:dyDescent="0.25">
      <c r="B32" s="25" t="s">
        <v>1981</v>
      </c>
      <c r="D32" t="s">
        <v>1849</v>
      </c>
      <c r="E32" t="s">
        <v>1850</v>
      </c>
      <c r="F32" t="s">
        <v>1851</v>
      </c>
      <c r="G32" s="1">
        <v>2.4E-2</v>
      </c>
      <c r="H32" s="17" t="s">
        <v>1755</v>
      </c>
      <c r="I32" s="17">
        <v>256</v>
      </c>
      <c r="J32" s="17"/>
      <c r="K32" t="s">
        <v>1852</v>
      </c>
      <c r="L32" s="17">
        <v>1</v>
      </c>
      <c r="M32" s="17" t="s">
        <v>4576</v>
      </c>
    </row>
    <row r="33" spans="2:13" ht="30" x14ac:dyDescent="0.25">
      <c r="B33" s="25" t="s">
        <v>1980</v>
      </c>
      <c r="D33" t="s">
        <v>1943</v>
      </c>
      <c r="E33" s="4" t="s">
        <v>1944</v>
      </c>
      <c r="F33" s="4" t="s">
        <v>1945</v>
      </c>
      <c r="G33" s="1">
        <v>0.32900000000000001</v>
      </c>
      <c r="H33" s="17" t="s">
        <v>1654</v>
      </c>
      <c r="I33" s="17" t="s">
        <v>1946</v>
      </c>
      <c r="J33" s="17" t="s">
        <v>820</v>
      </c>
      <c r="K33" t="s">
        <v>1755</v>
      </c>
      <c r="L33" s="17">
        <v>1</v>
      </c>
      <c r="M33" s="17" t="s">
        <v>4577</v>
      </c>
    </row>
    <row r="34" spans="2:13" x14ac:dyDescent="0.25">
      <c r="B34" s="25" t="s">
        <v>1993</v>
      </c>
      <c r="D34" t="s">
        <v>1865</v>
      </c>
      <c r="E34" t="s">
        <v>1866</v>
      </c>
      <c r="F34" t="s">
        <v>67</v>
      </c>
      <c r="G34" s="1">
        <v>1.6E-2</v>
      </c>
      <c r="H34" s="17" t="s">
        <v>1755</v>
      </c>
      <c r="I34" s="17">
        <v>247</v>
      </c>
      <c r="J34" s="17"/>
      <c r="K34" t="s">
        <v>1867</v>
      </c>
      <c r="L34" s="17">
        <v>1</v>
      </c>
      <c r="M34" s="17" t="s">
        <v>4578</v>
      </c>
    </row>
    <row r="35" spans="2:13" x14ac:dyDescent="0.25">
      <c r="B35" s="25" t="s">
        <v>1997</v>
      </c>
      <c r="D35" t="s">
        <v>1832</v>
      </c>
      <c r="E35" t="s">
        <v>1833</v>
      </c>
      <c r="F35" t="s">
        <v>1834</v>
      </c>
      <c r="G35" s="1">
        <v>0.96099999999999997</v>
      </c>
      <c r="H35" s="17" t="s">
        <v>1783</v>
      </c>
      <c r="I35" s="17">
        <v>252</v>
      </c>
      <c r="J35" s="17" t="s">
        <v>1835</v>
      </c>
      <c r="K35" t="s">
        <v>1836</v>
      </c>
      <c r="L35" s="17">
        <v>4</v>
      </c>
      <c r="M35" s="17" t="s">
        <v>4579</v>
      </c>
    </row>
    <row r="36" spans="2:13" x14ac:dyDescent="0.25">
      <c r="B36" s="25" t="s">
        <v>1998</v>
      </c>
      <c r="D36" t="s">
        <v>1815</v>
      </c>
      <c r="E36" t="s">
        <v>1816</v>
      </c>
      <c r="F36" t="s">
        <v>1819</v>
      </c>
      <c r="G36" s="1">
        <v>2.0009999999999999</v>
      </c>
      <c r="H36" s="17" t="s">
        <v>1817</v>
      </c>
      <c r="I36" s="17">
        <v>64</v>
      </c>
      <c r="J36" s="17" t="s">
        <v>1818</v>
      </c>
      <c r="K36" t="s">
        <v>1820</v>
      </c>
      <c r="L36" s="17">
        <v>4</v>
      </c>
      <c r="M36" s="17" t="s">
        <v>4580</v>
      </c>
    </row>
    <row r="37" spans="2:13" x14ac:dyDescent="0.25">
      <c r="B37" s="25" t="s">
        <v>1999</v>
      </c>
      <c r="D37" t="s">
        <v>1787</v>
      </c>
      <c r="E37" t="s">
        <v>1788</v>
      </c>
      <c r="F37" t="s">
        <v>1789</v>
      </c>
      <c r="G37" s="1">
        <v>0.17699999999999999</v>
      </c>
      <c r="H37" s="17" t="s">
        <v>1783</v>
      </c>
      <c r="I37" s="17" t="s">
        <v>1790</v>
      </c>
      <c r="J37" s="17"/>
      <c r="K37" t="s">
        <v>1791</v>
      </c>
      <c r="L37" s="17">
        <v>2</v>
      </c>
      <c r="M37" s="17" t="s">
        <v>4585</v>
      </c>
    </row>
    <row r="38" spans="2:13" x14ac:dyDescent="0.25">
      <c r="B38" s="25" t="s">
        <v>2002</v>
      </c>
      <c r="D38" t="s">
        <v>1868</v>
      </c>
      <c r="E38" t="s">
        <v>538</v>
      </c>
      <c r="F38" t="s">
        <v>1869</v>
      </c>
      <c r="G38" s="1">
        <v>9.2999999999999999E-2</v>
      </c>
      <c r="H38" s="17" t="s">
        <v>1755</v>
      </c>
      <c r="I38" s="17">
        <v>248</v>
      </c>
      <c r="J38" s="17"/>
      <c r="K38" t="s">
        <v>1867</v>
      </c>
      <c r="L38" s="17">
        <v>1</v>
      </c>
      <c r="M38" s="17" t="s">
        <v>4578</v>
      </c>
    </row>
    <row r="39" spans="2:13" x14ac:dyDescent="0.25">
      <c r="B39" s="25" t="s">
        <v>2003</v>
      </c>
      <c r="D39" t="s">
        <v>1886</v>
      </c>
      <c r="E39" t="s">
        <v>1887</v>
      </c>
      <c r="F39" t="s">
        <v>1888</v>
      </c>
      <c r="G39" s="1">
        <v>0.253</v>
      </c>
      <c r="H39" s="17" t="s">
        <v>1755</v>
      </c>
      <c r="I39" s="17">
        <v>259</v>
      </c>
      <c r="J39" s="17" t="s">
        <v>1889</v>
      </c>
      <c r="K39" t="s">
        <v>1852</v>
      </c>
      <c r="L39" s="17">
        <v>1</v>
      </c>
      <c r="M39" s="17" t="s">
        <v>4576</v>
      </c>
    </row>
    <row r="40" spans="2:13" x14ac:dyDescent="0.25">
      <c r="B40" s="25" t="s">
        <v>1994</v>
      </c>
      <c r="D40" t="s">
        <v>1947</v>
      </c>
      <c r="E40" t="s">
        <v>1939</v>
      </c>
      <c r="F40" t="s">
        <v>1940</v>
      </c>
      <c r="G40" s="1">
        <v>0.48599999999999999</v>
      </c>
      <c r="H40" s="17" t="s">
        <v>1654</v>
      </c>
      <c r="I40" s="17">
        <v>16</v>
      </c>
      <c r="J40" s="17"/>
      <c r="K40" t="s">
        <v>1942</v>
      </c>
      <c r="L40" s="17">
        <v>1</v>
      </c>
      <c r="M40" s="17" t="s">
        <v>4577</v>
      </c>
    </row>
    <row r="41" spans="2:13" x14ac:dyDescent="0.25">
      <c r="B41" s="25" t="s">
        <v>1995</v>
      </c>
      <c r="D41" t="s">
        <v>1882</v>
      </c>
      <c r="E41" t="s">
        <v>1880</v>
      </c>
      <c r="F41" t="s">
        <v>1881</v>
      </c>
      <c r="G41" s="1">
        <v>0.17499999999999999</v>
      </c>
      <c r="H41" s="17" t="s">
        <v>1783</v>
      </c>
      <c r="I41" s="17" t="s">
        <v>1873</v>
      </c>
      <c r="J41" s="17" t="s">
        <v>1829</v>
      </c>
      <c r="K41" t="s">
        <v>1875</v>
      </c>
      <c r="L41" s="17">
        <v>1</v>
      </c>
      <c r="M41" s="17" t="s">
        <v>4593</v>
      </c>
    </row>
    <row r="42" spans="2:13" x14ac:dyDescent="0.25">
      <c r="B42" s="25" t="s">
        <v>1995</v>
      </c>
      <c r="D42" t="s">
        <v>1882</v>
      </c>
      <c r="E42" t="s">
        <v>1881</v>
      </c>
      <c r="F42" t="s">
        <v>1884</v>
      </c>
      <c r="G42" s="1">
        <v>0.152</v>
      </c>
      <c r="H42" s="17" t="s">
        <v>1783</v>
      </c>
      <c r="I42" s="17" t="s">
        <v>1873</v>
      </c>
      <c r="J42" s="17"/>
      <c r="K42" t="s">
        <v>1875</v>
      </c>
      <c r="L42" s="17">
        <v>1</v>
      </c>
      <c r="M42" s="17" t="s">
        <v>4593</v>
      </c>
    </row>
    <row r="43" spans="2:13" x14ac:dyDescent="0.25">
      <c r="B43" s="25" t="s">
        <v>2008</v>
      </c>
      <c r="D43" t="s">
        <v>1821</v>
      </c>
      <c r="E43" t="s">
        <v>1955</v>
      </c>
      <c r="F43" t="s">
        <v>1822</v>
      </c>
      <c r="G43" s="1">
        <v>0.55800000000000005</v>
      </c>
      <c r="H43" s="17" t="s">
        <v>1755</v>
      </c>
      <c r="I43" s="17">
        <v>429</v>
      </c>
      <c r="J43" s="17"/>
      <c r="K43" t="s">
        <v>1823</v>
      </c>
      <c r="L43" s="17">
        <v>4</v>
      </c>
      <c r="M43" s="17" t="s">
        <v>4542</v>
      </c>
    </row>
    <row r="44" spans="2:13" x14ac:dyDescent="0.25">
      <c r="B44" s="25" t="s">
        <v>2004</v>
      </c>
      <c r="D44" t="s">
        <v>1862</v>
      </c>
      <c r="E44" t="s">
        <v>1860</v>
      </c>
      <c r="F44" t="s">
        <v>1864</v>
      </c>
      <c r="G44" s="1">
        <v>0.06</v>
      </c>
      <c r="H44" s="17" t="s">
        <v>1493</v>
      </c>
      <c r="I44" s="18" t="s">
        <v>1863</v>
      </c>
      <c r="J44" s="17"/>
      <c r="L44" s="17">
        <v>1</v>
      </c>
      <c r="M44" s="17" t="s">
        <v>4569</v>
      </c>
    </row>
    <row r="45" spans="2:13" x14ac:dyDescent="0.25">
      <c r="B45" s="25" t="s">
        <v>1996</v>
      </c>
      <c r="D45" t="s">
        <v>1919</v>
      </c>
      <c r="E45" t="s">
        <v>1916</v>
      </c>
      <c r="F45" t="s">
        <v>1920</v>
      </c>
      <c r="G45" s="1">
        <v>0.10199999999999999</v>
      </c>
      <c r="H45" s="17" t="s">
        <v>1783</v>
      </c>
      <c r="I45" s="17" t="s">
        <v>1416</v>
      </c>
      <c r="J45" s="17"/>
      <c r="L45" s="17">
        <v>1</v>
      </c>
      <c r="M45" s="17" t="s">
        <v>4593</v>
      </c>
    </row>
    <row r="46" spans="2:13" x14ac:dyDescent="0.25">
      <c r="B46" s="25" t="s">
        <v>1982</v>
      </c>
      <c r="D46" t="s">
        <v>1846</v>
      </c>
      <c r="E46" t="s">
        <v>1847</v>
      </c>
      <c r="F46" t="s">
        <v>13</v>
      </c>
      <c r="G46" s="1">
        <v>0.14899999999999999</v>
      </c>
      <c r="H46" s="17" t="s">
        <v>1493</v>
      </c>
      <c r="I46" s="18" t="s">
        <v>1848</v>
      </c>
      <c r="J46" s="17"/>
      <c r="L46" s="17">
        <v>1</v>
      </c>
      <c r="M46" s="17" t="s">
        <v>4581</v>
      </c>
    </row>
    <row r="47" spans="2:13" x14ac:dyDescent="0.25">
      <c r="B47" s="25" t="s">
        <v>1983</v>
      </c>
      <c r="D47" t="s">
        <v>1935</v>
      </c>
      <c r="E47" t="s">
        <v>1936</v>
      </c>
      <c r="F47" t="s">
        <v>1753</v>
      </c>
      <c r="G47" s="1">
        <v>1.2999999999999999E-2</v>
      </c>
      <c r="H47" s="17" t="s">
        <v>1755</v>
      </c>
      <c r="I47" s="17">
        <v>322</v>
      </c>
      <c r="J47" s="17" t="s">
        <v>1937</v>
      </c>
      <c r="K47" t="s">
        <v>1938</v>
      </c>
      <c r="L47" s="17">
        <v>1</v>
      </c>
      <c r="M47" s="17" t="s">
        <v>4583</v>
      </c>
    </row>
    <row r="48" spans="2:13" x14ac:dyDescent="0.25">
      <c r="B48" s="25" t="s">
        <v>1985</v>
      </c>
      <c r="D48" t="s">
        <v>1890</v>
      </c>
      <c r="E48" t="s">
        <v>1891</v>
      </c>
      <c r="F48" t="s">
        <v>1892</v>
      </c>
      <c r="G48" s="1">
        <v>0.40100000000000002</v>
      </c>
      <c r="H48" s="17" t="s">
        <v>1645</v>
      </c>
      <c r="I48" s="17">
        <v>6</v>
      </c>
      <c r="J48" s="17"/>
      <c r="K48" t="s">
        <v>1493</v>
      </c>
      <c r="L48" s="17">
        <v>1</v>
      </c>
      <c r="M48" s="17" t="s">
        <v>4584</v>
      </c>
    </row>
    <row r="49" spans="2:13" x14ac:dyDescent="0.25">
      <c r="B49" s="25" t="s">
        <v>1986</v>
      </c>
      <c r="D49" t="s">
        <v>1890</v>
      </c>
      <c r="E49" t="s">
        <v>1939</v>
      </c>
      <c r="F49" t="s">
        <v>1940</v>
      </c>
      <c r="G49" s="1">
        <v>8.5000000000000006E-2</v>
      </c>
      <c r="H49" s="17" t="s">
        <v>1654</v>
      </c>
      <c r="I49" s="17">
        <v>13</v>
      </c>
      <c r="J49" s="17" t="s">
        <v>1941</v>
      </c>
      <c r="K49" t="s">
        <v>1942</v>
      </c>
      <c r="L49" s="17">
        <v>1</v>
      </c>
      <c r="M49" s="17" t="s">
        <v>4577</v>
      </c>
    </row>
    <row r="50" spans="2:13" x14ac:dyDescent="0.25">
      <c r="B50" s="25" t="s">
        <v>1987</v>
      </c>
      <c r="D50" t="s">
        <v>1792</v>
      </c>
      <c r="E50" t="s">
        <v>1794</v>
      </c>
      <c r="F50" t="s">
        <v>1793</v>
      </c>
      <c r="G50" s="1">
        <v>0.106</v>
      </c>
      <c r="H50" s="17" t="s">
        <v>1791</v>
      </c>
      <c r="I50" s="17" t="s">
        <v>1795</v>
      </c>
      <c r="J50" s="17"/>
      <c r="K50" t="s">
        <v>1435</v>
      </c>
      <c r="L50" s="17">
        <v>2</v>
      </c>
      <c r="M50" s="17" t="s">
        <v>4582</v>
      </c>
    </row>
    <row r="51" spans="2:13" x14ac:dyDescent="0.25">
      <c r="B51" s="25" t="s">
        <v>1984</v>
      </c>
      <c r="D51" t="s">
        <v>1879</v>
      </c>
      <c r="E51" t="s">
        <v>1880</v>
      </c>
      <c r="F51" t="s">
        <v>1881</v>
      </c>
      <c r="G51" s="1">
        <v>0.14199999999999999</v>
      </c>
      <c r="H51" s="17" t="s">
        <v>1783</v>
      </c>
      <c r="I51" s="17" t="s">
        <v>1873</v>
      </c>
      <c r="J51" s="17" t="s">
        <v>1829</v>
      </c>
      <c r="K51" t="s">
        <v>1875</v>
      </c>
      <c r="L51" s="17">
        <v>1</v>
      </c>
      <c r="M51" s="17" t="s">
        <v>4593</v>
      </c>
    </row>
    <row r="52" spans="2:13" x14ac:dyDescent="0.25">
      <c r="B52" s="25" t="s">
        <v>1984</v>
      </c>
      <c r="D52" t="s">
        <v>1879</v>
      </c>
      <c r="E52" t="s">
        <v>1881</v>
      </c>
      <c r="F52" t="s">
        <v>1883</v>
      </c>
      <c r="G52" s="1">
        <v>0.17</v>
      </c>
      <c r="H52" s="17" t="s">
        <v>1783</v>
      </c>
      <c r="I52" s="17" t="s">
        <v>1873</v>
      </c>
      <c r="J52" s="17"/>
      <c r="K52" t="s">
        <v>1875</v>
      </c>
      <c r="L52" s="17">
        <v>1</v>
      </c>
      <c r="M52" s="17" t="s">
        <v>4593</v>
      </c>
    </row>
    <row r="53" spans="2:13" x14ac:dyDescent="0.25">
      <c r="B53" s="25" t="s">
        <v>2011</v>
      </c>
      <c r="D53" t="s">
        <v>1876</v>
      </c>
      <c r="E53" t="s">
        <v>1877</v>
      </c>
      <c r="F53" t="s">
        <v>1878</v>
      </c>
      <c r="G53" s="1">
        <v>0.223</v>
      </c>
      <c r="H53" s="17" t="s">
        <v>1783</v>
      </c>
      <c r="I53" s="17" t="s">
        <v>1873</v>
      </c>
      <c r="J53" s="17"/>
      <c r="K53" t="s">
        <v>1875</v>
      </c>
      <c r="L53" s="17">
        <v>1</v>
      </c>
      <c r="M53" s="17" t="s">
        <v>4593</v>
      </c>
    </row>
    <row r="54" spans="2:13" x14ac:dyDescent="0.25">
      <c r="B54" s="25" t="s">
        <v>2009</v>
      </c>
      <c r="D54" t="s">
        <v>1909</v>
      </c>
      <c r="E54" t="s">
        <v>1910</v>
      </c>
      <c r="F54" t="s">
        <v>1911</v>
      </c>
      <c r="G54" s="1">
        <v>0.115</v>
      </c>
      <c r="H54" s="17"/>
      <c r="I54" s="17"/>
      <c r="J54" s="17"/>
      <c r="K54" t="s">
        <v>1908</v>
      </c>
      <c r="L54" s="17">
        <v>1</v>
      </c>
      <c r="M54" s="17" t="s">
        <v>4566</v>
      </c>
    </row>
    <row r="55" spans="2:13" x14ac:dyDescent="0.25">
      <c r="B55" s="25" t="s">
        <v>1988</v>
      </c>
      <c r="D55" t="s">
        <v>1800</v>
      </c>
      <c r="E55" t="s">
        <v>1801</v>
      </c>
      <c r="F55" t="s">
        <v>1802</v>
      </c>
      <c r="G55" s="1">
        <v>0.16</v>
      </c>
      <c r="H55" s="17" t="s">
        <v>1803</v>
      </c>
      <c r="I55" s="18" t="s">
        <v>1804</v>
      </c>
      <c r="J55" s="17"/>
      <c r="L55" s="17">
        <v>2</v>
      </c>
      <c r="M55" s="17" t="s">
        <v>4588</v>
      </c>
    </row>
    <row r="56" spans="2:13" x14ac:dyDescent="0.25">
      <c r="B56" s="25" t="s">
        <v>1989</v>
      </c>
      <c r="D56" t="s">
        <v>1926</v>
      </c>
      <c r="E56" t="s">
        <v>1927</v>
      </c>
      <c r="F56" t="s">
        <v>1928</v>
      </c>
      <c r="G56" s="1">
        <v>0.38600000000000001</v>
      </c>
      <c r="H56" s="17" t="s">
        <v>1924</v>
      </c>
      <c r="I56" s="18" t="s">
        <v>1929</v>
      </c>
      <c r="J56" s="17"/>
      <c r="K56" t="s">
        <v>1305</v>
      </c>
      <c r="L56" s="17">
        <v>4</v>
      </c>
      <c r="M56" s="17" t="s">
        <v>4586</v>
      </c>
    </row>
    <row r="57" spans="2:13" x14ac:dyDescent="0.25">
      <c r="B57" s="25" t="s">
        <v>1990</v>
      </c>
      <c r="D57" t="s">
        <v>1951</v>
      </c>
      <c r="E57" t="s">
        <v>1952</v>
      </c>
      <c r="F57" t="s">
        <v>1953</v>
      </c>
      <c r="G57" s="1">
        <v>0.05</v>
      </c>
      <c r="H57" s="17" t="s">
        <v>1645</v>
      </c>
      <c r="I57" s="17">
        <v>21</v>
      </c>
      <c r="J57" s="17"/>
      <c r="K57" t="s">
        <v>1392</v>
      </c>
      <c r="L57" s="17">
        <v>1</v>
      </c>
      <c r="M57" s="17" t="s">
        <v>4587</v>
      </c>
    </row>
    <row r="58" spans="2:13" x14ac:dyDescent="0.25">
      <c r="B58" s="25" t="s">
        <v>2010</v>
      </c>
      <c r="D58" t="s">
        <v>1853</v>
      </c>
      <c r="E58" t="s">
        <v>768</v>
      </c>
      <c r="F58" t="s">
        <v>1855</v>
      </c>
      <c r="G58" s="1">
        <v>2.9000000000000001E-2</v>
      </c>
      <c r="H58" s="17" t="s">
        <v>1854</v>
      </c>
      <c r="I58" s="18" t="s">
        <v>1856</v>
      </c>
      <c r="J58" s="17"/>
      <c r="K58" t="s">
        <v>1857</v>
      </c>
      <c r="L58" s="17">
        <v>1</v>
      </c>
      <c r="M58" s="17" t="s">
        <v>4589</v>
      </c>
    </row>
    <row r="59" spans="2:13" x14ac:dyDescent="0.25">
      <c r="B59" s="25" t="s">
        <v>2010</v>
      </c>
      <c r="D59" t="s">
        <v>1858</v>
      </c>
      <c r="E59" t="s">
        <v>1855</v>
      </c>
      <c r="F59" t="s">
        <v>1859</v>
      </c>
      <c r="G59" s="1">
        <v>0.30099999999999999</v>
      </c>
      <c r="H59" s="17" t="s">
        <v>1854</v>
      </c>
      <c r="I59" s="18" t="s">
        <v>1856</v>
      </c>
      <c r="J59" s="17"/>
      <c r="K59" t="s">
        <v>1857</v>
      </c>
      <c r="L59" s="17">
        <v>1</v>
      </c>
      <c r="M59" s="17" t="s">
        <v>4589</v>
      </c>
    </row>
    <row r="60" spans="2:13" x14ac:dyDescent="0.25">
      <c r="B60" s="25" t="s">
        <v>1976</v>
      </c>
      <c r="D60" s="10" t="s">
        <v>1954</v>
      </c>
      <c r="E60" t="s">
        <v>1824</v>
      </c>
      <c r="F60" t="s">
        <v>1831</v>
      </c>
      <c r="G60" s="1">
        <v>2.1999999999999999E-2</v>
      </c>
      <c r="H60" s="17" t="s">
        <v>1827</v>
      </c>
      <c r="I60" s="18" t="s">
        <v>1828</v>
      </c>
      <c r="J60" s="17"/>
      <c r="K60" t="s">
        <v>1830</v>
      </c>
      <c r="L60" s="17">
        <v>4</v>
      </c>
      <c r="M60" s="17" t="s">
        <v>4558</v>
      </c>
    </row>
    <row r="61" spans="2:13" x14ac:dyDescent="0.25">
      <c r="B61" s="25" t="s">
        <v>2006</v>
      </c>
      <c r="D61" t="s">
        <v>1837</v>
      </c>
      <c r="E61" t="s">
        <v>1838</v>
      </c>
      <c r="F61" t="s">
        <v>2005</v>
      </c>
      <c r="G61" s="1">
        <v>1.6E-2</v>
      </c>
      <c r="H61" s="17"/>
      <c r="I61" s="17"/>
      <c r="J61" s="17"/>
      <c r="K61" t="s">
        <v>1839</v>
      </c>
      <c r="L61" s="17">
        <v>4</v>
      </c>
      <c r="M61" s="17" t="s">
        <v>4590</v>
      </c>
    </row>
    <row r="62" spans="2:13" x14ac:dyDescent="0.25">
      <c r="B62" s="25" t="s">
        <v>2007</v>
      </c>
      <c r="D62" t="s">
        <v>1771</v>
      </c>
      <c r="E62" t="s">
        <v>1770</v>
      </c>
      <c r="F62" t="s">
        <v>1768</v>
      </c>
      <c r="G62" s="1">
        <v>2.8000000000000001E-2</v>
      </c>
      <c r="H62" s="17"/>
      <c r="I62" s="17"/>
      <c r="J62" s="17"/>
      <c r="K62" t="s">
        <v>1764</v>
      </c>
      <c r="L62" s="17">
        <v>3</v>
      </c>
      <c r="M62" s="17" t="s">
        <v>4559</v>
      </c>
    </row>
    <row r="63" spans="2:13" x14ac:dyDescent="0.25">
      <c r="B63" s="25" t="s">
        <v>1991</v>
      </c>
      <c r="D63" t="s">
        <v>1904</v>
      </c>
      <c r="E63" t="s">
        <v>1898</v>
      </c>
      <c r="F63" t="s">
        <v>1905</v>
      </c>
      <c r="G63" s="1">
        <v>0.14000000000000001</v>
      </c>
      <c r="H63" s="17" t="s">
        <v>1783</v>
      </c>
      <c r="I63" s="17" t="s">
        <v>1901</v>
      </c>
      <c r="J63" s="17"/>
      <c r="L63" s="17">
        <v>1</v>
      </c>
      <c r="M63" s="17" t="s">
        <v>4566</v>
      </c>
    </row>
    <row r="64" spans="2:13" x14ac:dyDescent="0.25">
      <c r="B64" s="25" t="s">
        <v>1992</v>
      </c>
      <c r="D64" t="s">
        <v>1903</v>
      </c>
      <c r="E64" t="s">
        <v>1898</v>
      </c>
      <c r="F64" t="s">
        <v>1785</v>
      </c>
      <c r="G64" s="1">
        <v>0.11600000000000001</v>
      </c>
      <c r="H64" s="17" t="s">
        <v>1783</v>
      </c>
      <c r="I64" s="17" t="s">
        <v>1901</v>
      </c>
      <c r="J64" s="17"/>
      <c r="L64" s="17">
        <v>1</v>
      </c>
      <c r="M64" s="17" t="s">
        <v>4566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workbookViewId="0">
      <selection activeCell="D4" sqref="D4"/>
    </sheetView>
  </sheetViews>
  <sheetFormatPr defaultRowHeight="15" x14ac:dyDescent="0.25"/>
  <cols>
    <col min="1" max="1" width="16.140625" bestFit="1" customWidth="1"/>
    <col min="2" max="2" width="20.42578125" bestFit="1" customWidth="1"/>
    <col min="3" max="3" width="3.85546875" customWidth="1"/>
    <col min="4" max="4" width="10" bestFit="1" customWidth="1"/>
  </cols>
  <sheetData>
    <row r="3" spans="1:4" x14ac:dyDescent="0.25">
      <c r="A3" s="12" t="s">
        <v>1715</v>
      </c>
      <c r="B3" t="s">
        <v>4592</v>
      </c>
      <c r="D3" t="s">
        <v>4591</v>
      </c>
    </row>
    <row r="4" spans="1:4" x14ac:dyDescent="0.25">
      <c r="A4" s="13" t="s">
        <v>4567</v>
      </c>
      <c r="B4" s="2">
        <v>1</v>
      </c>
      <c r="C4" s="2"/>
      <c r="D4">
        <v>1</v>
      </c>
    </row>
    <row r="5" spans="1:4" x14ac:dyDescent="0.25">
      <c r="A5" s="13" t="s">
        <v>4568</v>
      </c>
      <c r="B5" s="2">
        <v>3</v>
      </c>
      <c r="C5" s="2"/>
      <c r="D5">
        <v>2</v>
      </c>
    </row>
    <row r="6" spans="1:4" x14ac:dyDescent="0.25">
      <c r="A6" s="13" t="s">
        <v>4557</v>
      </c>
      <c r="B6" s="2">
        <v>1</v>
      </c>
      <c r="C6" s="2"/>
      <c r="D6">
        <v>3</v>
      </c>
    </row>
    <row r="7" spans="1:4" x14ac:dyDescent="0.25">
      <c r="A7" s="13" t="s">
        <v>4542</v>
      </c>
      <c r="B7" s="2">
        <v>4</v>
      </c>
      <c r="C7" s="2"/>
      <c r="D7">
        <v>4</v>
      </c>
    </row>
    <row r="8" spans="1:4" x14ac:dyDescent="0.25">
      <c r="A8" s="13" t="s">
        <v>4564</v>
      </c>
      <c r="B8" s="2">
        <v>1</v>
      </c>
      <c r="C8" s="2"/>
      <c r="D8">
        <v>5</v>
      </c>
    </row>
    <row r="9" spans="1:4" x14ac:dyDescent="0.25">
      <c r="A9" s="13" t="s">
        <v>4572</v>
      </c>
      <c r="B9" s="2">
        <v>2</v>
      </c>
      <c r="C9" s="2"/>
      <c r="D9">
        <v>6</v>
      </c>
    </row>
    <row r="10" spans="1:4" x14ac:dyDescent="0.25">
      <c r="A10" s="13" t="s">
        <v>4569</v>
      </c>
      <c r="B10" s="2">
        <v>1</v>
      </c>
      <c r="C10" s="2"/>
      <c r="D10">
        <v>7</v>
      </c>
    </row>
    <row r="11" spans="1:4" x14ac:dyDescent="0.25">
      <c r="A11" s="13" t="s">
        <v>4583</v>
      </c>
      <c r="B11" s="2">
        <v>1</v>
      </c>
      <c r="C11" s="2"/>
      <c r="D11">
        <v>8</v>
      </c>
    </row>
    <row r="12" spans="1:4" x14ac:dyDescent="0.25">
      <c r="A12" s="13" t="s">
        <v>4566</v>
      </c>
      <c r="B12" s="2">
        <v>1</v>
      </c>
      <c r="C12" s="2"/>
      <c r="D12">
        <v>9</v>
      </c>
    </row>
    <row r="13" spans="1:4" x14ac:dyDescent="0.25">
      <c r="A13" s="13" t="s">
        <v>4562</v>
      </c>
      <c r="B13" s="2">
        <v>1</v>
      </c>
      <c r="C13" s="2"/>
      <c r="D13">
        <v>10</v>
      </c>
    </row>
    <row r="14" spans="1:4" x14ac:dyDescent="0.25">
      <c r="A14" s="13" t="s">
        <v>4585</v>
      </c>
      <c r="B14" s="2">
        <v>2</v>
      </c>
      <c r="C14" s="2"/>
      <c r="D14">
        <v>11</v>
      </c>
    </row>
    <row r="15" spans="1:4" x14ac:dyDescent="0.25">
      <c r="A15" s="13" t="s">
        <v>4573</v>
      </c>
      <c r="B15" s="2">
        <v>2</v>
      </c>
      <c r="C15" s="2"/>
      <c r="D15">
        <v>12</v>
      </c>
    </row>
    <row r="16" spans="1:4" x14ac:dyDescent="0.25">
      <c r="A16" s="13" t="s">
        <v>4565</v>
      </c>
      <c r="B16" s="2">
        <v>1</v>
      </c>
      <c r="C16" s="2"/>
      <c r="D16">
        <v>13</v>
      </c>
    </row>
    <row r="17" spans="1:4" x14ac:dyDescent="0.25">
      <c r="A17" s="13" t="s">
        <v>4578</v>
      </c>
      <c r="B17" s="2">
        <v>1</v>
      </c>
      <c r="C17" s="2"/>
      <c r="D17">
        <v>14</v>
      </c>
    </row>
    <row r="18" spans="1:4" x14ac:dyDescent="0.25">
      <c r="A18" s="13" t="s">
        <v>4558</v>
      </c>
      <c r="B18" s="2">
        <v>4</v>
      </c>
      <c r="C18" s="2"/>
      <c r="D18">
        <v>15</v>
      </c>
    </row>
    <row r="19" spans="1:4" x14ac:dyDescent="0.25">
      <c r="A19" s="13" t="s">
        <v>4577</v>
      </c>
      <c r="B19" s="2">
        <v>1</v>
      </c>
      <c r="C19" s="2"/>
      <c r="D19">
        <v>16</v>
      </c>
    </row>
    <row r="20" spans="1:4" x14ac:dyDescent="0.25">
      <c r="A20" s="13" t="s">
        <v>4563</v>
      </c>
      <c r="B20" s="2">
        <v>1</v>
      </c>
      <c r="C20" s="2"/>
      <c r="D20">
        <v>17</v>
      </c>
    </row>
    <row r="21" spans="1:4" x14ac:dyDescent="0.25">
      <c r="A21" s="13" t="s">
        <v>4571</v>
      </c>
      <c r="B21" s="2">
        <v>1</v>
      </c>
      <c r="C21" s="2"/>
      <c r="D21">
        <v>18</v>
      </c>
    </row>
    <row r="22" spans="1:4" x14ac:dyDescent="0.25">
      <c r="A22" s="13" t="s">
        <v>4587</v>
      </c>
      <c r="B22" s="2">
        <v>1</v>
      </c>
      <c r="C22" s="2"/>
      <c r="D22">
        <v>19</v>
      </c>
    </row>
    <row r="23" spans="1:4" x14ac:dyDescent="0.25">
      <c r="A23" s="13" t="s">
        <v>4579</v>
      </c>
      <c r="B23" s="2">
        <v>4</v>
      </c>
      <c r="C23" s="2"/>
      <c r="D23">
        <v>20</v>
      </c>
    </row>
    <row r="24" spans="1:4" x14ac:dyDescent="0.25">
      <c r="A24" s="13" t="s">
        <v>4584</v>
      </c>
      <c r="B24" s="2">
        <v>1</v>
      </c>
      <c r="C24" s="2"/>
      <c r="D24">
        <v>21</v>
      </c>
    </row>
    <row r="25" spans="1:4" x14ac:dyDescent="0.25">
      <c r="A25" s="13" t="s">
        <v>4560</v>
      </c>
      <c r="B25" s="2">
        <v>2</v>
      </c>
      <c r="C25" s="2"/>
      <c r="D25">
        <v>22</v>
      </c>
    </row>
    <row r="26" spans="1:4" x14ac:dyDescent="0.25">
      <c r="A26" s="13" t="s">
        <v>4576</v>
      </c>
      <c r="B26" s="2">
        <v>1</v>
      </c>
      <c r="C26" s="2"/>
      <c r="D26">
        <v>23</v>
      </c>
    </row>
    <row r="27" spans="1:4" x14ac:dyDescent="0.25">
      <c r="A27" s="13" t="s">
        <v>4561</v>
      </c>
      <c r="B27" s="2">
        <v>3</v>
      </c>
      <c r="C27" s="2"/>
      <c r="D27">
        <v>24</v>
      </c>
    </row>
    <row r="28" spans="1:4" x14ac:dyDescent="0.25">
      <c r="A28" s="13" t="s">
        <v>4574</v>
      </c>
      <c r="B28" s="2">
        <v>3</v>
      </c>
      <c r="C28" s="2"/>
      <c r="D28">
        <v>25</v>
      </c>
    </row>
    <row r="29" spans="1:4" x14ac:dyDescent="0.25">
      <c r="A29" s="13" t="s">
        <v>4581</v>
      </c>
      <c r="B29" s="2">
        <v>1</v>
      </c>
      <c r="C29" s="2"/>
      <c r="D29">
        <v>26</v>
      </c>
    </row>
    <row r="30" spans="1:4" x14ac:dyDescent="0.25">
      <c r="A30" s="13" t="s">
        <v>4588</v>
      </c>
      <c r="B30" s="2">
        <v>2</v>
      </c>
      <c r="C30" s="2"/>
      <c r="D30">
        <v>27</v>
      </c>
    </row>
    <row r="31" spans="1:4" x14ac:dyDescent="0.25">
      <c r="A31" s="13" t="s">
        <v>4590</v>
      </c>
      <c r="B31" s="2">
        <v>4</v>
      </c>
      <c r="C31" s="2"/>
      <c r="D31">
        <v>28</v>
      </c>
    </row>
    <row r="32" spans="1:4" x14ac:dyDescent="0.25">
      <c r="A32" s="13" t="s">
        <v>4559</v>
      </c>
      <c r="B32" s="2">
        <v>3</v>
      </c>
      <c r="C32" s="2"/>
      <c r="D32">
        <v>29</v>
      </c>
    </row>
    <row r="33" spans="1:4" x14ac:dyDescent="0.25">
      <c r="A33" s="13" t="s">
        <v>4582</v>
      </c>
      <c r="B33" s="2">
        <v>2</v>
      </c>
      <c r="C33" s="2"/>
      <c r="D33">
        <v>30</v>
      </c>
    </row>
    <row r="34" spans="1:4" x14ac:dyDescent="0.25">
      <c r="A34" s="13" t="s">
        <v>4575</v>
      </c>
      <c r="B34" s="2">
        <v>3</v>
      </c>
      <c r="C34" s="2"/>
      <c r="D34">
        <v>31</v>
      </c>
    </row>
    <row r="35" spans="1:4" x14ac:dyDescent="0.25">
      <c r="A35" s="13" t="s">
        <v>4593</v>
      </c>
      <c r="B35" s="2">
        <v>1</v>
      </c>
      <c r="C35" s="2"/>
      <c r="D35">
        <v>32</v>
      </c>
    </row>
    <row r="36" spans="1:4" x14ac:dyDescent="0.25">
      <c r="A36" s="13" t="s">
        <v>4589</v>
      </c>
      <c r="B36" s="2">
        <v>1</v>
      </c>
      <c r="C36" s="2"/>
      <c r="D36">
        <v>33</v>
      </c>
    </row>
    <row r="37" spans="1:4" x14ac:dyDescent="0.25">
      <c r="A37" s="13" t="s">
        <v>4586</v>
      </c>
      <c r="B37" s="2">
        <v>4</v>
      </c>
      <c r="C37" s="2"/>
      <c r="D37">
        <v>34</v>
      </c>
    </row>
    <row r="38" spans="1:4" x14ac:dyDescent="0.25">
      <c r="A38" s="13" t="s">
        <v>4570</v>
      </c>
      <c r="B38" s="2">
        <v>2</v>
      </c>
      <c r="C38" s="2"/>
      <c r="D38">
        <v>35</v>
      </c>
    </row>
    <row r="39" spans="1:4" x14ac:dyDescent="0.25">
      <c r="A39" s="13" t="s">
        <v>4580</v>
      </c>
      <c r="B39" s="2">
        <v>4</v>
      </c>
      <c r="C39" s="2"/>
      <c r="D39">
        <v>36</v>
      </c>
    </row>
    <row r="40" spans="1:4" x14ac:dyDescent="0.25">
      <c r="A40" s="13" t="s">
        <v>1716</v>
      </c>
      <c r="B40" s="2">
        <v>1.8095238095238095</v>
      </c>
      <c r="C4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4"/>
  <sheetViews>
    <sheetView workbookViewId="0">
      <pane xSplit="2" ySplit="3" topLeftCell="C152" activePane="bottomRight" state="frozen"/>
      <selection pane="topRight" activeCell="C1" sqref="C1"/>
      <selection pane="bottomLeft" activeCell="A4" sqref="A4"/>
      <selection pane="bottomRight" activeCell="H165" sqref="H165"/>
    </sheetView>
  </sheetViews>
  <sheetFormatPr defaultRowHeight="15" x14ac:dyDescent="0.25"/>
  <cols>
    <col min="1" max="1" width="12.5703125" bestFit="1" customWidth="1"/>
    <col min="2" max="2" width="13.85546875" bestFit="1" customWidth="1"/>
    <col min="3" max="3" width="6" bestFit="1" customWidth="1"/>
    <col min="4" max="4" width="11.5703125" bestFit="1" customWidth="1"/>
    <col min="7" max="7" width="15.42578125" bestFit="1" customWidth="1"/>
    <col min="8" max="8" width="28.42578125" customWidth="1"/>
    <col min="12" max="12" width="9.5703125" bestFit="1" customWidth="1"/>
  </cols>
  <sheetData>
    <row r="3" spans="1:12" x14ac:dyDescent="0.25">
      <c r="A3" s="12" t="s">
        <v>1715</v>
      </c>
      <c r="B3" t="s">
        <v>1717</v>
      </c>
      <c r="C3" s="21" t="s">
        <v>1</v>
      </c>
      <c r="D3" s="21" t="s">
        <v>2022</v>
      </c>
      <c r="E3" s="21" t="s">
        <v>2013</v>
      </c>
      <c r="F3" s="21" t="s">
        <v>2014</v>
      </c>
      <c r="G3" s="21" t="s">
        <v>2015</v>
      </c>
      <c r="H3" s="21" t="s">
        <v>2016</v>
      </c>
      <c r="I3" s="21" t="s">
        <v>2017</v>
      </c>
      <c r="J3" s="21" t="s">
        <v>2018</v>
      </c>
      <c r="K3" s="21" t="s">
        <v>2019</v>
      </c>
      <c r="L3" s="21" t="s">
        <v>2020</v>
      </c>
    </row>
    <row r="4" spans="1:12" x14ac:dyDescent="0.25">
      <c r="A4" s="13" t="s">
        <v>9</v>
      </c>
      <c r="B4" s="2">
        <v>1</v>
      </c>
      <c r="C4" s="2" t="s">
        <v>9</v>
      </c>
      <c r="D4" s="2">
        <v>1</v>
      </c>
      <c r="E4" s="17"/>
      <c r="F4" s="17"/>
      <c r="H4" s="4"/>
      <c r="I4">
        <f>D4+G4</f>
        <v>1</v>
      </c>
      <c r="J4">
        <f>IF(E4="Y",1,15)</f>
        <v>15</v>
      </c>
      <c r="K4">
        <f>IF(F4="Y",99,85)</f>
        <v>85</v>
      </c>
      <c r="L4" s="23">
        <f>ROUND((K4-J4)/MAX(1,I4-1),1)</f>
        <v>70</v>
      </c>
    </row>
    <row r="5" spans="1:12" x14ac:dyDescent="0.25">
      <c r="A5" s="13" t="s">
        <v>12</v>
      </c>
      <c r="B5" s="2">
        <v>5</v>
      </c>
      <c r="C5" s="2" t="s">
        <v>12</v>
      </c>
      <c r="D5" s="2">
        <v>5</v>
      </c>
      <c r="E5" s="17"/>
      <c r="F5" s="17"/>
      <c r="H5" s="4"/>
      <c r="I5">
        <f t="shared" ref="I5:I68" si="0">D5+G5</f>
        <v>5</v>
      </c>
      <c r="J5">
        <f t="shared" ref="J5:J68" si="1">IF(E5="Y",1,15)</f>
        <v>15</v>
      </c>
      <c r="K5">
        <f t="shared" ref="K5:K68" si="2">IF(F5="Y",99,85)</f>
        <v>85</v>
      </c>
      <c r="L5" s="23">
        <f t="shared" ref="L5:L68" si="3">ROUND((K5-J5)/MAX(1,I5-1),1)</f>
        <v>17.5</v>
      </c>
    </row>
    <row r="6" spans="1:12" x14ac:dyDescent="0.25">
      <c r="A6" s="13" t="s">
        <v>18</v>
      </c>
      <c r="B6" s="2">
        <v>1</v>
      </c>
      <c r="C6" s="2" t="s">
        <v>18</v>
      </c>
      <c r="D6" s="2">
        <v>1</v>
      </c>
      <c r="E6" s="17"/>
      <c r="F6" s="17"/>
      <c r="H6" s="4"/>
      <c r="I6">
        <f t="shared" si="0"/>
        <v>1</v>
      </c>
      <c r="J6">
        <f t="shared" si="1"/>
        <v>15</v>
      </c>
      <c r="K6">
        <f t="shared" si="2"/>
        <v>85</v>
      </c>
      <c r="L6" s="23">
        <f t="shared" si="3"/>
        <v>70</v>
      </c>
    </row>
    <row r="7" spans="1:12" x14ac:dyDescent="0.25">
      <c r="A7" s="13" t="s">
        <v>23</v>
      </c>
      <c r="B7" s="2">
        <v>1</v>
      </c>
      <c r="C7" s="2" t="s">
        <v>23</v>
      </c>
      <c r="D7" s="2">
        <v>1</v>
      </c>
      <c r="E7" s="17"/>
      <c r="F7" s="17"/>
      <c r="H7" s="4"/>
      <c r="I7">
        <f t="shared" si="0"/>
        <v>1</v>
      </c>
      <c r="J7">
        <f t="shared" si="1"/>
        <v>15</v>
      </c>
      <c r="K7">
        <f t="shared" si="2"/>
        <v>85</v>
      </c>
      <c r="L7" s="23">
        <f t="shared" si="3"/>
        <v>70</v>
      </c>
    </row>
    <row r="8" spans="1:12" x14ac:dyDescent="0.25">
      <c r="A8" s="13" t="s">
        <v>26</v>
      </c>
      <c r="B8" s="2">
        <v>1</v>
      </c>
      <c r="C8" s="2" t="s">
        <v>26</v>
      </c>
      <c r="D8" s="2">
        <v>1</v>
      </c>
      <c r="E8" s="17"/>
      <c r="F8" s="17" t="s">
        <v>2021</v>
      </c>
      <c r="H8" s="4"/>
      <c r="I8">
        <f t="shared" si="0"/>
        <v>1</v>
      </c>
      <c r="J8">
        <f t="shared" si="1"/>
        <v>15</v>
      </c>
      <c r="K8">
        <f t="shared" si="2"/>
        <v>99</v>
      </c>
      <c r="L8" s="23">
        <f t="shared" si="3"/>
        <v>84</v>
      </c>
    </row>
    <row r="9" spans="1:12" x14ac:dyDescent="0.25">
      <c r="A9" s="13" t="s">
        <v>29</v>
      </c>
      <c r="B9" s="2">
        <v>3</v>
      </c>
      <c r="C9" s="2" t="s">
        <v>29</v>
      </c>
      <c r="D9" s="2">
        <v>3</v>
      </c>
      <c r="E9" s="17"/>
      <c r="F9" s="17"/>
      <c r="H9" s="4"/>
      <c r="I9">
        <f t="shared" si="0"/>
        <v>3</v>
      </c>
      <c r="J9">
        <f t="shared" si="1"/>
        <v>15</v>
      </c>
      <c r="K9">
        <f t="shared" si="2"/>
        <v>85</v>
      </c>
      <c r="L9" s="23">
        <f t="shared" si="3"/>
        <v>35</v>
      </c>
    </row>
    <row r="10" spans="1:12" x14ac:dyDescent="0.25">
      <c r="A10" s="13" t="s">
        <v>38</v>
      </c>
      <c r="B10" s="2">
        <v>1</v>
      </c>
      <c r="C10" s="2" t="s">
        <v>38</v>
      </c>
      <c r="D10" s="2">
        <v>1</v>
      </c>
      <c r="E10" s="17"/>
      <c r="F10" s="17"/>
      <c r="H10" s="4"/>
      <c r="I10">
        <f t="shared" si="0"/>
        <v>1</v>
      </c>
      <c r="J10">
        <f t="shared" si="1"/>
        <v>15</v>
      </c>
      <c r="K10">
        <f t="shared" si="2"/>
        <v>85</v>
      </c>
      <c r="L10" s="23">
        <f t="shared" si="3"/>
        <v>70</v>
      </c>
    </row>
    <row r="11" spans="1:12" x14ac:dyDescent="0.25">
      <c r="A11" s="13" t="s">
        <v>41</v>
      </c>
      <c r="B11" s="2">
        <v>1</v>
      </c>
      <c r="C11" s="2" t="s">
        <v>41</v>
      </c>
      <c r="D11" s="2">
        <v>1</v>
      </c>
      <c r="E11" s="17"/>
      <c r="F11" s="17"/>
      <c r="H11" s="4"/>
      <c r="I11">
        <f t="shared" si="0"/>
        <v>1</v>
      </c>
      <c r="J11">
        <f t="shared" si="1"/>
        <v>15</v>
      </c>
      <c r="K11">
        <f t="shared" si="2"/>
        <v>85</v>
      </c>
      <c r="L11" s="23">
        <f t="shared" si="3"/>
        <v>70</v>
      </c>
    </row>
    <row r="12" spans="1:12" x14ac:dyDescent="0.25">
      <c r="A12" s="13" t="s">
        <v>45</v>
      </c>
      <c r="B12" s="2">
        <v>3</v>
      </c>
      <c r="C12" s="2" t="s">
        <v>45</v>
      </c>
      <c r="D12" s="2">
        <v>3</v>
      </c>
      <c r="E12" s="17"/>
      <c r="F12" s="17"/>
      <c r="H12" s="4"/>
      <c r="I12">
        <f t="shared" si="0"/>
        <v>3</v>
      </c>
      <c r="J12">
        <f t="shared" si="1"/>
        <v>15</v>
      </c>
      <c r="K12">
        <f t="shared" si="2"/>
        <v>85</v>
      </c>
      <c r="L12" s="23">
        <f t="shared" si="3"/>
        <v>35</v>
      </c>
    </row>
    <row r="13" spans="1:12" ht="30" x14ac:dyDescent="0.25">
      <c r="A13" s="13" t="s">
        <v>50</v>
      </c>
      <c r="B13" s="2">
        <v>6</v>
      </c>
      <c r="C13" s="2" t="s">
        <v>50</v>
      </c>
      <c r="D13" s="2">
        <v>6</v>
      </c>
      <c r="E13" s="17"/>
      <c r="F13" s="17"/>
      <c r="G13">
        <v>3</v>
      </c>
      <c r="H13" s="4" t="s">
        <v>4442</v>
      </c>
      <c r="I13">
        <f t="shared" si="0"/>
        <v>9</v>
      </c>
      <c r="J13">
        <f t="shared" si="1"/>
        <v>15</v>
      </c>
      <c r="K13">
        <f t="shared" si="2"/>
        <v>85</v>
      </c>
      <c r="L13" s="23">
        <f t="shared" si="3"/>
        <v>8.8000000000000007</v>
      </c>
    </row>
    <row r="14" spans="1:12" x14ac:dyDescent="0.25">
      <c r="A14" s="13" t="s">
        <v>61</v>
      </c>
      <c r="B14" s="2">
        <v>1</v>
      </c>
      <c r="C14" s="2" t="s">
        <v>61</v>
      </c>
      <c r="D14" s="2">
        <v>1</v>
      </c>
      <c r="E14" s="17"/>
      <c r="F14" s="17"/>
      <c r="H14" s="4"/>
      <c r="I14">
        <f t="shared" si="0"/>
        <v>1</v>
      </c>
      <c r="J14">
        <f t="shared" si="1"/>
        <v>15</v>
      </c>
      <c r="K14">
        <f t="shared" si="2"/>
        <v>85</v>
      </c>
      <c r="L14" s="23">
        <f t="shared" si="3"/>
        <v>70</v>
      </c>
    </row>
    <row r="15" spans="1:12" x14ac:dyDescent="0.25">
      <c r="A15" s="13" t="s">
        <v>65</v>
      </c>
      <c r="B15" s="2">
        <v>11</v>
      </c>
      <c r="C15" s="2" t="s">
        <v>65</v>
      </c>
      <c r="D15" s="2">
        <v>11</v>
      </c>
      <c r="E15" s="17"/>
      <c r="F15" s="17"/>
      <c r="H15" s="4"/>
      <c r="I15">
        <f t="shared" si="0"/>
        <v>11</v>
      </c>
      <c r="J15">
        <f t="shared" si="1"/>
        <v>15</v>
      </c>
      <c r="K15">
        <f t="shared" si="2"/>
        <v>85</v>
      </c>
      <c r="L15" s="23">
        <f t="shared" si="3"/>
        <v>7</v>
      </c>
    </row>
    <row r="16" spans="1:12" x14ac:dyDescent="0.25">
      <c r="A16" s="13" t="s">
        <v>81</v>
      </c>
      <c r="B16" s="2">
        <v>5</v>
      </c>
      <c r="C16" s="2" t="s">
        <v>81</v>
      </c>
      <c r="D16" s="2">
        <v>5</v>
      </c>
      <c r="E16" s="17"/>
      <c r="F16" s="17"/>
      <c r="H16" s="4"/>
      <c r="I16">
        <f t="shared" si="0"/>
        <v>5</v>
      </c>
      <c r="J16">
        <f t="shared" si="1"/>
        <v>15</v>
      </c>
      <c r="K16">
        <f t="shared" si="2"/>
        <v>85</v>
      </c>
      <c r="L16" s="23">
        <f t="shared" si="3"/>
        <v>17.5</v>
      </c>
    </row>
    <row r="17" spans="1:12" x14ac:dyDescent="0.25">
      <c r="A17" s="13" t="s">
        <v>89</v>
      </c>
      <c r="B17" s="2">
        <v>3</v>
      </c>
      <c r="C17" s="2" t="s">
        <v>89</v>
      </c>
      <c r="D17" s="2">
        <v>3</v>
      </c>
      <c r="E17" s="17"/>
      <c r="F17" s="17"/>
      <c r="H17" s="4"/>
      <c r="I17">
        <f t="shared" si="0"/>
        <v>3</v>
      </c>
      <c r="J17">
        <f t="shared" si="1"/>
        <v>15</v>
      </c>
      <c r="K17">
        <f t="shared" si="2"/>
        <v>85</v>
      </c>
      <c r="L17" s="23">
        <f t="shared" si="3"/>
        <v>35</v>
      </c>
    </row>
    <row r="18" spans="1:12" x14ac:dyDescent="0.25">
      <c r="A18" s="13" t="s">
        <v>93</v>
      </c>
      <c r="B18" s="2">
        <v>9</v>
      </c>
      <c r="C18" s="2" t="s">
        <v>93</v>
      </c>
      <c r="D18" s="2">
        <v>9</v>
      </c>
      <c r="E18" s="17"/>
      <c r="F18" s="17" t="s">
        <v>2021</v>
      </c>
      <c r="H18" s="4"/>
      <c r="I18">
        <f t="shared" si="0"/>
        <v>9</v>
      </c>
      <c r="J18">
        <f t="shared" si="1"/>
        <v>15</v>
      </c>
      <c r="K18">
        <f t="shared" si="2"/>
        <v>99</v>
      </c>
      <c r="L18" s="23">
        <f t="shared" si="3"/>
        <v>10.5</v>
      </c>
    </row>
    <row r="19" spans="1:12" x14ac:dyDescent="0.25">
      <c r="A19" s="13" t="s">
        <v>105</v>
      </c>
      <c r="B19" s="2">
        <v>1</v>
      </c>
      <c r="C19" s="2" t="s">
        <v>105</v>
      </c>
      <c r="D19" s="2">
        <v>1</v>
      </c>
      <c r="E19" s="17"/>
      <c r="F19" s="17"/>
      <c r="H19" s="4"/>
      <c r="I19">
        <f t="shared" si="0"/>
        <v>1</v>
      </c>
      <c r="J19">
        <f t="shared" si="1"/>
        <v>15</v>
      </c>
      <c r="K19">
        <f t="shared" si="2"/>
        <v>85</v>
      </c>
      <c r="L19" s="23">
        <f t="shared" si="3"/>
        <v>70</v>
      </c>
    </row>
    <row r="20" spans="1:12" x14ac:dyDescent="0.25">
      <c r="A20" s="13" t="s">
        <v>108</v>
      </c>
      <c r="B20" s="2">
        <v>1</v>
      </c>
      <c r="C20" s="2" t="s">
        <v>108</v>
      </c>
      <c r="D20" s="2">
        <v>1</v>
      </c>
      <c r="E20" s="17"/>
      <c r="F20" s="17"/>
      <c r="H20" s="4"/>
      <c r="I20">
        <f t="shared" si="0"/>
        <v>1</v>
      </c>
      <c r="J20">
        <f t="shared" si="1"/>
        <v>15</v>
      </c>
      <c r="K20">
        <f t="shared" si="2"/>
        <v>85</v>
      </c>
      <c r="L20" s="23">
        <f t="shared" si="3"/>
        <v>70</v>
      </c>
    </row>
    <row r="21" spans="1:12" x14ac:dyDescent="0.25">
      <c r="A21" s="13" t="s">
        <v>107</v>
      </c>
      <c r="B21" s="2">
        <v>4</v>
      </c>
      <c r="C21" s="2" t="s">
        <v>107</v>
      </c>
      <c r="D21" s="2">
        <v>4</v>
      </c>
      <c r="E21" s="17"/>
      <c r="F21" s="17"/>
      <c r="H21" s="4"/>
      <c r="I21">
        <f t="shared" si="0"/>
        <v>4</v>
      </c>
      <c r="J21">
        <f t="shared" si="1"/>
        <v>15</v>
      </c>
      <c r="K21">
        <f t="shared" si="2"/>
        <v>85</v>
      </c>
      <c r="L21" s="23">
        <f t="shared" si="3"/>
        <v>23.3</v>
      </c>
    </row>
    <row r="22" spans="1:12" x14ac:dyDescent="0.25">
      <c r="A22" s="13" t="s">
        <v>119</v>
      </c>
      <c r="B22" s="2">
        <v>1</v>
      </c>
      <c r="C22" s="2" t="s">
        <v>119</v>
      </c>
      <c r="D22" s="2">
        <v>1</v>
      </c>
      <c r="E22" s="17"/>
      <c r="F22" s="17"/>
      <c r="H22" s="4"/>
      <c r="I22">
        <f t="shared" si="0"/>
        <v>1</v>
      </c>
      <c r="J22">
        <f t="shared" si="1"/>
        <v>15</v>
      </c>
      <c r="K22">
        <f t="shared" si="2"/>
        <v>85</v>
      </c>
      <c r="L22" s="23">
        <f t="shared" si="3"/>
        <v>70</v>
      </c>
    </row>
    <row r="23" spans="1:12" x14ac:dyDescent="0.25">
      <c r="A23" s="13" t="s">
        <v>122</v>
      </c>
      <c r="B23" s="2">
        <v>3</v>
      </c>
      <c r="C23" s="2" t="s">
        <v>122</v>
      </c>
      <c r="D23" s="2">
        <v>3</v>
      </c>
      <c r="E23" s="17"/>
      <c r="F23" s="17"/>
      <c r="H23" s="4"/>
      <c r="I23">
        <f t="shared" si="0"/>
        <v>3</v>
      </c>
      <c r="J23">
        <f t="shared" si="1"/>
        <v>15</v>
      </c>
      <c r="K23">
        <f t="shared" si="2"/>
        <v>85</v>
      </c>
      <c r="L23" s="23">
        <f t="shared" si="3"/>
        <v>35</v>
      </c>
    </row>
    <row r="24" spans="1:12" x14ac:dyDescent="0.25">
      <c r="A24" s="13" t="s">
        <v>126</v>
      </c>
      <c r="B24" s="2">
        <v>4</v>
      </c>
      <c r="C24" s="2" t="s">
        <v>126</v>
      </c>
      <c r="D24" s="2">
        <v>4</v>
      </c>
      <c r="E24" s="17"/>
      <c r="F24" s="17"/>
      <c r="H24" s="4"/>
      <c r="I24">
        <f t="shared" si="0"/>
        <v>4</v>
      </c>
      <c r="J24">
        <f t="shared" si="1"/>
        <v>15</v>
      </c>
      <c r="K24">
        <f t="shared" si="2"/>
        <v>85</v>
      </c>
      <c r="L24" s="23">
        <f t="shared" si="3"/>
        <v>23.3</v>
      </c>
    </row>
    <row r="25" spans="1:12" x14ac:dyDescent="0.25">
      <c r="A25" s="13" t="s">
        <v>136</v>
      </c>
      <c r="B25" s="2">
        <v>1</v>
      </c>
      <c r="C25" s="2" t="s">
        <v>136</v>
      </c>
      <c r="D25" s="2">
        <v>1</v>
      </c>
      <c r="E25" s="17"/>
      <c r="F25" s="17"/>
      <c r="G25">
        <v>1</v>
      </c>
      <c r="H25" s="4" t="s">
        <v>4443</v>
      </c>
      <c r="I25">
        <f t="shared" si="0"/>
        <v>2</v>
      </c>
      <c r="J25">
        <f t="shared" si="1"/>
        <v>15</v>
      </c>
      <c r="K25">
        <f t="shared" si="2"/>
        <v>85</v>
      </c>
      <c r="L25" s="23">
        <f t="shared" si="3"/>
        <v>70</v>
      </c>
    </row>
    <row r="26" spans="1:12" x14ac:dyDescent="0.25">
      <c r="A26" s="13" t="s">
        <v>139</v>
      </c>
      <c r="B26" s="2">
        <v>3</v>
      </c>
      <c r="C26" s="2" t="s">
        <v>139</v>
      </c>
      <c r="D26" s="2">
        <v>3</v>
      </c>
      <c r="E26" s="17"/>
      <c r="F26" s="17"/>
      <c r="H26" s="4"/>
      <c r="I26">
        <f t="shared" si="0"/>
        <v>3</v>
      </c>
      <c r="J26">
        <f t="shared" si="1"/>
        <v>15</v>
      </c>
      <c r="K26">
        <f t="shared" si="2"/>
        <v>85</v>
      </c>
      <c r="L26" s="23">
        <f t="shared" si="3"/>
        <v>35</v>
      </c>
    </row>
    <row r="27" spans="1:12" x14ac:dyDescent="0.25">
      <c r="A27" s="13" t="s">
        <v>143</v>
      </c>
      <c r="B27" s="2">
        <v>2</v>
      </c>
      <c r="C27" s="2" t="s">
        <v>143</v>
      </c>
      <c r="D27" s="2">
        <v>2</v>
      </c>
      <c r="E27" s="17"/>
      <c r="F27" s="17"/>
      <c r="G27">
        <v>2</v>
      </c>
      <c r="H27" s="4" t="s">
        <v>4444</v>
      </c>
      <c r="I27">
        <f t="shared" si="0"/>
        <v>4</v>
      </c>
      <c r="J27">
        <f t="shared" si="1"/>
        <v>15</v>
      </c>
      <c r="K27">
        <f t="shared" si="2"/>
        <v>85</v>
      </c>
      <c r="L27" s="23">
        <f t="shared" si="3"/>
        <v>23.3</v>
      </c>
    </row>
    <row r="28" spans="1:12" x14ac:dyDescent="0.25">
      <c r="A28" s="13" t="s">
        <v>146</v>
      </c>
      <c r="B28" s="2">
        <v>1</v>
      </c>
      <c r="C28" s="2" t="s">
        <v>146</v>
      </c>
      <c r="D28" s="2">
        <v>1</v>
      </c>
      <c r="E28" s="17"/>
      <c r="F28" s="17"/>
      <c r="H28" s="4"/>
      <c r="I28">
        <f t="shared" si="0"/>
        <v>1</v>
      </c>
      <c r="J28">
        <f t="shared" si="1"/>
        <v>15</v>
      </c>
      <c r="K28">
        <f t="shared" si="2"/>
        <v>85</v>
      </c>
      <c r="L28" s="23">
        <f t="shared" si="3"/>
        <v>70</v>
      </c>
    </row>
    <row r="29" spans="1:12" x14ac:dyDescent="0.25">
      <c r="A29" s="13" t="s">
        <v>149</v>
      </c>
      <c r="B29" s="2">
        <v>4</v>
      </c>
      <c r="C29" s="2" t="s">
        <v>149</v>
      </c>
      <c r="D29" s="2">
        <v>4</v>
      </c>
      <c r="E29" s="17"/>
      <c r="F29" s="17"/>
      <c r="H29" s="4"/>
      <c r="I29">
        <f t="shared" si="0"/>
        <v>4</v>
      </c>
      <c r="J29">
        <f t="shared" si="1"/>
        <v>15</v>
      </c>
      <c r="K29">
        <f t="shared" si="2"/>
        <v>85</v>
      </c>
      <c r="L29" s="23">
        <f t="shared" si="3"/>
        <v>23.3</v>
      </c>
    </row>
    <row r="30" spans="1:12" x14ac:dyDescent="0.25">
      <c r="A30" s="13" t="s">
        <v>156</v>
      </c>
      <c r="B30" s="2">
        <v>1</v>
      </c>
      <c r="C30" s="2" t="s">
        <v>156</v>
      </c>
      <c r="D30" s="2">
        <v>1</v>
      </c>
      <c r="E30" s="17"/>
      <c r="F30" s="17"/>
      <c r="H30" s="4"/>
      <c r="I30">
        <f t="shared" si="0"/>
        <v>1</v>
      </c>
      <c r="J30">
        <f t="shared" si="1"/>
        <v>15</v>
      </c>
      <c r="K30">
        <f t="shared" si="2"/>
        <v>85</v>
      </c>
      <c r="L30" s="23">
        <f t="shared" si="3"/>
        <v>70</v>
      </c>
    </row>
    <row r="31" spans="1:12" x14ac:dyDescent="0.25">
      <c r="A31" s="13" t="s">
        <v>160</v>
      </c>
      <c r="B31" s="2">
        <v>1</v>
      </c>
      <c r="C31" s="2" t="s">
        <v>160</v>
      </c>
      <c r="D31" s="2">
        <v>1</v>
      </c>
      <c r="E31" s="17"/>
      <c r="F31" s="17"/>
      <c r="H31" s="4"/>
      <c r="I31">
        <f t="shared" si="0"/>
        <v>1</v>
      </c>
      <c r="J31">
        <f t="shared" si="1"/>
        <v>15</v>
      </c>
      <c r="K31">
        <f t="shared" si="2"/>
        <v>85</v>
      </c>
      <c r="L31" s="23">
        <f t="shared" si="3"/>
        <v>70</v>
      </c>
    </row>
    <row r="32" spans="1:12" x14ac:dyDescent="0.25">
      <c r="A32" s="13" t="s">
        <v>163</v>
      </c>
      <c r="B32" s="2">
        <v>1</v>
      </c>
      <c r="C32" s="2" t="s">
        <v>163</v>
      </c>
      <c r="D32" s="2">
        <v>1</v>
      </c>
      <c r="E32" s="17"/>
      <c r="F32" s="17"/>
      <c r="H32" s="4"/>
      <c r="I32">
        <f t="shared" si="0"/>
        <v>1</v>
      </c>
      <c r="J32">
        <f t="shared" si="1"/>
        <v>15</v>
      </c>
      <c r="K32">
        <f t="shared" si="2"/>
        <v>85</v>
      </c>
      <c r="L32" s="23">
        <f t="shared" si="3"/>
        <v>70</v>
      </c>
    </row>
    <row r="33" spans="1:12" x14ac:dyDescent="0.25">
      <c r="A33" s="13" t="s">
        <v>167</v>
      </c>
      <c r="B33" s="2">
        <v>1</v>
      </c>
      <c r="C33" s="2" t="s">
        <v>167</v>
      </c>
      <c r="D33" s="2">
        <v>1</v>
      </c>
      <c r="E33" s="17"/>
      <c r="F33" s="17"/>
      <c r="H33" s="4"/>
      <c r="I33">
        <f t="shared" si="0"/>
        <v>1</v>
      </c>
      <c r="J33">
        <f t="shared" si="1"/>
        <v>15</v>
      </c>
      <c r="K33">
        <f t="shared" si="2"/>
        <v>85</v>
      </c>
      <c r="L33" s="23">
        <f t="shared" si="3"/>
        <v>70</v>
      </c>
    </row>
    <row r="34" spans="1:12" x14ac:dyDescent="0.25">
      <c r="A34" s="13" t="s">
        <v>170</v>
      </c>
      <c r="B34" s="2">
        <v>3</v>
      </c>
      <c r="C34" s="2" t="s">
        <v>170</v>
      </c>
      <c r="D34" s="2">
        <v>3</v>
      </c>
      <c r="E34" s="17"/>
      <c r="F34" s="17"/>
      <c r="H34" s="4"/>
      <c r="I34">
        <f t="shared" si="0"/>
        <v>3</v>
      </c>
      <c r="J34">
        <f t="shared" si="1"/>
        <v>15</v>
      </c>
      <c r="K34">
        <f t="shared" si="2"/>
        <v>85</v>
      </c>
      <c r="L34" s="23">
        <f t="shared" si="3"/>
        <v>35</v>
      </c>
    </row>
    <row r="35" spans="1:12" x14ac:dyDescent="0.25">
      <c r="A35" s="13" t="s">
        <v>176</v>
      </c>
      <c r="B35" s="2">
        <v>1</v>
      </c>
      <c r="C35" s="2" t="s">
        <v>176</v>
      </c>
      <c r="D35" s="2">
        <v>1</v>
      </c>
      <c r="E35" s="17"/>
      <c r="F35" s="17" t="s">
        <v>2021</v>
      </c>
      <c r="H35" s="4"/>
      <c r="I35">
        <f t="shared" si="0"/>
        <v>1</v>
      </c>
      <c r="J35">
        <f t="shared" si="1"/>
        <v>15</v>
      </c>
      <c r="K35">
        <f t="shared" si="2"/>
        <v>99</v>
      </c>
      <c r="L35" s="23">
        <f t="shared" si="3"/>
        <v>84</v>
      </c>
    </row>
    <row r="36" spans="1:12" x14ac:dyDescent="0.25">
      <c r="A36" s="13" t="s">
        <v>178</v>
      </c>
      <c r="B36" s="2">
        <v>1</v>
      </c>
      <c r="C36" s="2" t="s">
        <v>178</v>
      </c>
      <c r="D36" s="2">
        <v>1</v>
      </c>
      <c r="E36" s="17"/>
      <c r="F36" s="17"/>
      <c r="H36" s="4"/>
      <c r="I36">
        <f t="shared" si="0"/>
        <v>1</v>
      </c>
      <c r="J36">
        <f t="shared" si="1"/>
        <v>15</v>
      </c>
      <c r="K36">
        <f t="shared" si="2"/>
        <v>85</v>
      </c>
      <c r="L36" s="23">
        <f t="shared" si="3"/>
        <v>70</v>
      </c>
    </row>
    <row r="37" spans="1:12" x14ac:dyDescent="0.25">
      <c r="A37" s="13" t="s">
        <v>182</v>
      </c>
      <c r="B37" s="2">
        <v>4</v>
      </c>
      <c r="C37" s="2" t="s">
        <v>182</v>
      </c>
      <c r="D37" s="2">
        <v>4</v>
      </c>
      <c r="E37" s="17"/>
      <c r="F37" s="17"/>
      <c r="H37" s="4"/>
      <c r="I37">
        <f t="shared" si="0"/>
        <v>4</v>
      </c>
      <c r="J37">
        <f t="shared" si="1"/>
        <v>15</v>
      </c>
      <c r="K37">
        <f t="shared" si="2"/>
        <v>85</v>
      </c>
      <c r="L37" s="23">
        <f t="shared" si="3"/>
        <v>23.3</v>
      </c>
    </row>
    <row r="38" spans="1:12" x14ac:dyDescent="0.25">
      <c r="A38" s="13" t="s">
        <v>191</v>
      </c>
      <c r="B38" s="2">
        <v>2</v>
      </c>
      <c r="C38" s="2" t="s">
        <v>191</v>
      </c>
      <c r="D38" s="2">
        <v>2</v>
      </c>
      <c r="E38" s="17"/>
      <c r="F38" s="17" t="s">
        <v>2021</v>
      </c>
      <c r="H38" s="4"/>
      <c r="I38">
        <f t="shared" si="0"/>
        <v>2</v>
      </c>
      <c r="J38">
        <f t="shared" si="1"/>
        <v>15</v>
      </c>
      <c r="K38">
        <f t="shared" si="2"/>
        <v>99</v>
      </c>
      <c r="L38" s="23">
        <f t="shared" si="3"/>
        <v>84</v>
      </c>
    </row>
    <row r="39" spans="1:12" x14ac:dyDescent="0.25">
      <c r="A39" s="13" t="s">
        <v>194</v>
      </c>
      <c r="B39" s="2">
        <v>1</v>
      </c>
      <c r="C39" s="2" t="s">
        <v>194</v>
      </c>
      <c r="D39" s="2">
        <v>1</v>
      </c>
      <c r="E39" s="17"/>
      <c r="F39" s="17"/>
      <c r="H39" s="4"/>
      <c r="I39">
        <f t="shared" si="0"/>
        <v>1</v>
      </c>
      <c r="J39">
        <f t="shared" si="1"/>
        <v>15</v>
      </c>
      <c r="K39">
        <f t="shared" si="2"/>
        <v>85</v>
      </c>
      <c r="L39" s="23">
        <f t="shared" si="3"/>
        <v>70</v>
      </c>
    </row>
    <row r="40" spans="1:12" x14ac:dyDescent="0.25">
      <c r="A40" s="13" t="s">
        <v>198</v>
      </c>
      <c r="B40" s="2">
        <v>1</v>
      </c>
      <c r="C40" s="2" t="s">
        <v>198</v>
      </c>
      <c r="D40" s="2">
        <v>1</v>
      </c>
      <c r="E40" s="17"/>
      <c r="F40" s="17"/>
      <c r="H40" s="4"/>
      <c r="I40">
        <f t="shared" si="0"/>
        <v>1</v>
      </c>
      <c r="J40">
        <f t="shared" si="1"/>
        <v>15</v>
      </c>
      <c r="K40">
        <f t="shared" si="2"/>
        <v>85</v>
      </c>
      <c r="L40" s="23">
        <f t="shared" si="3"/>
        <v>70</v>
      </c>
    </row>
    <row r="41" spans="1:12" x14ac:dyDescent="0.25">
      <c r="A41" s="13" t="s">
        <v>202</v>
      </c>
      <c r="B41" s="2">
        <v>1</v>
      </c>
      <c r="C41" s="2" t="s">
        <v>202</v>
      </c>
      <c r="D41" s="2">
        <v>1</v>
      </c>
      <c r="E41" s="17"/>
      <c r="F41" s="17"/>
      <c r="H41" s="4"/>
      <c r="I41">
        <f t="shared" si="0"/>
        <v>1</v>
      </c>
      <c r="J41">
        <f t="shared" si="1"/>
        <v>15</v>
      </c>
      <c r="K41">
        <f t="shared" si="2"/>
        <v>85</v>
      </c>
      <c r="L41" s="23">
        <f t="shared" si="3"/>
        <v>70</v>
      </c>
    </row>
    <row r="42" spans="1:12" x14ac:dyDescent="0.25">
      <c r="A42" s="13" t="s">
        <v>206</v>
      </c>
      <c r="B42" s="2">
        <v>9</v>
      </c>
      <c r="C42" s="2" t="s">
        <v>206</v>
      </c>
      <c r="D42" s="2">
        <v>9</v>
      </c>
      <c r="E42" s="17"/>
      <c r="F42" s="17"/>
      <c r="H42" s="4"/>
      <c r="I42">
        <f t="shared" si="0"/>
        <v>9</v>
      </c>
      <c r="J42">
        <f t="shared" si="1"/>
        <v>15</v>
      </c>
      <c r="K42">
        <f t="shared" si="2"/>
        <v>85</v>
      </c>
      <c r="L42" s="23">
        <f t="shared" si="3"/>
        <v>8.8000000000000007</v>
      </c>
    </row>
    <row r="43" spans="1:12" x14ac:dyDescent="0.25">
      <c r="A43" s="13" t="s">
        <v>216</v>
      </c>
      <c r="B43" s="2">
        <v>2</v>
      </c>
      <c r="C43" s="2" t="s">
        <v>216</v>
      </c>
      <c r="D43" s="2">
        <v>2</v>
      </c>
      <c r="E43" s="17"/>
      <c r="F43" s="17"/>
      <c r="H43" s="4"/>
      <c r="I43">
        <f t="shared" si="0"/>
        <v>2</v>
      </c>
      <c r="J43">
        <f t="shared" si="1"/>
        <v>15</v>
      </c>
      <c r="K43">
        <f t="shared" si="2"/>
        <v>85</v>
      </c>
      <c r="L43" s="23">
        <f t="shared" si="3"/>
        <v>70</v>
      </c>
    </row>
    <row r="44" spans="1:12" x14ac:dyDescent="0.25">
      <c r="A44" s="13" t="s">
        <v>220</v>
      </c>
      <c r="B44" s="2">
        <v>2</v>
      </c>
      <c r="C44" s="2" t="s">
        <v>220</v>
      </c>
      <c r="D44" s="2">
        <v>2</v>
      </c>
      <c r="E44" s="17"/>
      <c r="F44" s="17"/>
      <c r="H44" s="4"/>
      <c r="I44">
        <f t="shared" si="0"/>
        <v>2</v>
      </c>
      <c r="J44">
        <f t="shared" si="1"/>
        <v>15</v>
      </c>
      <c r="K44">
        <f t="shared" si="2"/>
        <v>85</v>
      </c>
      <c r="L44" s="23">
        <f t="shared" si="3"/>
        <v>70</v>
      </c>
    </row>
    <row r="45" spans="1:12" x14ac:dyDescent="0.25">
      <c r="A45" s="13" t="s">
        <v>225</v>
      </c>
      <c r="B45" s="2">
        <v>2</v>
      </c>
      <c r="C45" s="2" t="s">
        <v>225</v>
      </c>
      <c r="D45" s="2">
        <v>2</v>
      </c>
      <c r="E45" s="17"/>
      <c r="F45" s="17"/>
      <c r="H45" s="4"/>
      <c r="I45">
        <f t="shared" si="0"/>
        <v>2</v>
      </c>
      <c r="J45">
        <f t="shared" si="1"/>
        <v>15</v>
      </c>
      <c r="K45">
        <f t="shared" si="2"/>
        <v>85</v>
      </c>
      <c r="L45" s="23">
        <f t="shared" si="3"/>
        <v>70</v>
      </c>
    </row>
    <row r="46" spans="1:12" x14ac:dyDescent="0.25">
      <c r="A46" s="13" t="s">
        <v>230</v>
      </c>
      <c r="B46" s="2">
        <v>1</v>
      </c>
      <c r="C46" s="2" t="s">
        <v>230</v>
      </c>
      <c r="D46" s="2">
        <v>1</v>
      </c>
      <c r="E46" s="17" t="s">
        <v>2021</v>
      </c>
      <c r="F46" s="17"/>
      <c r="H46" s="4"/>
      <c r="I46">
        <f t="shared" si="0"/>
        <v>1</v>
      </c>
      <c r="J46">
        <f t="shared" si="1"/>
        <v>1</v>
      </c>
      <c r="K46">
        <f t="shared" si="2"/>
        <v>85</v>
      </c>
      <c r="L46" s="23">
        <f t="shared" si="3"/>
        <v>84</v>
      </c>
    </row>
    <row r="47" spans="1:12" x14ac:dyDescent="0.25">
      <c r="A47" s="13" t="s">
        <v>234</v>
      </c>
      <c r="B47" s="2">
        <v>2</v>
      </c>
      <c r="C47" s="2" t="s">
        <v>234</v>
      </c>
      <c r="D47" s="2">
        <v>2</v>
      </c>
      <c r="E47" s="17"/>
      <c r="F47" s="17"/>
      <c r="H47" s="4"/>
      <c r="I47">
        <f t="shared" si="0"/>
        <v>2</v>
      </c>
      <c r="J47">
        <f t="shared" si="1"/>
        <v>15</v>
      </c>
      <c r="K47">
        <f t="shared" si="2"/>
        <v>85</v>
      </c>
      <c r="L47" s="23">
        <f t="shared" si="3"/>
        <v>70</v>
      </c>
    </row>
    <row r="48" spans="1:12" x14ac:dyDescent="0.25">
      <c r="A48" s="13" t="s">
        <v>238</v>
      </c>
      <c r="B48" s="2">
        <v>1</v>
      </c>
      <c r="C48" s="2" t="s">
        <v>238</v>
      </c>
      <c r="D48" s="2">
        <v>1</v>
      </c>
      <c r="E48" s="17"/>
      <c r="F48" s="22"/>
      <c r="G48">
        <v>1</v>
      </c>
      <c r="H48" s="4" t="s">
        <v>2027</v>
      </c>
      <c r="I48">
        <f t="shared" si="0"/>
        <v>2</v>
      </c>
      <c r="J48">
        <f t="shared" si="1"/>
        <v>15</v>
      </c>
      <c r="K48" s="19">
        <v>90</v>
      </c>
      <c r="L48" s="23">
        <f t="shared" si="3"/>
        <v>75</v>
      </c>
    </row>
    <row r="49" spans="1:13" x14ac:dyDescent="0.25">
      <c r="A49" s="13" t="s">
        <v>240</v>
      </c>
      <c r="B49" s="2">
        <v>1</v>
      </c>
      <c r="C49" s="2" t="s">
        <v>240</v>
      </c>
      <c r="D49" s="2">
        <v>1</v>
      </c>
      <c r="E49" s="22"/>
      <c r="F49" s="17"/>
      <c r="G49">
        <v>1</v>
      </c>
      <c r="H49" s="4" t="s">
        <v>2026</v>
      </c>
      <c r="I49">
        <f t="shared" si="0"/>
        <v>2</v>
      </c>
      <c r="J49" s="19">
        <v>10</v>
      </c>
      <c r="K49">
        <f t="shared" si="2"/>
        <v>85</v>
      </c>
      <c r="L49" s="23">
        <f t="shared" si="3"/>
        <v>75</v>
      </c>
    </row>
    <row r="50" spans="1:13" x14ac:dyDescent="0.25">
      <c r="A50" s="13" t="s">
        <v>244</v>
      </c>
      <c r="B50" s="2">
        <v>2</v>
      </c>
      <c r="C50" s="2" t="s">
        <v>244</v>
      </c>
      <c r="D50" s="2">
        <v>2</v>
      </c>
      <c r="E50" s="17"/>
      <c r="F50" s="17"/>
      <c r="H50" s="4"/>
      <c r="I50">
        <f t="shared" si="0"/>
        <v>2</v>
      </c>
      <c r="J50">
        <f t="shared" si="1"/>
        <v>15</v>
      </c>
      <c r="K50">
        <f t="shared" si="2"/>
        <v>85</v>
      </c>
      <c r="L50" s="23">
        <f t="shared" si="3"/>
        <v>70</v>
      </c>
    </row>
    <row r="51" spans="1:13" x14ac:dyDescent="0.25">
      <c r="A51" s="13" t="s">
        <v>248</v>
      </c>
      <c r="B51" s="2">
        <v>1</v>
      </c>
      <c r="C51" s="2" t="s">
        <v>248</v>
      </c>
      <c r="D51" s="2">
        <v>1</v>
      </c>
      <c r="E51" s="17"/>
      <c r="F51" s="17" t="s">
        <v>2021</v>
      </c>
      <c r="H51" s="4"/>
      <c r="I51">
        <f t="shared" si="0"/>
        <v>1</v>
      </c>
      <c r="J51">
        <f t="shared" si="1"/>
        <v>15</v>
      </c>
      <c r="K51">
        <f t="shared" si="2"/>
        <v>99</v>
      </c>
      <c r="L51" s="23">
        <f t="shared" si="3"/>
        <v>84</v>
      </c>
    </row>
    <row r="52" spans="1:13" x14ac:dyDescent="0.25">
      <c r="A52" s="13" t="s">
        <v>252</v>
      </c>
      <c r="B52" s="2">
        <v>13</v>
      </c>
      <c r="C52" s="2" t="s">
        <v>252</v>
      </c>
      <c r="D52" s="2">
        <v>13</v>
      </c>
      <c r="E52" s="17"/>
      <c r="F52" s="17"/>
      <c r="H52" s="4"/>
      <c r="I52">
        <f t="shared" si="0"/>
        <v>13</v>
      </c>
      <c r="J52">
        <f t="shared" si="1"/>
        <v>15</v>
      </c>
      <c r="K52">
        <f t="shared" si="2"/>
        <v>85</v>
      </c>
      <c r="L52" s="23">
        <f t="shared" si="3"/>
        <v>5.8</v>
      </c>
    </row>
    <row r="53" spans="1:13" x14ac:dyDescent="0.25">
      <c r="A53" s="13" t="s">
        <v>273</v>
      </c>
      <c r="B53" s="2">
        <v>3</v>
      </c>
      <c r="C53" s="2" t="s">
        <v>273</v>
      </c>
      <c r="D53" s="2">
        <v>3</v>
      </c>
      <c r="E53" s="17"/>
      <c r="F53" s="22"/>
      <c r="H53" s="4"/>
      <c r="I53">
        <f t="shared" si="0"/>
        <v>3</v>
      </c>
      <c r="J53">
        <f t="shared" si="1"/>
        <v>15</v>
      </c>
      <c r="K53" s="19">
        <v>95</v>
      </c>
      <c r="L53" s="23">
        <f t="shared" si="3"/>
        <v>40</v>
      </c>
    </row>
    <row r="54" spans="1:13" x14ac:dyDescent="0.25">
      <c r="A54" s="13" t="s">
        <v>280</v>
      </c>
      <c r="B54" s="2">
        <v>1</v>
      </c>
      <c r="C54" s="2" t="s">
        <v>280</v>
      </c>
      <c r="D54" s="2">
        <v>1</v>
      </c>
      <c r="E54" s="22"/>
      <c r="F54" s="17"/>
      <c r="G54">
        <v>1</v>
      </c>
      <c r="H54" s="4" t="s">
        <v>4542</v>
      </c>
      <c r="I54">
        <f t="shared" si="0"/>
        <v>2</v>
      </c>
      <c r="J54" s="19">
        <v>5</v>
      </c>
      <c r="K54">
        <f t="shared" si="2"/>
        <v>85</v>
      </c>
      <c r="L54" s="23">
        <f t="shared" si="3"/>
        <v>80</v>
      </c>
    </row>
    <row r="55" spans="1:13" x14ac:dyDescent="0.25">
      <c r="A55" s="13" t="s">
        <v>282</v>
      </c>
      <c r="B55" s="2">
        <v>2</v>
      </c>
      <c r="C55" s="2" t="s">
        <v>282</v>
      </c>
      <c r="D55" s="2">
        <v>2</v>
      </c>
      <c r="E55" s="17"/>
      <c r="F55" s="17"/>
      <c r="H55" s="4"/>
      <c r="I55">
        <f t="shared" si="0"/>
        <v>2</v>
      </c>
      <c r="J55">
        <f t="shared" si="1"/>
        <v>15</v>
      </c>
      <c r="K55">
        <f t="shared" si="2"/>
        <v>85</v>
      </c>
      <c r="L55" s="23">
        <f t="shared" si="3"/>
        <v>70</v>
      </c>
    </row>
    <row r="56" spans="1:13" x14ac:dyDescent="0.25">
      <c r="A56" s="13" t="s">
        <v>286</v>
      </c>
      <c r="B56" s="2">
        <v>1</v>
      </c>
      <c r="C56" s="2" t="s">
        <v>286</v>
      </c>
      <c r="D56" s="2">
        <v>1</v>
      </c>
      <c r="E56" s="17"/>
      <c r="F56" s="17"/>
      <c r="G56">
        <v>3</v>
      </c>
      <c r="H56" s="4" t="s">
        <v>4446</v>
      </c>
      <c r="I56">
        <f t="shared" si="0"/>
        <v>4</v>
      </c>
      <c r="J56">
        <f t="shared" si="1"/>
        <v>15</v>
      </c>
      <c r="K56">
        <f t="shared" si="2"/>
        <v>85</v>
      </c>
      <c r="L56" s="23">
        <f t="shared" si="3"/>
        <v>23.3</v>
      </c>
    </row>
    <row r="57" spans="1:13" x14ac:dyDescent="0.25">
      <c r="A57" s="13" t="s">
        <v>289</v>
      </c>
      <c r="B57" s="2">
        <v>1</v>
      </c>
      <c r="C57" s="2" t="s">
        <v>289</v>
      </c>
      <c r="D57" s="2">
        <v>1</v>
      </c>
      <c r="E57" s="17"/>
      <c r="F57" s="17"/>
      <c r="H57" s="4"/>
      <c r="I57">
        <f t="shared" si="0"/>
        <v>1</v>
      </c>
      <c r="J57">
        <f t="shared" si="1"/>
        <v>15</v>
      </c>
      <c r="K57">
        <f t="shared" si="2"/>
        <v>85</v>
      </c>
      <c r="L57" s="23">
        <f t="shared" si="3"/>
        <v>70</v>
      </c>
    </row>
    <row r="58" spans="1:13" x14ac:dyDescent="0.25">
      <c r="A58" s="13" t="s">
        <v>292</v>
      </c>
      <c r="B58" s="2">
        <v>6</v>
      </c>
      <c r="C58" s="2" t="s">
        <v>292</v>
      </c>
      <c r="D58" s="2">
        <v>6</v>
      </c>
      <c r="E58" s="17"/>
      <c r="F58" s="17"/>
      <c r="H58" s="4"/>
      <c r="I58">
        <f t="shared" si="0"/>
        <v>6</v>
      </c>
      <c r="J58">
        <f t="shared" si="1"/>
        <v>15</v>
      </c>
      <c r="K58">
        <f t="shared" si="2"/>
        <v>85</v>
      </c>
      <c r="L58" s="23">
        <f t="shared" si="3"/>
        <v>14</v>
      </c>
    </row>
    <row r="59" spans="1:13" x14ac:dyDescent="0.25">
      <c r="A59" s="13" t="s">
        <v>304</v>
      </c>
      <c r="B59" s="2">
        <v>2</v>
      </c>
      <c r="C59" s="2" t="s">
        <v>304</v>
      </c>
      <c r="D59" s="2">
        <v>2</v>
      </c>
      <c r="E59" s="17"/>
      <c r="F59" s="17"/>
      <c r="H59" s="4"/>
      <c r="I59">
        <f t="shared" si="0"/>
        <v>2</v>
      </c>
      <c r="J59">
        <f t="shared" si="1"/>
        <v>15</v>
      </c>
      <c r="K59">
        <f t="shared" si="2"/>
        <v>85</v>
      </c>
      <c r="L59" s="23">
        <f t="shared" si="3"/>
        <v>70</v>
      </c>
    </row>
    <row r="60" spans="1:13" x14ac:dyDescent="0.25">
      <c r="A60" s="13" t="s">
        <v>307</v>
      </c>
      <c r="B60" s="2">
        <v>1</v>
      </c>
      <c r="C60" s="2" t="s">
        <v>307</v>
      </c>
      <c r="D60" s="2">
        <v>1</v>
      </c>
      <c r="E60" s="17"/>
      <c r="F60" s="17"/>
      <c r="H60" s="4"/>
      <c r="I60">
        <f t="shared" si="0"/>
        <v>1</v>
      </c>
      <c r="J60">
        <f t="shared" si="1"/>
        <v>15</v>
      </c>
      <c r="K60">
        <f t="shared" si="2"/>
        <v>85</v>
      </c>
      <c r="L60" s="23">
        <f t="shared" si="3"/>
        <v>70</v>
      </c>
    </row>
    <row r="61" spans="1:13" ht="75" x14ac:dyDescent="0.25">
      <c r="A61" s="30" t="s">
        <v>310</v>
      </c>
      <c r="B61" s="26">
        <v>48</v>
      </c>
      <c r="C61" s="26" t="s">
        <v>310</v>
      </c>
      <c r="D61" s="26">
        <v>48</v>
      </c>
      <c r="E61" s="24" t="s">
        <v>2021</v>
      </c>
      <c r="F61" s="24" t="s">
        <v>2021</v>
      </c>
      <c r="G61" s="20">
        <v>8</v>
      </c>
      <c r="H61" s="29" t="s">
        <v>2032</v>
      </c>
      <c r="I61" s="20">
        <f t="shared" si="0"/>
        <v>56</v>
      </c>
      <c r="J61" s="20">
        <f t="shared" si="1"/>
        <v>1</v>
      </c>
      <c r="K61" s="20">
        <f t="shared" si="2"/>
        <v>99</v>
      </c>
      <c r="L61" s="31">
        <f>ROUND((K61-J61)/MAX(1,I61-1),2)</f>
        <v>1.78</v>
      </c>
      <c r="M61">
        <f>J61+MAX(1,I61-1)*L61</f>
        <v>98.9</v>
      </c>
    </row>
    <row r="62" spans="1:13" x14ac:dyDescent="0.25">
      <c r="A62" s="13" t="s">
        <v>375</v>
      </c>
      <c r="B62" s="2">
        <v>1</v>
      </c>
      <c r="C62" s="2" t="s">
        <v>375</v>
      </c>
      <c r="D62" s="2">
        <v>1</v>
      </c>
      <c r="E62" s="17"/>
      <c r="F62" s="17"/>
      <c r="H62" s="4"/>
      <c r="I62">
        <f t="shared" si="0"/>
        <v>1</v>
      </c>
      <c r="J62">
        <f t="shared" si="1"/>
        <v>15</v>
      </c>
      <c r="K62">
        <f t="shared" si="2"/>
        <v>85</v>
      </c>
      <c r="L62" s="23">
        <f t="shared" si="3"/>
        <v>70</v>
      </c>
    </row>
    <row r="63" spans="1:13" x14ac:dyDescent="0.25">
      <c r="A63" s="13" t="s">
        <v>377</v>
      </c>
      <c r="B63" s="2">
        <v>4</v>
      </c>
      <c r="C63" s="2" t="s">
        <v>377</v>
      </c>
      <c r="D63" s="2">
        <v>4</v>
      </c>
      <c r="E63" s="17"/>
      <c r="F63" s="17"/>
      <c r="H63" s="4"/>
      <c r="I63">
        <f t="shared" si="0"/>
        <v>4</v>
      </c>
      <c r="J63">
        <f t="shared" si="1"/>
        <v>15</v>
      </c>
      <c r="K63">
        <f t="shared" si="2"/>
        <v>85</v>
      </c>
      <c r="L63" s="23">
        <f t="shared" si="3"/>
        <v>23.3</v>
      </c>
    </row>
    <row r="64" spans="1:13" x14ac:dyDescent="0.25">
      <c r="A64" s="13" t="s">
        <v>384</v>
      </c>
      <c r="B64" s="2">
        <v>2</v>
      </c>
      <c r="C64" s="2" t="s">
        <v>384</v>
      </c>
      <c r="D64" s="2">
        <v>2</v>
      </c>
      <c r="E64" s="17"/>
      <c r="F64" s="17"/>
      <c r="H64" s="4"/>
      <c r="I64">
        <f t="shared" si="0"/>
        <v>2</v>
      </c>
      <c r="J64">
        <f t="shared" si="1"/>
        <v>15</v>
      </c>
      <c r="K64">
        <f t="shared" si="2"/>
        <v>85</v>
      </c>
      <c r="L64" s="23">
        <f t="shared" si="3"/>
        <v>70</v>
      </c>
    </row>
    <row r="65" spans="1:12" x14ac:dyDescent="0.25">
      <c r="A65" s="13" t="s">
        <v>385</v>
      </c>
      <c r="B65" s="2">
        <v>4</v>
      </c>
      <c r="C65" s="2" t="s">
        <v>385</v>
      </c>
      <c r="D65" s="2">
        <v>4</v>
      </c>
      <c r="E65" s="17"/>
      <c r="F65" s="17"/>
      <c r="G65">
        <v>1</v>
      </c>
      <c r="H65" s="4" t="s">
        <v>2033</v>
      </c>
      <c r="I65">
        <f t="shared" si="0"/>
        <v>5</v>
      </c>
      <c r="J65">
        <f t="shared" si="1"/>
        <v>15</v>
      </c>
      <c r="K65">
        <f t="shared" si="2"/>
        <v>85</v>
      </c>
      <c r="L65" s="23">
        <f t="shared" si="3"/>
        <v>17.5</v>
      </c>
    </row>
    <row r="66" spans="1:12" x14ac:dyDescent="0.25">
      <c r="A66" s="13" t="s">
        <v>394</v>
      </c>
      <c r="B66" s="2">
        <v>14</v>
      </c>
      <c r="C66" s="2" t="s">
        <v>394</v>
      </c>
      <c r="D66" s="2">
        <v>14</v>
      </c>
      <c r="E66" s="17"/>
      <c r="F66" s="17"/>
      <c r="H66" s="4"/>
      <c r="I66">
        <f t="shared" si="0"/>
        <v>14</v>
      </c>
      <c r="J66">
        <f t="shared" si="1"/>
        <v>15</v>
      </c>
      <c r="K66">
        <f t="shared" si="2"/>
        <v>85</v>
      </c>
      <c r="L66" s="23">
        <f t="shared" si="3"/>
        <v>5.4</v>
      </c>
    </row>
    <row r="67" spans="1:12" x14ac:dyDescent="0.25">
      <c r="A67" s="13" t="s">
        <v>413</v>
      </c>
      <c r="B67" s="2">
        <v>9</v>
      </c>
      <c r="C67" s="2" t="s">
        <v>413</v>
      </c>
      <c r="D67" s="2">
        <v>9</v>
      </c>
      <c r="E67" s="17"/>
      <c r="F67" s="17" t="s">
        <v>2021</v>
      </c>
      <c r="H67" s="4"/>
      <c r="I67">
        <f t="shared" si="0"/>
        <v>9</v>
      </c>
      <c r="J67">
        <f t="shared" si="1"/>
        <v>15</v>
      </c>
      <c r="K67">
        <f t="shared" si="2"/>
        <v>99</v>
      </c>
      <c r="L67" s="23">
        <f t="shared" si="3"/>
        <v>10.5</v>
      </c>
    </row>
    <row r="68" spans="1:12" x14ac:dyDescent="0.25">
      <c r="A68" s="13" t="s">
        <v>428</v>
      </c>
      <c r="B68" s="2">
        <v>1</v>
      </c>
      <c r="C68" s="2" t="s">
        <v>428</v>
      </c>
      <c r="D68" s="2">
        <v>1</v>
      </c>
      <c r="E68" s="17"/>
      <c r="F68" s="17"/>
      <c r="H68" s="4"/>
      <c r="I68">
        <f t="shared" si="0"/>
        <v>1</v>
      </c>
      <c r="J68">
        <f t="shared" si="1"/>
        <v>15</v>
      </c>
      <c r="K68">
        <f t="shared" si="2"/>
        <v>85</v>
      </c>
      <c r="L68" s="23">
        <f t="shared" si="3"/>
        <v>70</v>
      </c>
    </row>
    <row r="69" spans="1:12" x14ac:dyDescent="0.25">
      <c r="A69" s="13" t="s">
        <v>430</v>
      </c>
      <c r="B69" s="2">
        <v>8</v>
      </c>
      <c r="C69" s="2" t="s">
        <v>430</v>
      </c>
      <c r="D69" s="2">
        <v>8</v>
      </c>
      <c r="E69" s="17"/>
      <c r="F69" s="17"/>
      <c r="H69" s="4"/>
      <c r="I69">
        <f t="shared" ref="I69:I132" si="4">D69+G69</f>
        <v>8</v>
      </c>
      <c r="J69">
        <f t="shared" ref="J69:J132" si="5">IF(E69="Y",1,15)</f>
        <v>15</v>
      </c>
      <c r="K69">
        <f t="shared" ref="K69:K132" si="6">IF(F69="Y",99,85)</f>
        <v>85</v>
      </c>
      <c r="L69" s="23">
        <f t="shared" ref="L69:L132" si="7">ROUND((K69-J69)/MAX(1,I69-1),1)</f>
        <v>10</v>
      </c>
    </row>
    <row r="70" spans="1:12" x14ac:dyDescent="0.25">
      <c r="A70" s="13" t="s">
        <v>1687</v>
      </c>
      <c r="B70" s="2">
        <v>1</v>
      </c>
      <c r="C70" s="2" t="s">
        <v>1687</v>
      </c>
      <c r="D70" s="2">
        <v>1</v>
      </c>
      <c r="E70" s="17"/>
      <c r="F70" s="17"/>
      <c r="H70" s="4"/>
      <c r="I70">
        <f t="shared" si="4"/>
        <v>1</v>
      </c>
      <c r="J70">
        <f t="shared" si="5"/>
        <v>15</v>
      </c>
      <c r="K70">
        <f t="shared" si="6"/>
        <v>85</v>
      </c>
      <c r="L70" s="23">
        <f t="shared" si="7"/>
        <v>70</v>
      </c>
    </row>
    <row r="71" spans="1:12" x14ac:dyDescent="0.25">
      <c r="A71" s="13" t="s">
        <v>442</v>
      </c>
      <c r="B71" s="2">
        <v>1</v>
      </c>
      <c r="C71" s="2" t="s">
        <v>442</v>
      </c>
      <c r="D71" s="2">
        <v>1</v>
      </c>
      <c r="E71" s="17"/>
      <c r="F71" s="17"/>
      <c r="H71" s="4"/>
      <c r="I71">
        <f t="shared" si="4"/>
        <v>1</v>
      </c>
      <c r="J71">
        <f t="shared" si="5"/>
        <v>15</v>
      </c>
      <c r="K71">
        <f t="shared" si="6"/>
        <v>85</v>
      </c>
      <c r="L71" s="23">
        <f t="shared" si="7"/>
        <v>70</v>
      </c>
    </row>
    <row r="72" spans="1:12" x14ac:dyDescent="0.25">
      <c r="A72" s="13" t="s">
        <v>445</v>
      </c>
      <c r="B72" s="2">
        <v>1</v>
      </c>
      <c r="C72" s="2" t="s">
        <v>445</v>
      </c>
      <c r="D72" s="2">
        <v>1</v>
      </c>
      <c r="E72" s="17"/>
      <c r="F72" s="17"/>
      <c r="H72" s="4"/>
      <c r="I72">
        <f t="shared" si="4"/>
        <v>1</v>
      </c>
      <c r="J72">
        <f t="shared" si="5"/>
        <v>15</v>
      </c>
      <c r="K72">
        <f t="shared" si="6"/>
        <v>85</v>
      </c>
      <c r="L72" s="23">
        <f t="shared" si="7"/>
        <v>70</v>
      </c>
    </row>
    <row r="73" spans="1:12" x14ac:dyDescent="0.25">
      <c r="A73" s="13" t="s">
        <v>448</v>
      </c>
      <c r="B73" s="2">
        <v>2</v>
      </c>
      <c r="C73" s="2" t="s">
        <v>448</v>
      </c>
      <c r="D73" s="2">
        <v>2</v>
      </c>
      <c r="E73" s="17"/>
      <c r="F73" s="17"/>
      <c r="H73" s="4"/>
      <c r="I73">
        <f t="shared" si="4"/>
        <v>2</v>
      </c>
      <c r="J73">
        <f t="shared" si="5"/>
        <v>15</v>
      </c>
      <c r="K73">
        <f t="shared" si="6"/>
        <v>85</v>
      </c>
      <c r="L73" s="23">
        <f t="shared" si="7"/>
        <v>70</v>
      </c>
    </row>
    <row r="74" spans="1:12" x14ac:dyDescent="0.25">
      <c r="A74" s="13" t="s">
        <v>450</v>
      </c>
      <c r="B74" s="2">
        <v>1</v>
      </c>
      <c r="C74" s="2" t="s">
        <v>450</v>
      </c>
      <c r="D74" s="2">
        <v>1</v>
      </c>
      <c r="E74" s="17"/>
      <c r="F74" s="17"/>
      <c r="H74" s="4"/>
      <c r="I74">
        <f t="shared" si="4"/>
        <v>1</v>
      </c>
      <c r="J74">
        <f t="shared" si="5"/>
        <v>15</v>
      </c>
      <c r="K74">
        <f t="shared" si="6"/>
        <v>85</v>
      </c>
      <c r="L74" s="23">
        <f t="shared" si="7"/>
        <v>70</v>
      </c>
    </row>
    <row r="75" spans="1:12" x14ac:dyDescent="0.25">
      <c r="A75" s="13" t="s">
        <v>454</v>
      </c>
      <c r="B75" s="2">
        <v>17</v>
      </c>
      <c r="C75" s="2" t="s">
        <v>454</v>
      </c>
      <c r="D75" s="2">
        <v>17</v>
      </c>
      <c r="E75" s="17"/>
      <c r="F75" s="17"/>
      <c r="H75" s="4"/>
      <c r="I75">
        <f t="shared" si="4"/>
        <v>17</v>
      </c>
      <c r="J75">
        <f t="shared" si="5"/>
        <v>15</v>
      </c>
      <c r="K75">
        <f t="shared" si="6"/>
        <v>85</v>
      </c>
      <c r="L75" s="23">
        <f t="shared" si="7"/>
        <v>4.4000000000000004</v>
      </c>
    </row>
    <row r="76" spans="1:12" x14ac:dyDescent="0.25">
      <c r="A76" s="13" t="s">
        <v>477</v>
      </c>
      <c r="B76" s="2">
        <v>3</v>
      </c>
      <c r="C76" s="2" t="s">
        <v>477</v>
      </c>
      <c r="D76" s="2">
        <v>3</v>
      </c>
      <c r="E76" s="17"/>
      <c r="F76" s="22"/>
      <c r="H76" s="4"/>
      <c r="I76">
        <f t="shared" si="4"/>
        <v>3</v>
      </c>
      <c r="J76">
        <f t="shared" si="5"/>
        <v>15</v>
      </c>
      <c r="K76">
        <f t="shared" si="6"/>
        <v>85</v>
      </c>
      <c r="L76" s="23">
        <f t="shared" si="7"/>
        <v>35</v>
      </c>
    </row>
    <row r="77" spans="1:12" x14ac:dyDescent="0.25">
      <c r="A77" s="13" t="s">
        <v>485</v>
      </c>
      <c r="B77" s="2">
        <v>11</v>
      </c>
      <c r="C77" s="2" t="s">
        <v>485</v>
      </c>
      <c r="D77" s="2">
        <v>11</v>
      </c>
      <c r="E77" s="22"/>
      <c r="F77" s="17" t="s">
        <v>2021</v>
      </c>
      <c r="H77" s="4"/>
      <c r="I77">
        <f t="shared" si="4"/>
        <v>11</v>
      </c>
      <c r="J77">
        <f t="shared" si="5"/>
        <v>15</v>
      </c>
      <c r="K77">
        <f t="shared" si="6"/>
        <v>99</v>
      </c>
      <c r="L77" s="23">
        <f t="shared" si="7"/>
        <v>8.4</v>
      </c>
    </row>
    <row r="78" spans="1:12" x14ac:dyDescent="0.25">
      <c r="A78" s="13" t="s">
        <v>504</v>
      </c>
      <c r="B78" s="2">
        <v>1</v>
      </c>
      <c r="C78" s="2" t="s">
        <v>504</v>
      </c>
      <c r="D78" s="2">
        <v>1</v>
      </c>
      <c r="E78" s="17"/>
      <c r="F78" s="17"/>
      <c r="H78" s="4"/>
      <c r="I78">
        <f t="shared" si="4"/>
        <v>1</v>
      </c>
      <c r="J78">
        <f t="shared" si="5"/>
        <v>15</v>
      </c>
      <c r="K78">
        <f t="shared" si="6"/>
        <v>85</v>
      </c>
      <c r="L78" s="23">
        <f t="shared" si="7"/>
        <v>70</v>
      </c>
    </row>
    <row r="79" spans="1:12" x14ac:dyDescent="0.25">
      <c r="A79" s="13" t="s">
        <v>508</v>
      </c>
      <c r="B79" s="2">
        <v>1</v>
      </c>
      <c r="C79" s="2" t="s">
        <v>508</v>
      </c>
      <c r="D79" s="2">
        <v>1</v>
      </c>
      <c r="E79" s="17"/>
      <c r="F79" s="17"/>
      <c r="H79" s="4"/>
      <c r="I79">
        <f t="shared" si="4"/>
        <v>1</v>
      </c>
      <c r="J79">
        <f t="shared" si="5"/>
        <v>15</v>
      </c>
      <c r="K79">
        <f t="shared" si="6"/>
        <v>85</v>
      </c>
      <c r="L79" s="23">
        <f t="shared" si="7"/>
        <v>70</v>
      </c>
    </row>
    <row r="80" spans="1:12" x14ac:dyDescent="0.25">
      <c r="A80" s="13" t="s">
        <v>511</v>
      </c>
      <c r="B80" s="2">
        <v>3</v>
      </c>
      <c r="C80" s="2" t="s">
        <v>511</v>
      </c>
      <c r="D80" s="2">
        <v>3</v>
      </c>
      <c r="E80" s="17"/>
      <c r="F80" s="17"/>
      <c r="H80" s="4"/>
      <c r="I80">
        <f t="shared" si="4"/>
        <v>3</v>
      </c>
      <c r="J80">
        <f t="shared" si="5"/>
        <v>15</v>
      </c>
      <c r="K80">
        <f t="shared" si="6"/>
        <v>85</v>
      </c>
      <c r="L80" s="23">
        <f t="shared" si="7"/>
        <v>35</v>
      </c>
    </row>
    <row r="81" spans="1:12" x14ac:dyDescent="0.25">
      <c r="A81" s="13" t="s">
        <v>513</v>
      </c>
      <c r="B81" s="2">
        <v>14</v>
      </c>
      <c r="C81" s="2" t="s">
        <v>513</v>
      </c>
      <c r="D81" s="2">
        <v>14</v>
      </c>
      <c r="E81" s="17" t="s">
        <v>2021</v>
      </c>
      <c r="F81" s="17"/>
      <c r="H81" s="4"/>
      <c r="I81">
        <f t="shared" si="4"/>
        <v>14</v>
      </c>
      <c r="J81">
        <f t="shared" si="5"/>
        <v>1</v>
      </c>
      <c r="K81">
        <f t="shared" si="6"/>
        <v>85</v>
      </c>
      <c r="L81" s="23">
        <f t="shared" si="7"/>
        <v>6.5</v>
      </c>
    </row>
    <row r="82" spans="1:12" x14ac:dyDescent="0.25">
      <c r="A82" s="13" t="s">
        <v>535</v>
      </c>
      <c r="B82" s="2">
        <v>4</v>
      </c>
      <c r="C82" s="2" t="s">
        <v>535</v>
      </c>
      <c r="D82" s="2">
        <v>4</v>
      </c>
      <c r="E82" s="17"/>
      <c r="F82" s="17"/>
      <c r="H82" s="4"/>
      <c r="I82">
        <f t="shared" si="4"/>
        <v>4</v>
      </c>
      <c r="J82">
        <f t="shared" si="5"/>
        <v>15</v>
      </c>
      <c r="K82">
        <f t="shared" si="6"/>
        <v>85</v>
      </c>
      <c r="L82" s="23">
        <f t="shared" si="7"/>
        <v>23.3</v>
      </c>
    </row>
    <row r="83" spans="1:12" x14ac:dyDescent="0.25">
      <c r="A83" s="13" t="s">
        <v>546</v>
      </c>
      <c r="B83" s="2">
        <v>12</v>
      </c>
      <c r="C83" s="2" t="s">
        <v>546</v>
      </c>
      <c r="D83" s="2">
        <v>12</v>
      </c>
      <c r="E83" s="17"/>
      <c r="F83" s="17"/>
      <c r="H83" s="4"/>
      <c r="I83">
        <f t="shared" si="4"/>
        <v>12</v>
      </c>
      <c r="J83">
        <f t="shared" si="5"/>
        <v>15</v>
      </c>
      <c r="K83">
        <f t="shared" si="6"/>
        <v>85</v>
      </c>
      <c r="L83" s="23">
        <f t="shared" si="7"/>
        <v>6.4</v>
      </c>
    </row>
    <row r="84" spans="1:12" x14ac:dyDescent="0.25">
      <c r="A84" s="13" t="s">
        <v>562</v>
      </c>
      <c r="B84" s="2">
        <v>1</v>
      </c>
      <c r="C84" s="2" t="s">
        <v>562</v>
      </c>
      <c r="D84" s="2">
        <v>1</v>
      </c>
      <c r="E84" s="17"/>
      <c r="F84" s="17"/>
      <c r="H84" s="4"/>
      <c r="I84">
        <f t="shared" si="4"/>
        <v>1</v>
      </c>
      <c r="J84">
        <f t="shared" si="5"/>
        <v>15</v>
      </c>
      <c r="K84">
        <f t="shared" si="6"/>
        <v>85</v>
      </c>
      <c r="L84" s="23">
        <f t="shared" si="7"/>
        <v>70</v>
      </c>
    </row>
    <row r="85" spans="1:12" x14ac:dyDescent="0.25">
      <c r="A85" s="13" t="s">
        <v>565</v>
      </c>
      <c r="B85" s="2">
        <v>2</v>
      </c>
      <c r="C85" s="2" t="s">
        <v>565</v>
      </c>
      <c r="D85" s="2">
        <v>2</v>
      </c>
      <c r="E85" s="17"/>
      <c r="F85" s="17"/>
      <c r="H85" s="4"/>
      <c r="I85">
        <f t="shared" si="4"/>
        <v>2</v>
      </c>
      <c r="J85">
        <f t="shared" si="5"/>
        <v>15</v>
      </c>
      <c r="K85">
        <f t="shared" si="6"/>
        <v>85</v>
      </c>
      <c r="L85" s="23">
        <f t="shared" si="7"/>
        <v>70</v>
      </c>
    </row>
    <row r="86" spans="1:12" x14ac:dyDescent="0.25">
      <c r="A86" s="13" t="s">
        <v>569</v>
      </c>
      <c r="B86" s="2">
        <v>1</v>
      </c>
      <c r="C86" s="2" t="s">
        <v>569</v>
      </c>
      <c r="D86" s="2">
        <v>1</v>
      </c>
      <c r="E86" s="17"/>
      <c r="F86" s="17"/>
      <c r="H86" s="4"/>
      <c r="I86">
        <f t="shared" si="4"/>
        <v>1</v>
      </c>
      <c r="J86">
        <f t="shared" si="5"/>
        <v>15</v>
      </c>
      <c r="K86">
        <f t="shared" si="6"/>
        <v>85</v>
      </c>
      <c r="L86" s="23">
        <f t="shared" si="7"/>
        <v>70</v>
      </c>
    </row>
    <row r="87" spans="1:12" x14ac:dyDescent="0.25">
      <c r="A87" s="13" t="s">
        <v>572</v>
      </c>
      <c r="B87" s="2">
        <v>1</v>
      </c>
      <c r="C87" s="2" t="s">
        <v>572</v>
      </c>
      <c r="D87" s="2">
        <v>1</v>
      </c>
      <c r="E87" s="17"/>
      <c r="F87" s="17"/>
      <c r="H87" s="4"/>
      <c r="I87">
        <f t="shared" si="4"/>
        <v>1</v>
      </c>
      <c r="J87">
        <f t="shared" si="5"/>
        <v>15</v>
      </c>
      <c r="K87">
        <f t="shared" si="6"/>
        <v>85</v>
      </c>
      <c r="L87" s="23">
        <f t="shared" si="7"/>
        <v>70</v>
      </c>
    </row>
    <row r="88" spans="1:12" x14ac:dyDescent="0.25">
      <c r="A88" s="13" t="s">
        <v>575</v>
      </c>
      <c r="B88" s="2">
        <v>6</v>
      </c>
      <c r="C88" s="2" t="s">
        <v>575</v>
      </c>
      <c r="D88" s="2">
        <v>6</v>
      </c>
      <c r="E88" s="17"/>
      <c r="F88" s="17" t="s">
        <v>2021</v>
      </c>
      <c r="H88" s="4"/>
      <c r="I88">
        <f t="shared" si="4"/>
        <v>6</v>
      </c>
      <c r="J88">
        <f t="shared" si="5"/>
        <v>15</v>
      </c>
      <c r="K88">
        <f t="shared" si="6"/>
        <v>99</v>
      </c>
      <c r="L88" s="23">
        <f t="shared" si="7"/>
        <v>16.8</v>
      </c>
    </row>
    <row r="89" spans="1:12" x14ac:dyDescent="0.25">
      <c r="A89" s="13" t="s">
        <v>583</v>
      </c>
      <c r="B89" s="2">
        <v>3</v>
      </c>
      <c r="C89" s="2" t="s">
        <v>583</v>
      </c>
      <c r="D89" s="2">
        <v>3</v>
      </c>
      <c r="E89" s="17"/>
      <c r="F89" s="17"/>
      <c r="H89" s="4"/>
      <c r="I89">
        <f t="shared" si="4"/>
        <v>3</v>
      </c>
      <c r="J89">
        <f t="shared" si="5"/>
        <v>15</v>
      </c>
      <c r="K89">
        <f t="shared" si="6"/>
        <v>85</v>
      </c>
      <c r="L89" s="23">
        <f t="shared" si="7"/>
        <v>35</v>
      </c>
    </row>
    <row r="90" spans="1:12" x14ac:dyDescent="0.25">
      <c r="A90" s="13" t="s">
        <v>588</v>
      </c>
      <c r="B90" s="2">
        <v>1</v>
      </c>
      <c r="C90" s="2" t="s">
        <v>588</v>
      </c>
      <c r="D90" s="2">
        <v>1</v>
      </c>
      <c r="E90" s="17"/>
      <c r="F90" s="17" t="s">
        <v>2021</v>
      </c>
      <c r="H90" s="4"/>
      <c r="I90">
        <f t="shared" si="4"/>
        <v>1</v>
      </c>
      <c r="J90">
        <f t="shared" si="5"/>
        <v>15</v>
      </c>
      <c r="K90">
        <f t="shared" si="6"/>
        <v>99</v>
      </c>
      <c r="L90" s="23">
        <f t="shared" si="7"/>
        <v>84</v>
      </c>
    </row>
    <row r="91" spans="1:12" x14ac:dyDescent="0.25">
      <c r="A91" s="13" t="s">
        <v>589</v>
      </c>
      <c r="B91" s="2">
        <v>1</v>
      </c>
      <c r="C91" s="2" t="s">
        <v>589</v>
      </c>
      <c r="D91" s="2">
        <v>1</v>
      </c>
      <c r="E91" s="17"/>
      <c r="F91" s="17"/>
      <c r="H91" s="4"/>
      <c r="I91">
        <f t="shared" si="4"/>
        <v>1</v>
      </c>
      <c r="J91">
        <f t="shared" si="5"/>
        <v>15</v>
      </c>
      <c r="K91">
        <f t="shared" si="6"/>
        <v>85</v>
      </c>
      <c r="L91" s="23">
        <f t="shared" si="7"/>
        <v>70</v>
      </c>
    </row>
    <row r="92" spans="1:12" x14ac:dyDescent="0.25">
      <c r="A92" s="13" t="s">
        <v>590</v>
      </c>
      <c r="B92" s="2">
        <v>2</v>
      </c>
      <c r="C92" s="2" t="s">
        <v>590</v>
      </c>
      <c r="D92" s="2">
        <v>2</v>
      </c>
      <c r="E92" s="17"/>
      <c r="F92" s="17"/>
      <c r="H92" s="4"/>
      <c r="I92">
        <f t="shared" si="4"/>
        <v>2</v>
      </c>
      <c r="J92">
        <f t="shared" si="5"/>
        <v>15</v>
      </c>
      <c r="K92">
        <f t="shared" si="6"/>
        <v>85</v>
      </c>
      <c r="L92" s="23">
        <f t="shared" si="7"/>
        <v>70</v>
      </c>
    </row>
    <row r="93" spans="1:12" x14ac:dyDescent="0.25">
      <c r="A93" s="13" t="s">
        <v>593</v>
      </c>
      <c r="B93" s="2">
        <v>3</v>
      </c>
      <c r="C93" s="2" t="s">
        <v>593</v>
      </c>
      <c r="D93" s="2">
        <v>3</v>
      </c>
      <c r="E93" s="17"/>
      <c r="F93" s="17"/>
      <c r="H93" s="4"/>
      <c r="I93">
        <f t="shared" si="4"/>
        <v>3</v>
      </c>
      <c r="J93">
        <f t="shared" si="5"/>
        <v>15</v>
      </c>
      <c r="K93">
        <f t="shared" si="6"/>
        <v>85</v>
      </c>
      <c r="L93" s="23">
        <f t="shared" si="7"/>
        <v>35</v>
      </c>
    </row>
    <row r="94" spans="1:12" x14ac:dyDescent="0.25">
      <c r="A94" s="13" t="s">
        <v>596</v>
      </c>
      <c r="B94" s="2">
        <v>1</v>
      </c>
      <c r="C94" s="2" t="s">
        <v>596</v>
      </c>
      <c r="D94" s="2">
        <v>1</v>
      </c>
      <c r="E94" s="17"/>
      <c r="F94" s="17"/>
      <c r="H94" s="4"/>
      <c r="I94">
        <f t="shared" si="4"/>
        <v>1</v>
      </c>
      <c r="J94">
        <f t="shared" si="5"/>
        <v>15</v>
      </c>
      <c r="K94">
        <f t="shared" si="6"/>
        <v>85</v>
      </c>
      <c r="L94" s="23">
        <f t="shared" si="7"/>
        <v>70</v>
      </c>
    </row>
    <row r="95" spans="1:12" x14ac:dyDescent="0.25">
      <c r="A95" s="13" t="s">
        <v>599</v>
      </c>
      <c r="B95" s="2">
        <v>1</v>
      </c>
      <c r="C95" s="2" t="s">
        <v>599</v>
      </c>
      <c r="D95" s="2">
        <v>1</v>
      </c>
      <c r="E95" s="17"/>
      <c r="F95" s="17"/>
      <c r="H95" s="4"/>
      <c r="I95">
        <f t="shared" si="4"/>
        <v>1</v>
      </c>
      <c r="J95">
        <f t="shared" si="5"/>
        <v>15</v>
      </c>
      <c r="K95">
        <f t="shared" si="6"/>
        <v>85</v>
      </c>
      <c r="L95" s="23">
        <f t="shared" si="7"/>
        <v>70</v>
      </c>
    </row>
    <row r="96" spans="1:12" x14ac:dyDescent="0.25">
      <c r="A96" s="13" t="s">
        <v>602</v>
      </c>
      <c r="B96" s="2">
        <v>25</v>
      </c>
      <c r="C96" s="2" t="s">
        <v>602</v>
      </c>
      <c r="D96" s="2">
        <v>25</v>
      </c>
      <c r="E96" s="17"/>
      <c r="F96" s="17"/>
      <c r="H96" s="4"/>
      <c r="I96">
        <f t="shared" si="4"/>
        <v>25</v>
      </c>
      <c r="J96">
        <f t="shared" si="5"/>
        <v>15</v>
      </c>
      <c r="K96">
        <f t="shared" si="6"/>
        <v>85</v>
      </c>
      <c r="L96" s="23">
        <f t="shared" si="7"/>
        <v>2.9</v>
      </c>
    </row>
    <row r="97" spans="1:12" x14ac:dyDescent="0.25">
      <c r="A97" s="13" t="s">
        <v>640</v>
      </c>
      <c r="B97" s="2">
        <v>23</v>
      </c>
      <c r="C97" s="2" t="s">
        <v>640</v>
      </c>
      <c r="D97" s="2">
        <v>24</v>
      </c>
      <c r="E97" s="17"/>
      <c r="F97" s="17" t="s">
        <v>2021</v>
      </c>
      <c r="H97" s="4"/>
      <c r="I97">
        <f t="shared" si="4"/>
        <v>24</v>
      </c>
      <c r="J97">
        <f t="shared" si="5"/>
        <v>15</v>
      </c>
      <c r="K97">
        <f t="shared" si="6"/>
        <v>99</v>
      </c>
      <c r="L97" s="23">
        <f t="shared" si="7"/>
        <v>3.7</v>
      </c>
    </row>
    <row r="98" spans="1:12" x14ac:dyDescent="0.25">
      <c r="A98" s="13" t="s">
        <v>665</v>
      </c>
      <c r="B98" s="2">
        <v>4</v>
      </c>
      <c r="C98" s="2" t="s">
        <v>665</v>
      </c>
      <c r="D98" s="2">
        <v>4</v>
      </c>
      <c r="E98" s="17"/>
      <c r="F98" s="17"/>
      <c r="H98" s="4"/>
      <c r="I98">
        <f t="shared" si="4"/>
        <v>4</v>
      </c>
      <c r="J98">
        <f t="shared" si="5"/>
        <v>15</v>
      </c>
      <c r="K98">
        <f t="shared" si="6"/>
        <v>85</v>
      </c>
      <c r="L98" s="23">
        <f t="shared" si="7"/>
        <v>23.3</v>
      </c>
    </row>
    <row r="99" spans="1:12" x14ac:dyDescent="0.25">
      <c r="A99" s="13" t="s">
        <v>630</v>
      </c>
      <c r="B99" s="2">
        <v>2</v>
      </c>
      <c r="C99" s="2" t="s">
        <v>630</v>
      </c>
      <c r="D99" s="2">
        <v>2</v>
      </c>
      <c r="E99" s="17"/>
      <c r="F99" s="17"/>
      <c r="H99" s="4"/>
      <c r="I99">
        <f t="shared" si="4"/>
        <v>2</v>
      </c>
      <c r="J99">
        <f t="shared" si="5"/>
        <v>15</v>
      </c>
      <c r="K99">
        <f t="shared" si="6"/>
        <v>85</v>
      </c>
      <c r="L99" s="23">
        <f t="shared" si="7"/>
        <v>70</v>
      </c>
    </row>
    <row r="100" spans="1:12" x14ac:dyDescent="0.25">
      <c r="A100" s="13" t="s">
        <v>680</v>
      </c>
      <c r="B100" s="2">
        <v>3</v>
      </c>
      <c r="C100" s="2" t="s">
        <v>680</v>
      </c>
      <c r="D100" s="2">
        <v>3</v>
      </c>
      <c r="E100" s="17"/>
      <c r="F100" s="17"/>
      <c r="H100" s="4"/>
      <c r="I100">
        <f t="shared" si="4"/>
        <v>3</v>
      </c>
      <c r="J100">
        <f t="shared" si="5"/>
        <v>15</v>
      </c>
      <c r="K100">
        <f t="shared" si="6"/>
        <v>85</v>
      </c>
      <c r="L100" s="23">
        <f t="shared" si="7"/>
        <v>35</v>
      </c>
    </row>
    <row r="101" spans="1:12" x14ac:dyDescent="0.25">
      <c r="A101" s="13" t="s">
        <v>684</v>
      </c>
      <c r="B101" s="2">
        <v>7</v>
      </c>
      <c r="C101" s="2" t="s">
        <v>684</v>
      </c>
      <c r="D101" s="2">
        <v>7</v>
      </c>
      <c r="E101" s="17"/>
      <c r="F101" s="17"/>
      <c r="H101" s="4"/>
      <c r="I101">
        <f t="shared" si="4"/>
        <v>7</v>
      </c>
      <c r="J101">
        <f t="shared" si="5"/>
        <v>15</v>
      </c>
      <c r="K101">
        <f t="shared" si="6"/>
        <v>85</v>
      </c>
      <c r="L101" s="23">
        <f t="shared" si="7"/>
        <v>11.7</v>
      </c>
    </row>
    <row r="102" spans="1:12" x14ac:dyDescent="0.25">
      <c r="A102" s="13" t="s">
        <v>693</v>
      </c>
      <c r="B102" s="2">
        <v>3</v>
      </c>
      <c r="C102" s="2" t="s">
        <v>693</v>
      </c>
      <c r="D102" s="2">
        <v>3</v>
      </c>
      <c r="E102" s="17"/>
      <c r="F102" s="17"/>
      <c r="H102" s="4"/>
      <c r="I102">
        <f t="shared" si="4"/>
        <v>3</v>
      </c>
      <c r="J102">
        <f t="shared" si="5"/>
        <v>15</v>
      </c>
      <c r="K102">
        <f t="shared" si="6"/>
        <v>85</v>
      </c>
      <c r="L102" s="23">
        <f t="shared" si="7"/>
        <v>35</v>
      </c>
    </row>
    <row r="103" spans="1:12" x14ac:dyDescent="0.25">
      <c r="A103" s="13" t="s">
        <v>697</v>
      </c>
      <c r="B103" s="2">
        <v>1</v>
      </c>
      <c r="C103" s="2" t="s">
        <v>697</v>
      </c>
      <c r="D103" s="2">
        <v>1</v>
      </c>
      <c r="E103" s="17"/>
      <c r="F103" s="17"/>
      <c r="H103" s="4"/>
      <c r="I103">
        <f t="shared" si="4"/>
        <v>1</v>
      </c>
      <c r="J103">
        <f t="shared" si="5"/>
        <v>15</v>
      </c>
      <c r="K103">
        <f t="shared" si="6"/>
        <v>85</v>
      </c>
      <c r="L103" s="23">
        <f t="shared" si="7"/>
        <v>70</v>
      </c>
    </row>
    <row r="104" spans="1:12" x14ac:dyDescent="0.25">
      <c r="A104" s="13" t="s">
        <v>700</v>
      </c>
      <c r="B104" s="2">
        <v>2</v>
      </c>
      <c r="C104" s="2" t="s">
        <v>700</v>
      </c>
      <c r="D104" s="2">
        <v>2</v>
      </c>
      <c r="E104" s="17"/>
      <c r="F104" s="17"/>
      <c r="H104" s="4"/>
      <c r="I104">
        <f t="shared" si="4"/>
        <v>2</v>
      </c>
      <c r="J104">
        <f t="shared" si="5"/>
        <v>15</v>
      </c>
      <c r="K104">
        <f t="shared" si="6"/>
        <v>85</v>
      </c>
      <c r="L104" s="23">
        <f t="shared" si="7"/>
        <v>70</v>
      </c>
    </row>
    <row r="105" spans="1:12" x14ac:dyDescent="0.25">
      <c r="A105" s="13" t="s">
        <v>703</v>
      </c>
      <c r="B105" s="2">
        <v>1</v>
      </c>
      <c r="C105" s="2" t="s">
        <v>703</v>
      </c>
      <c r="D105" s="2">
        <v>1</v>
      </c>
      <c r="E105" s="17"/>
      <c r="F105" s="17"/>
      <c r="H105" s="4"/>
      <c r="I105">
        <f t="shared" si="4"/>
        <v>1</v>
      </c>
      <c r="J105">
        <f t="shared" si="5"/>
        <v>15</v>
      </c>
      <c r="K105">
        <f t="shared" si="6"/>
        <v>85</v>
      </c>
      <c r="L105" s="23">
        <f t="shared" si="7"/>
        <v>70</v>
      </c>
    </row>
    <row r="106" spans="1:12" x14ac:dyDescent="0.25">
      <c r="A106" s="13" t="s">
        <v>705</v>
      </c>
      <c r="B106" s="2">
        <v>1</v>
      </c>
      <c r="C106" s="2" t="s">
        <v>705</v>
      </c>
      <c r="D106" s="2">
        <v>1</v>
      </c>
      <c r="E106" s="17"/>
      <c r="F106" s="17"/>
      <c r="H106" s="4"/>
      <c r="I106">
        <f t="shared" si="4"/>
        <v>1</v>
      </c>
      <c r="J106">
        <f t="shared" si="5"/>
        <v>15</v>
      </c>
      <c r="K106">
        <f t="shared" si="6"/>
        <v>85</v>
      </c>
      <c r="L106" s="23">
        <f t="shared" si="7"/>
        <v>70</v>
      </c>
    </row>
    <row r="107" spans="1:12" x14ac:dyDescent="0.25">
      <c r="A107" s="13" t="s">
        <v>707</v>
      </c>
      <c r="B107" s="2">
        <v>1</v>
      </c>
      <c r="C107" s="2" t="s">
        <v>707</v>
      </c>
      <c r="D107" s="2">
        <v>1</v>
      </c>
      <c r="E107" s="17"/>
      <c r="F107" s="17"/>
      <c r="H107" s="4"/>
      <c r="I107">
        <f t="shared" si="4"/>
        <v>1</v>
      </c>
      <c r="J107">
        <f t="shared" si="5"/>
        <v>15</v>
      </c>
      <c r="K107">
        <f t="shared" si="6"/>
        <v>85</v>
      </c>
      <c r="L107" s="23">
        <f t="shared" si="7"/>
        <v>70</v>
      </c>
    </row>
    <row r="108" spans="1:12" x14ac:dyDescent="0.25">
      <c r="A108" s="13" t="s">
        <v>709</v>
      </c>
      <c r="B108" s="2">
        <v>3</v>
      </c>
      <c r="C108" s="2" t="s">
        <v>709</v>
      </c>
      <c r="D108" s="2">
        <v>3</v>
      </c>
      <c r="E108" s="17"/>
      <c r="F108" s="17"/>
      <c r="H108" s="4"/>
      <c r="I108">
        <f t="shared" si="4"/>
        <v>3</v>
      </c>
      <c r="J108">
        <f t="shared" si="5"/>
        <v>15</v>
      </c>
      <c r="K108">
        <f t="shared" si="6"/>
        <v>85</v>
      </c>
      <c r="L108" s="23">
        <f t="shared" si="7"/>
        <v>35</v>
      </c>
    </row>
    <row r="109" spans="1:12" x14ac:dyDescent="0.25">
      <c r="A109" s="13" t="s">
        <v>714</v>
      </c>
      <c r="B109" s="2">
        <v>4</v>
      </c>
      <c r="C109" s="2" t="s">
        <v>714</v>
      </c>
      <c r="D109" s="2">
        <v>4</v>
      </c>
      <c r="E109" s="17"/>
      <c r="F109" s="17"/>
      <c r="H109" s="4"/>
      <c r="I109">
        <f t="shared" si="4"/>
        <v>4</v>
      </c>
      <c r="J109">
        <f t="shared" si="5"/>
        <v>15</v>
      </c>
      <c r="K109">
        <f t="shared" si="6"/>
        <v>85</v>
      </c>
      <c r="L109" s="23">
        <f t="shared" si="7"/>
        <v>23.3</v>
      </c>
    </row>
    <row r="110" spans="1:12" x14ac:dyDescent="0.25">
      <c r="A110" s="13" t="s">
        <v>719</v>
      </c>
      <c r="B110" s="2">
        <v>1</v>
      </c>
      <c r="C110" s="2" t="s">
        <v>719</v>
      </c>
      <c r="D110" s="2">
        <v>1</v>
      </c>
      <c r="E110" s="17"/>
      <c r="F110" s="17"/>
      <c r="H110" s="4"/>
      <c r="I110">
        <f t="shared" si="4"/>
        <v>1</v>
      </c>
      <c r="J110">
        <f t="shared" si="5"/>
        <v>15</v>
      </c>
      <c r="K110">
        <f t="shared" si="6"/>
        <v>85</v>
      </c>
      <c r="L110" s="23">
        <f t="shared" si="7"/>
        <v>70</v>
      </c>
    </row>
    <row r="111" spans="1:12" x14ac:dyDescent="0.25">
      <c r="A111" s="13" t="s">
        <v>722</v>
      </c>
      <c r="B111" s="2">
        <v>2</v>
      </c>
      <c r="C111" s="2" t="s">
        <v>722</v>
      </c>
      <c r="D111" s="2">
        <v>2</v>
      </c>
      <c r="E111" s="17"/>
      <c r="F111" s="17"/>
      <c r="H111" s="4"/>
      <c r="I111">
        <f t="shared" si="4"/>
        <v>2</v>
      </c>
      <c r="J111">
        <f t="shared" si="5"/>
        <v>15</v>
      </c>
      <c r="K111">
        <f t="shared" si="6"/>
        <v>85</v>
      </c>
      <c r="L111" s="23">
        <f t="shared" si="7"/>
        <v>70</v>
      </c>
    </row>
    <row r="112" spans="1:12" x14ac:dyDescent="0.25">
      <c r="A112" s="13" t="s">
        <v>725</v>
      </c>
      <c r="B112" s="2">
        <v>1</v>
      </c>
      <c r="C112" s="2" t="s">
        <v>725</v>
      </c>
      <c r="D112" s="2">
        <v>1</v>
      </c>
      <c r="E112" s="17"/>
      <c r="F112" s="17"/>
      <c r="H112" s="4"/>
      <c r="I112">
        <f t="shared" si="4"/>
        <v>1</v>
      </c>
      <c r="J112">
        <f t="shared" si="5"/>
        <v>15</v>
      </c>
      <c r="K112">
        <f t="shared" si="6"/>
        <v>85</v>
      </c>
      <c r="L112" s="23">
        <f t="shared" si="7"/>
        <v>70</v>
      </c>
    </row>
    <row r="113" spans="1:13" x14ac:dyDescent="0.25">
      <c r="A113" s="13" t="s">
        <v>728</v>
      </c>
      <c r="B113" s="2">
        <v>1</v>
      </c>
      <c r="C113" s="2" t="s">
        <v>728</v>
      </c>
      <c r="D113" s="2">
        <v>1</v>
      </c>
      <c r="E113" s="17"/>
      <c r="F113" s="17"/>
      <c r="H113" s="4"/>
      <c r="I113">
        <f t="shared" si="4"/>
        <v>1</v>
      </c>
      <c r="J113">
        <f t="shared" si="5"/>
        <v>15</v>
      </c>
      <c r="K113">
        <f t="shared" si="6"/>
        <v>85</v>
      </c>
      <c r="L113" s="23">
        <f t="shared" si="7"/>
        <v>70</v>
      </c>
    </row>
    <row r="114" spans="1:13" x14ac:dyDescent="0.25">
      <c r="A114" s="13" t="s">
        <v>732</v>
      </c>
      <c r="B114" s="2">
        <v>3</v>
      </c>
      <c r="C114" s="2" t="s">
        <v>732</v>
      </c>
      <c r="D114" s="2">
        <v>3</v>
      </c>
      <c r="E114" s="17"/>
      <c r="F114" s="17"/>
      <c r="H114" s="4"/>
      <c r="I114">
        <f t="shared" si="4"/>
        <v>3</v>
      </c>
      <c r="J114">
        <f t="shared" si="5"/>
        <v>15</v>
      </c>
      <c r="K114">
        <f t="shared" si="6"/>
        <v>85</v>
      </c>
      <c r="L114" s="23">
        <f t="shared" si="7"/>
        <v>35</v>
      </c>
    </row>
    <row r="115" spans="1:13" x14ac:dyDescent="0.25">
      <c r="A115" s="13" t="s">
        <v>736</v>
      </c>
      <c r="B115" s="2">
        <v>2</v>
      </c>
      <c r="C115" s="2" t="s">
        <v>736</v>
      </c>
      <c r="D115" s="2">
        <v>2</v>
      </c>
      <c r="E115" s="17"/>
      <c r="F115" s="17"/>
      <c r="H115" s="4"/>
      <c r="I115">
        <f t="shared" si="4"/>
        <v>2</v>
      </c>
      <c r="J115">
        <f t="shared" si="5"/>
        <v>15</v>
      </c>
      <c r="K115">
        <f t="shared" si="6"/>
        <v>85</v>
      </c>
      <c r="L115" s="23">
        <f t="shared" si="7"/>
        <v>70</v>
      </c>
    </row>
    <row r="116" spans="1:13" x14ac:dyDescent="0.25">
      <c r="A116" s="13" t="s">
        <v>740</v>
      </c>
      <c r="B116" s="2">
        <v>2</v>
      </c>
      <c r="C116" s="2" t="s">
        <v>740</v>
      </c>
      <c r="D116" s="2">
        <v>2</v>
      </c>
      <c r="E116" s="17"/>
      <c r="F116" s="17"/>
      <c r="H116" s="4"/>
      <c r="I116">
        <f t="shared" si="4"/>
        <v>2</v>
      </c>
      <c r="J116">
        <f t="shared" si="5"/>
        <v>15</v>
      </c>
      <c r="K116">
        <f t="shared" si="6"/>
        <v>85</v>
      </c>
      <c r="L116" s="23">
        <f t="shared" si="7"/>
        <v>70</v>
      </c>
    </row>
    <row r="117" spans="1:13" x14ac:dyDescent="0.25">
      <c r="A117" s="13" t="s">
        <v>745</v>
      </c>
      <c r="B117" s="2">
        <v>4</v>
      </c>
      <c r="C117" s="2" t="s">
        <v>745</v>
      </c>
      <c r="D117" s="2">
        <v>4</v>
      </c>
      <c r="E117" s="17"/>
      <c r="F117" s="17"/>
      <c r="H117" s="4"/>
      <c r="I117">
        <f t="shared" si="4"/>
        <v>4</v>
      </c>
      <c r="J117">
        <f t="shared" si="5"/>
        <v>15</v>
      </c>
      <c r="K117">
        <f t="shared" si="6"/>
        <v>85</v>
      </c>
      <c r="L117" s="23">
        <f t="shared" si="7"/>
        <v>23.3</v>
      </c>
    </row>
    <row r="118" spans="1:13" x14ac:dyDescent="0.25">
      <c r="A118" s="13" t="s">
        <v>751</v>
      </c>
      <c r="B118" s="2">
        <v>1</v>
      </c>
      <c r="C118" s="2" t="s">
        <v>751</v>
      </c>
      <c r="D118" s="2">
        <v>1</v>
      </c>
      <c r="E118" s="17"/>
      <c r="F118" s="17"/>
      <c r="H118" s="4"/>
      <c r="I118">
        <f t="shared" si="4"/>
        <v>1</v>
      </c>
      <c r="J118">
        <f t="shared" si="5"/>
        <v>15</v>
      </c>
      <c r="K118">
        <f t="shared" si="6"/>
        <v>85</v>
      </c>
      <c r="L118" s="23">
        <f t="shared" si="7"/>
        <v>70</v>
      </c>
    </row>
    <row r="119" spans="1:13" x14ac:dyDescent="0.25">
      <c r="A119" s="13" t="s">
        <v>754</v>
      </c>
      <c r="B119" s="2">
        <v>1</v>
      </c>
      <c r="C119" s="2" t="s">
        <v>754</v>
      </c>
      <c r="D119" s="2">
        <v>1</v>
      </c>
      <c r="E119" s="17"/>
      <c r="F119" s="17"/>
      <c r="H119" s="4"/>
      <c r="I119">
        <f t="shared" si="4"/>
        <v>1</v>
      </c>
      <c r="J119">
        <f t="shared" si="5"/>
        <v>15</v>
      </c>
      <c r="K119">
        <f t="shared" si="6"/>
        <v>85</v>
      </c>
      <c r="L119" s="23">
        <f t="shared" si="7"/>
        <v>70</v>
      </c>
    </row>
    <row r="120" spans="1:13" x14ac:dyDescent="0.25">
      <c r="A120" s="13" t="s">
        <v>756</v>
      </c>
      <c r="B120" s="2">
        <v>1</v>
      </c>
      <c r="C120" s="2" t="s">
        <v>756</v>
      </c>
      <c r="D120" s="2">
        <v>1</v>
      </c>
      <c r="E120" s="17"/>
      <c r="F120" s="17"/>
      <c r="H120" s="4"/>
      <c r="I120">
        <f t="shared" si="4"/>
        <v>1</v>
      </c>
      <c r="J120">
        <f t="shared" si="5"/>
        <v>15</v>
      </c>
      <c r="K120">
        <f t="shared" si="6"/>
        <v>85</v>
      </c>
      <c r="L120" s="23">
        <f t="shared" si="7"/>
        <v>70</v>
      </c>
    </row>
    <row r="121" spans="1:13" x14ac:dyDescent="0.25">
      <c r="A121" s="13" t="s">
        <v>760</v>
      </c>
      <c r="B121" s="2">
        <v>1</v>
      </c>
      <c r="C121" s="2" t="s">
        <v>760</v>
      </c>
      <c r="D121" s="2">
        <v>1</v>
      </c>
      <c r="E121" s="17"/>
      <c r="F121" s="17"/>
      <c r="H121" s="4"/>
      <c r="I121">
        <f t="shared" si="4"/>
        <v>1</v>
      </c>
      <c r="J121">
        <f t="shared" si="5"/>
        <v>15</v>
      </c>
      <c r="K121">
        <f t="shared" si="6"/>
        <v>85</v>
      </c>
      <c r="L121" s="23">
        <f t="shared" si="7"/>
        <v>70</v>
      </c>
    </row>
    <row r="122" spans="1:13" x14ac:dyDescent="0.25">
      <c r="A122" s="13" t="s">
        <v>764</v>
      </c>
      <c r="B122" s="2">
        <v>2</v>
      </c>
      <c r="C122" s="2" t="s">
        <v>764</v>
      </c>
      <c r="D122" s="2">
        <v>2</v>
      </c>
      <c r="E122" s="17"/>
      <c r="F122" s="17"/>
      <c r="H122" s="4"/>
      <c r="I122">
        <f t="shared" si="4"/>
        <v>2</v>
      </c>
      <c r="J122">
        <f t="shared" si="5"/>
        <v>15</v>
      </c>
      <c r="K122">
        <f t="shared" si="6"/>
        <v>85</v>
      </c>
      <c r="L122" s="23">
        <f t="shared" si="7"/>
        <v>70</v>
      </c>
    </row>
    <row r="123" spans="1:13" x14ac:dyDescent="0.25">
      <c r="A123" s="13" t="s">
        <v>769</v>
      </c>
      <c r="B123" s="2">
        <v>1</v>
      </c>
      <c r="C123" s="2" t="s">
        <v>769</v>
      </c>
      <c r="D123" s="2">
        <v>1</v>
      </c>
      <c r="E123" s="17"/>
      <c r="F123" s="17"/>
      <c r="H123" s="4"/>
      <c r="I123">
        <f t="shared" si="4"/>
        <v>1</v>
      </c>
      <c r="J123">
        <f t="shared" si="5"/>
        <v>15</v>
      </c>
      <c r="K123">
        <f t="shared" si="6"/>
        <v>85</v>
      </c>
      <c r="L123" s="23">
        <f t="shared" si="7"/>
        <v>70</v>
      </c>
    </row>
    <row r="124" spans="1:13" x14ac:dyDescent="0.25">
      <c r="A124" s="13" t="s">
        <v>772</v>
      </c>
      <c r="B124" s="2">
        <v>2</v>
      </c>
      <c r="C124" s="2" t="s">
        <v>772</v>
      </c>
      <c r="D124" s="2">
        <v>2</v>
      </c>
      <c r="E124" s="17"/>
      <c r="F124" s="17"/>
      <c r="H124" s="4"/>
      <c r="I124">
        <f t="shared" si="4"/>
        <v>2</v>
      </c>
      <c r="J124">
        <f t="shared" si="5"/>
        <v>15</v>
      </c>
      <c r="K124">
        <f t="shared" si="6"/>
        <v>85</v>
      </c>
      <c r="L124" s="23">
        <f t="shared" si="7"/>
        <v>70</v>
      </c>
    </row>
    <row r="125" spans="1:13" ht="75" x14ac:dyDescent="0.25">
      <c r="A125" s="30" t="s">
        <v>776</v>
      </c>
      <c r="B125" s="26">
        <v>75</v>
      </c>
      <c r="C125" s="26" t="s">
        <v>776</v>
      </c>
      <c r="D125" s="26">
        <v>75</v>
      </c>
      <c r="E125" s="24" t="s">
        <v>2021</v>
      </c>
      <c r="F125" s="24" t="s">
        <v>2021</v>
      </c>
      <c r="G125" s="20">
        <v>16</v>
      </c>
      <c r="H125" s="29" t="s">
        <v>2030</v>
      </c>
      <c r="I125" s="20">
        <f t="shared" si="4"/>
        <v>91</v>
      </c>
      <c r="J125" s="20">
        <v>0</v>
      </c>
      <c r="K125" s="20">
        <f t="shared" si="6"/>
        <v>99</v>
      </c>
      <c r="L125" s="31">
        <f>ROUND((K125-J125)/MAX(1,I125-1),2)</f>
        <v>1.1000000000000001</v>
      </c>
      <c r="M125">
        <f>J125+MAX(1,I125-1)*L125</f>
        <v>99.000000000000014</v>
      </c>
    </row>
    <row r="126" spans="1:13" x14ac:dyDescent="0.25">
      <c r="A126" s="13" t="s">
        <v>836</v>
      </c>
      <c r="B126" s="2">
        <v>9</v>
      </c>
      <c r="C126" s="2" t="s">
        <v>836</v>
      </c>
      <c r="D126" s="2">
        <v>9</v>
      </c>
      <c r="E126" s="17"/>
      <c r="F126" s="17"/>
      <c r="H126" s="4"/>
      <c r="I126">
        <f t="shared" si="4"/>
        <v>9</v>
      </c>
      <c r="J126">
        <f t="shared" si="5"/>
        <v>15</v>
      </c>
      <c r="K126">
        <f t="shared" si="6"/>
        <v>85</v>
      </c>
      <c r="L126" s="23">
        <f t="shared" si="7"/>
        <v>8.8000000000000007</v>
      </c>
    </row>
    <row r="127" spans="1:13" x14ac:dyDescent="0.25">
      <c r="A127" s="13" t="s">
        <v>846</v>
      </c>
      <c r="B127" s="2">
        <v>1</v>
      </c>
      <c r="C127" s="2" t="s">
        <v>846</v>
      </c>
      <c r="D127" s="2">
        <v>1</v>
      </c>
      <c r="E127" s="17"/>
      <c r="F127" s="17"/>
      <c r="H127" s="4"/>
      <c r="I127">
        <f t="shared" si="4"/>
        <v>1</v>
      </c>
      <c r="J127">
        <f t="shared" si="5"/>
        <v>15</v>
      </c>
      <c r="K127">
        <f t="shared" si="6"/>
        <v>85</v>
      </c>
      <c r="L127" s="23">
        <f t="shared" si="7"/>
        <v>70</v>
      </c>
    </row>
    <row r="128" spans="1:13" x14ac:dyDescent="0.25">
      <c r="A128" s="13" t="s">
        <v>849</v>
      </c>
      <c r="B128" s="2">
        <v>1</v>
      </c>
      <c r="C128" s="2" t="s">
        <v>849</v>
      </c>
      <c r="D128" s="2">
        <v>1</v>
      </c>
      <c r="E128" s="17"/>
      <c r="F128" s="17"/>
      <c r="H128" s="4"/>
      <c r="I128">
        <f t="shared" si="4"/>
        <v>1</v>
      </c>
      <c r="J128">
        <f t="shared" si="5"/>
        <v>15</v>
      </c>
      <c r="K128">
        <f t="shared" si="6"/>
        <v>85</v>
      </c>
      <c r="L128" s="23">
        <f t="shared" si="7"/>
        <v>70</v>
      </c>
    </row>
    <row r="129" spans="1:12" x14ac:dyDescent="0.25">
      <c r="A129" s="13" t="s">
        <v>852</v>
      </c>
      <c r="B129" s="2">
        <v>1</v>
      </c>
      <c r="C129" s="2" t="s">
        <v>852</v>
      </c>
      <c r="D129" s="2">
        <v>1</v>
      </c>
      <c r="E129" s="17"/>
      <c r="F129" s="17"/>
      <c r="H129" s="4"/>
      <c r="I129">
        <f t="shared" si="4"/>
        <v>1</v>
      </c>
      <c r="J129">
        <f t="shared" si="5"/>
        <v>15</v>
      </c>
      <c r="K129">
        <f t="shared" si="6"/>
        <v>85</v>
      </c>
      <c r="L129" s="23">
        <f t="shared" si="7"/>
        <v>70</v>
      </c>
    </row>
    <row r="130" spans="1:12" x14ac:dyDescent="0.25">
      <c r="A130" s="13" t="s">
        <v>855</v>
      </c>
      <c r="B130" s="2">
        <v>1</v>
      </c>
      <c r="C130" s="2" t="s">
        <v>855</v>
      </c>
      <c r="D130" s="2">
        <v>1</v>
      </c>
      <c r="E130" s="17"/>
      <c r="F130" s="17"/>
      <c r="H130" s="4"/>
      <c r="I130">
        <f t="shared" si="4"/>
        <v>1</v>
      </c>
      <c r="J130">
        <f t="shared" si="5"/>
        <v>15</v>
      </c>
      <c r="K130">
        <f t="shared" si="6"/>
        <v>85</v>
      </c>
      <c r="L130" s="23">
        <f t="shared" si="7"/>
        <v>70</v>
      </c>
    </row>
    <row r="131" spans="1:12" x14ac:dyDescent="0.25">
      <c r="A131" s="13" t="s">
        <v>858</v>
      </c>
      <c r="B131" s="2">
        <v>1</v>
      </c>
      <c r="C131" s="2" t="s">
        <v>858</v>
      </c>
      <c r="D131" s="2">
        <v>1</v>
      </c>
      <c r="E131" s="17"/>
      <c r="F131" s="17"/>
      <c r="H131" s="4"/>
      <c r="I131">
        <f t="shared" si="4"/>
        <v>1</v>
      </c>
      <c r="J131">
        <f t="shared" si="5"/>
        <v>15</v>
      </c>
      <c r="K131">
        <f t="shared" si="6"/>
        <v>85</v>
      </c>
      <c r="L131" s="23">
        <f t="shared" si="7"/>
        <v>70</v>
      </c>
    </row>
    <row r="132" spans="1:12" x14ac:dyDescent="0.25">
      <c r="A132" s="13" t="s">
        <v>861</v>
      </c>
      <c r="B132" s="2">
        <v>1</v>
      </c>
      <c r="C132" s="2" t="s">
        <v>861</v>
      </c>
      <c r="D132" s="2">
        <v>1</v>
      </c>
      <c r="E132" s="17"/>
      <c r="F132" s="17"/>
      <c r="H132" s="4"/>
      <c r="I132">
        <f t="shared" si="4"/>
        <v>1</v>
      </c>
      <c r="J132">
        <f t="shared" si="5"/>
        <v>15</v>
      </c>
      <c r="K132">
        <f t="shared" si="6"/>
        <v>85</v>
      </c>
      <c r="L132" s="23">
        <f t="shared" si="7"/>
        <v>70</v>
      </c>
    </row>
    <row r="133" spans="1:12" x14ac:dyDescent="0.25">
      <c r="A133" s="13" t="s">
        <v>864</v>
      </c>
      <c r="B133" s="2">
        <v>1</v>
      </c>
      <c r="C133" s="2" t="s">
        <v>864</v>
      </c>
      <c r="D133" s="2">
        <v>1</v>
      </c>
      <c r="E133" s="17"/>
      <c r="F133" s="17"/>
      <c r="H133" s="4"/>
      <c r="I133">
        <f t="shared" ref="I133:I196" si="8">D133+G133</f>
        <v>1</v>
      </c>
      <c r="J133">
        <f t="shared" ref="J133:J196" si="9">IF(E133="Y",1,15)</f>
        <v>15</v>
      </c>
      <c r="K133">
        <f t="shared" ref="K133:K196" si="10">IF(F133="Y",99,85)</f>
        <v>85</v>
      </c>
      <c r="L133" s="23">
        <f t="shared" ref="L133:L196" si="11">ROUND((K133-J133)/MAX(1,I133-1),1)</f>
        <v>70</v>
      </c>
    </row>
    <row r="134" spans="1:12" x14ac:dyDescent="0.25">
      <c r="A134" s="13" t="s">
        <v>867</v>
      </c>
      <c r="B134" s="2">
        <v>1</v>
      </c>
      <c r="C134" s="2" t="s">
        <v>867</v>
      </c>
      <c r="D134" s="2">
        <v>1</v>
      </c>
      <c r="E134" s="17"/>
      <c r="F134" s="17"/>
      <c r="H134" s="4"/>
      <c r="I134">
        <f t="shared" si="8"/>
        <v>1</v>
      </c>
      <c r="J134">
        <f t="shared" si="9"/>
        <v>15</v>
      </c>
      <c r="K134">
        <f t="shared" si="10"/>
        <v>85</v>
      </c>
      <c r="L134" s="23">
        <f t="shared" si="11"/>
        <v>70</v>
      </c>
    </row>
    <row r="135" spans="1:12" x14ac:dyDescent="0.25">
      <c r="A135" s="13" t="s">
        <v>870</v>
      </c>
      <c r="B135" s="2">
        <v>1</v>
      </c>
      <c r="C135" s="2" t="s">
        <v>870</v>
      </c>
      <c r="D135" s="2">
        <v>1</v>
      </c>
      <c r="E135" s="17"/>
      <c r="F135" s="17"/>
      <c r="H135" s="4"/>
      <c r="I135">
        <f t="shared" si="8"/>
        <v>1</v>
      </c>
      <c r="J135">
        <f t="shared" si="9"/>
        <v>15</v>
      </c>
      <c r="K135">
        <f t="shared" si="10"/>
        <v>85</v>
      </c>
      <c r="L135" s="23">
        <f t="shared" si="11"/>
        <v>70</v>
      </c>
    </row>
    <row r="136" spans="1:12" x14ac:dyDescent="0.25">
      <c r="A136" s="13" t="s">
        <v>873</v>
      </c>
      <c r="B136" s="2">
        <v>1</v>
      </c>
      <c r="C136" s="2" t="s">
        <v>873</v>
      </c>
      <c r="D136" s="2">
        <v>1</v>
      </c>
      <c r="E136" s="17"/>
      <c r="F136" s="17"/>
      <c r="H136" s="4"/>
      <c r="I136">
        <f t="shared" si="8"/>
        <v>1</v>
      </c>
      <c r="J136">
        <f t="shared" si="9"/>
        <v>15</v>
      </c>
      <c r="K136">
        <f t="shared" si="10"/>
        <v>85</v>
      </c>
      <c r="L136" s="23">
        <f t="shared" si="11"/>
        <v>70</v>
      </c>
    </row>
    <row r="137" spans="1:12" x14ac:dyDescent="0.25">
      <c r="A137" s="13" t="s">
        <v>876</v>
      </c>
      <c r="B137" s="2">
        <v>1</v>
      </c>
      <c r="C137" s="2" t="s">
        <v>876</v>
      </c>
      <c r="D137" s="2">
        <v>1</v>
      </c>
      <c r="E137" s="17"/>
      <c r="F137" s="17"/>
      <c r="H137" s="4"/>
      <c r="I137">
        <f t="shared" si="8"/>
        <v>1</v>
      </c>
      <c r="J137">
        <f t="shared" si="9"/>
        <v>15</v>
      </c>
      <c r="K137">
        <f t="shared" si="10"/>
        <v>85</v>
      </c>
      <c r="L137" s="23">
        <f t="shared" si="11"/>
        <v>70</v>
      </c>
    </row>
    <row r="138" spans="1:12" x14ac:dyDescent="0.25">
      <c r="A138" s="13" t="s">
        <v>879</v>
      </c>
      <c r="B138" s="2">
        <v>2</v>
      </c>
      <c r="C138" s="2" t="s">
        <v>879</v>
      </c>
      <c r="D138" s="2">
        <v>2</v>
      </c>
      <c r="E138" s="17"/>
      <c r="F138" s="17"/>
      <c r="H138" s="4"/>
      <c r="I138">
        <f t="shared" si="8"/>
        <v>2</v>
      </c>
      <c r="J138">
        <f t="shared" si="9"/>
        <v>15</v>
      </c>
      <c r="K138">
        <f t="shared" si="10"/>
        <v>85</v>
      </c>
      <c r="L138" s="23">
        <f t="shared" si="11"/>
        <v>70</v>
      </c>
    </row>
    <row r="139" spans="1:12" x14ac:dyDescent="0.25">
      <c r="A139" s="13" t="s">
        <v>884</v>
      </c>
      <c r="B139" s="2">
        <v>1</v>
      </c>
      <c r="C139" s="2" t="s">
        <v>884</v>
      </c>
      <c r="D139" s="2">
        <v>1</v>
      </c>
      <c r="E139" s="17"/>
      <c r="F139" s="17"/>
      <c r="H139" s="4"/>
      <c r="I139">
        <f t="shared" si="8"/>
        <v>1</v>
      </c>
      <c r="J139">
        <f t="shared" si="9"/>
        <v>15</v>
      </c>
      <c r="K139">
        <f t="shared" si="10"/>
        <v>85</v>
      </c>
      <c r="L139" s="23">
        <f t="shared" si="11"/>
        <v>70</v>
      </c>
    </row>
    <row r="140" spans="1:12" x14ac:dyDescent="0.25">
      <c r="A140" s="13" t="s">
        <v>887</v>
      </c>
      <c r="B140" s="2">
        <v>1</v>
      </c>
      <c r="C140" s="2" t="s">
        <v>887</v>
      </c>
      <c r="D140" s="2">
        <v>1</v>
      </c>
      <c r="E140" s="17"/>
      <c r="F140" s="17"/>
      <c r="H140" s="4"/>
      <c r="I140">
        <f t="shared" si="8"/>
        <v>1</v>
      </c>
      <c r="J140">
        <f t="shared" si="9"/>
        <v>15</v>
      </c>
      <c r="K140">
        <f t="shared" si="10"/>
        <v>85</v>
      </c>
      <c r="L140" s="23">
        <f t="shared" si="11"/>
        <v>70</v>
      </c>
    </row>
    <row r="141" spans="1:12" x14ac:dyDescent="0.25">
      <c r="A141" s="13" t="s">
        <v>888</v>
      </c>
      <c r="B141" s="2">
        <v>4</v>
      </c>
      <c r="C141" s="2" t="s">
        <v>888</v>
      </c>
      <c r="D141" s="2">
        <v>4</v>
      </c>
      <c r="E141" s="17"/>
      <c r="F141" s="17"/>
      <c r="H141" s="4"/>
      <c r="I141">
        <f t="shared" si="8"/>
        <v>4</v>
      </c>
      <c r="J141">
        <f t="shared" si="9"/>
        <v>15</v>
      </c>
      <c r="K141">
        <f t="shared" si="10"/>
        <v>85</v>
      </c>
      <c r="L141" s="23">
        <f t="shared" si="11"/>
        <v>23.3</v>
      </c>
    </row>
    <row r="142" spans="1:12" x14ac:dyDescent="0.25">
      <c r="A142" s="13" t="s">
        <v>894</v>
      </c>
      <c r="B142" s="2">
        <v>2</v>
      </c>
      <c r="C142" s="2" t="s">
        <v>894</v>
      </c>
      <c r="D142" s="2">
        <v>2</v>
      </c>
      <c r="E142" s="17"/>
      <c r="F142" s="17"/>
      <c r="H142" s="4"/>
      <c r="I142">
        <f t="shared" si="8"/>
        <v>2</v>
      </c>
      <c r="J142">
        <f t="shared" si="9"/>
        <v>15</v>
      </c>
      <c r="K142">
        <f t="shared" si="10"/>
        <v>85</v>
      </c>
      <c r="L142" s="23">
        <f t="shared" si="11"/>
        <v>70</v>
      </c>
    </row>
    <row r="143" spans="1:12" x14ac:dyDescent="0.25">
      <c r="A143" s="13" t="s">
        <v>897</v>
      </c>
      <c r="B143" s="2">
        <v>2</v>
      </c>
      <c r="C143" s="2" t="s">
        <v>897</v>
      </c>
      <c r="D143" s="2">
        <v>2</v>
      </c>
      <c r="E143" s="17"/>
      <c r="F143" s="17"/>
      <c r="H143" s="4"/>
      <c r="I143">
        <f t="shared" si="8"/>
        <v>2</v>
      </c>
      <c r="J143">
        <f t="shared" si="9"/>
        <v>15</v>
      </c>
      <c r="K143">
        <f t="shared" si="10"/>
        <v>85</v>
      </c>
      <c r="L143" s="23">
        <f t="shared" si="11"/>
        <v>70</v>
      </c>
    </row>
    <row r="144" spans="1:12" x14ac:dyDescent="0.25">
      <c r="A144" s="13" t="s">
        <v>900</v>
      </c>
      <c r="B144" s="2">
        <v>1</v>
      </c>
      <c r="C144" s="2" t="s">
        <v>900</v>
      </c>
      <c r="D144" s="2">
        <v>1</v>
      </c>
      <c r="E144" s="17"/>
      <c r="F144" s="17" t="s">
        <v>2021</v>
      </c>
      <c r="H144" s="4"/>
      <c r="I144">
        <f t="shared" si="8"/>
        <v>1</v>
      </c>
      <c r="J144">
        <f t="shared" si="9"/>
        <v>15</v>
      </c>
      <c r="K144">
        <f t="shared" si="10"/>
        <v>99</v>
      </c>
      <c r="L144" s="23">
        <f t="shared" si="11"/>
        <v>84</v>
      </c>
    </row>
    <row r="145" spans="1:13" x14ac:dyDescent="0.25">
      <c r="A145" s="13" t="s">
        <v>902</v>
      </c>
      <c r="B145" s="2">
        <v>2</v>
      </c>
      <c r="C145" s="2" t="s">
        <v>902</v>
      </c>
      <c r="D145" s="2">
        <v>2</v>
      </c>
      <c r="E145" s="17"/>
      <c r="F145" s="17"/>
      <c r="G145">
        <v>1</v>
      </c>
      <c r="H145" s="4" t="s">
        <v>2023</v>
      </c>
      <c r="I145">
        <f t="shared" si="8"/>
        <v>3</v>
      </c>
      <c r="J145">
        <f t="shared" si="9"/>
        <v>15</v>
      </c>
      <c r="K145">
        <f t="shared" si="10"/>
        <v>85</v>
      </c>
      <c r="L145" s="23">
        <f t="shared" si="11"/>
        <v>35</v>
      </c>
    </row>
    <row r="146" spans="1:13" x14ac:dyDescent="0.25">
      <c r="A146" s="13" t="s">
        <v>907</v>
      </c>
      <c r="B146" s="2">
        <v>1</v>
      </c>
      <c r="C146" s="2" t="s">
        <v>907</v>
      </c>
      <c r="D146" s="2">
        <v>1</v>
      </c>
      <c r="E146" s="17"/>
      <c r="F146" s="17"/>
      <c r="H146" s="4"/>
      <c r="I146">
        <f t="shared" si="8"/>
        <v>1</v>
      </c>
      <c r="J146">
        <f t="shared" si="9"/>
        <v>15</v>
      </c>
      <c r="K146">
        <f t="shared" si="10"/>
        <v>85</v>
      </c>
      <c r="L146" s="23">
        <f t="shared" si="11"/>
        <v>70</v>
      </c>
    </row>
    <row r="147" spans="1:13" x14ac:dyDescent="0.25">
      <c r="A147" s="13" t="s">
        <v>910</v>
      </c>
      <c r="B147" s="2">
        <v>2</v>
      </c>
      <c r="C147" s="2" t="s">
        <v>910</v>
      </c>
      <c r="D147" s="2">
        <v>2</v>
      </c>
      <c r="E147" s="17"/>
      <c r="F147" s="17"/>
      <c r="H147" s="4"/>
      <c r="I147">
        <f t="shared" si="8"/>
        <v>2</v>
      </c>
      <c r="J147">
        <f t="shared" si="9"/>
        <v>15</v>
      </c>
      <c r="K147">
        <f t="shared" si="10"/>
        <v>85</v>
      </c>
      <c r="L147" s="23">
        <f t="shared" si="11"/>
        <v>70</v>
      </c>
    </row>
    <row r="148" spans="1:13" x14ac:dyDescent="0.25">
      <c r="A148" s="13" t="s">
        <v>914</v>
      </c>
      <c r="B148" s="2">
        <v>1</v>
      </c>
      <c r="C148" s="2" t="s">
        <v>914</v>
      </c>
      <c r="D148" s="2">
        <v>1</v>
      </c>
      <c r="E148" s="17"/>
      <c r="F148" s="17"/>
      <c r="H148" s="4"/>
      <c r="I148">
        <f t="shared" si="8"/>
        <v>1</v>
      </c>
      <c r="J148">
        <f t="shared" si="9"/>
        <v>15</v>
      </c>
      <c r="K148">
        <f t="shared" si="10"/>
        <v>85</v>
      </c>
      <c r="L148" s="23">
        <f t="shared" si="11"/>
        <v>70</v>
      </c>
    </row>
    <row r="149" spans="1:13" x14ac:dyDescent="0.25">
      <c r="A149" s="30" t="s">
        <v>917</v>
      </c>
      <c r="B149" s="26">
        <v>26</v>
      </c>
      <c r="C149" s="26" t="s">
        <v>917</v>
      </c>
      <c r="D149" s="26">
        <v>26</v>
      </c>
      <c r="E149" s="24"/>
      <c r="F149" s="24" t="s">
        <v>2021</v>
      </c>
      <c r="G149" s="20">
        <v>1</v>
      </c>
      <c r="H149" s="29" t="s">
        <v>2025</v>
      </c>
      <c r="I149" s="20">
        <f t="shared" si="8"/>
        <v>27</v>
      </c>
      <c r="J149" s="20">
        <f t="shared" si="9"/>
        <v>15</v>
      </c>
      <c r="K149" s="20">
        <f t="shared" si="10"/>
        <v>99</v>
      </c>
      <c r="L149" s="32">
        <f t="shared" si="11"/>
        <v>3.2</v>
      </c>
      <c r="M149">
        <f>J149+MAX(1,I149-1)*L149</f>
        <v>98.2</v>
      </c>
    </row>
    <row r="150" spans="1:13" x14ac:dyDescent="0.25">
      <c r="A150" s="13" t="s">
        <v>938</v>
      </c>
      <c r="B150" s="2">
        <v>2</v>
      </c>
      <c r="C150" s="2" t="s">
        <v>938</v>
      </c>
      <c r="D150" s="2">
        <v>2</v>
      </c>
      <c r="E150" s="17"/>
      <c r="F150" s="17"/>
      <c r="H150" s="4"/>
      <c r="I150">
        <f t="shared" si="8"/>
        <v>2</v>
      </c>
      <c r="J150">
        <f t="shared" si="9"/>
        <v>15</v>
      </c>
      <c r="K150">
        <f t="shared" si="10"/>
        <v>85</v>
      </c>
      <c r="L150" s="23">
        <f t="shared" si="11"/>
        <v>70</v>
      </c>
    </row>
    <row r="151" spans="1:13" x14ac:dyDescent="0.25">
      <c r="A151" s="13" t="s">
        <v>942</v>
      </c>
      <c r="B151" s="2">
        <v>2</v>
      </c>
      <c r="C151" s="2" t="s">
        <v>942</v>
      </c>
      <c r="D151" s="2">
        <v>2</v>
      </c>
      <c r="E151" s="17"/>
      <c r="F151" s="17"/>
      <c r="H151" s="4"/>
      <c r="I151">
        <f t="shared" si="8"/>
        <v>2</v>
      </c>
      <c r="J151">
        <f t="shared" si="9"/>
        <v>15</v>
      </c>
      <c r="K151">
        <f t="shared" si="10"/>
        <v>85</v>
      </c>
      <c r="L151" s="23">
        <f t="shared" si="11"/>
        <v>70</v>
      </c>
    </row>
    <row r="152" spans="1:13" x14ac:dyDescent="0.25">
      <c r="A152" s="13" t="s">
        <v>946</v>
      </c>
      <c r="B152" s="2">
        <v>1</v>
      </c>
      <c r="C152" s="2" t="s">
        <v>946</v>
      </c>
      <c r="D152" s="2">
        <v>1</v>
      </c>
      <c r="E152" s="17"/>
      <c r="F152" s="17"/>
      <c r="H152" s="4"/>
      <c r="I152">
        <f t="shared" si="8"/>
        <v>1</v>
      </c>
      <c r="J152">
        <f t="shared" si="9"/>
        <v>15</v>
      </c>
      <c r="K152">
        <f t="shared" si="10"/>
        <v>85</v>
      </c>
      <c r="L152" s="23">
        <f t="shared" si="11"/>
        <v>70</v>
      </c>
    </row>
    <row r="153" spans="1:13" x14ac:dyDescent="0.25">
      <c r="A153" s="13" t="s">
        <v>951</v>
      </c>
      <c r="B153" s="2">
        <v>1</v>
      </c>
      <c r="C153" s="2" t="s">
        <v>951</v>
      </c>
      <c r="D153" s="2">
        <v>1</v>
      </c>
      <c r="E153" s="17"/>
      <c r="F153" s="17"/>
      <c r="H153" s="4"/>
      <c r="I153">
        <f t="shared" si="8"/>
        <v>1</v>
      </c>
      <c r="J153">
        <f t="shared" si="9"/>
        <v>15</v>
      </c>
      <c r="K153">
        <f t="shared" si="10"/>
        <v>85</v>
      </c>
      <c r="L153" s="23">
        <f t="shared" si="11"/>
        <v>70</v>
      </c>
    </row>
    <row r="154" spans="1:13" x14ac:dyDescent="0.25">
      <c r="A154" s="13" t="s">
        <v>954</v>
      </c>
      <c r="B154" s="2">
        <v>1</v>
      </c>
      <c r="C154" s="2" t="s">
        <v>954</v>
      </c>
      <c r="D154" s="2">
        <v>1</v>
      </c>
      <c r="E154" s="17"/>
      <c r="F154" s="17"/>
      <c r="H154" s="4"/>
      <c r="I154">
        <f t="shared" si="8"/>
        <v>1</v>
      </c>
      <c r="J154">
        <f t="shared" si="9"/>
        <v>15</v>
      </c>
      <c r="K154">
        <f t="shared" si="10"/>
        <v>85</v>
      </c>
      <c r="L154" s="23">
        <f t="shared" si="11"/>
        <v>70</v>
      </c>
    </row>
    <row r="155" spans="1:13" x14ac:dyDescent="0.25">
      <c r="A155" s="13" t="s">
        <v>957</v>
      </c>
      <c r="B155" s="2">
        <v>3</v>
      </c>
      <c r="C155" s="2" t="s">
        <v>957</v>
      </c>
      <c r="D155" s="2">
        <v>3</v>
      </c>
      <c r="E155" s="17"/>
      <c r="F155" s="17"/>
      <c r="H155" s="4"/>
      <c r="I155">
        <f t="shared" si="8"/>
        <v>3</v>
      </c>
      <c r="J155">
        <f t="shared" si="9"/>
        <v>15</v>
      </c>
      <c r="K155">
        <f t="shared" si="10"/>
        <v>85</v>
      </c>
      <c r="L155" s="23">
        <f t="shared" si="11"/>
        <v>35</v>
      </c>
    </row>
    <row r="156" spans="1:13" x14ac:dyDescent="0.25">
      <c r="A156" s="13" t="s">
        <v>966</v>
      </c>
      <c r="B156" s="2">
        <v>6</v>
      </c>
      <c r="C156" s="2" t="s">
        <v>966</v>
      </c>
      <c r="D156" s="2">
        <v>6</v>
      </c>
      <c r="E156" s="17"/>
      <c r="F156" s="17"/>
      <c r="G156">
        <v>8</v>
      </c>
      <c r="H156" s="4" t="s">
        <v>4445</v>
      </c>
      <c r="I156">
        <f t="shared" si="8"/>
        <v>14</v>
      </c>
      <c r="J156">
        <f t="shared" si="9"/>
        <v>15</v>
      </c>
      <c r="K156">
        <f t="shared" si="10"/>
        <v>85</v>
      </c>
      <c r="L156" s="23">
        <f t="shared" si="11"/>
        <v>5.4</v>
      </c>
    </row>
    <row r="157" spans="1:13" x14ac:dyDescent="0.25">
      <c r="A157" s="13" t="s">
        <v>973</v>
      </c>
      <c r="B157" s="2">
        <v>1</v>
      </c>
      <c r="C157" s="2" t="s">
        <v>973</v>
      </c>
      <c r="D157" s="2">
        <v>1</v>
      </c>
      <c r="E157" s="17" t="s">
        <v>2021</v>
      </c>
      <c r="F157" s="17"/>
      <c r="H157" s="4"/>
      <c r="I157">
        <f t="shared" si="8"/>
        <v>1</v>
      </c>
      <c r="J157">
        <f t="shared" si="9"/>
        <v>1</v>
      </c>
      <c r="K157">
        <f t="shared" si="10"/>
        <v>85</v>
      </c>
      <c r="L157" s="23">
        <f t="shared" si="11"/>
        <v>84</v>
      </c>
    </row>
    <row r="158" spans="1:13" ht="30" x14ac:dyDescent="0.25">
      <c r="A158" s="13" t="s">
        <v>976</v>
      </c>
      <c r="B158" s="2">
        <v>2</v>
      </c>
      <c r="C158" s="2" t="s">
        <v>976</v>
      </c>
      <c r="D158" s="2">
        <v>2</v>
      </c>
      <c r="E158" s="17"/>
      <c r="F158" s="17"/>
      <c r="G158">
        <v>3</v>
      </c>
      <c r="H158" s="4" t="s">
        <v>4447</v>
      </c>
      <c r="I158">
        <f t="shared" si="8"/>
        <v>5</v>
      </c>
      <c r="J158">
        <f t="shared" si="9"/>
        <v>15</v>
      </c>
      <c r="K158">
        <f t="shared" si="10"/>
        <v>85</v>
      </c>
      <c r="L158" s="23">
        <f t="shared" si="11"/>
        <v>17.5</v>
      </c>
    </row>
    <row r="159" spans="1:13" x14ac:dyDescent="0.25">
      <c r="A159" s="13" t="s">
        <v>981</v>
      </c>
      <c r="B159" s="2">
        <v>5</v>
      </c>
      <c r="C159" s="2" t="s">
        <v>981</v>
      </c>
      <c r="D159" s="2">
        <v>5</v>
      </c>
      <c r="E159" s="17"/>
      <c r="F159" s="17"/>
      <c r="H159" s="4"/>
      <c r="I159">
        <f t="shared" si="8"/>
        <v>5</v>
      </c>
      <c r="J159">
        <f t="shared" si="9"/>
        <v>15</v>
      </c>
      <c r="K159">
        <f t="shared" si="10"/>
        <v>85</v>
      </c>
      <c r="L159" s="23">
        <f t="shared" si="11"/>
        <v>17.5</v>
      </c>
    </row>
    <row r="160" spans="1:13" x14ac:dyDescent="0.25">
      <c r="A160" s="13" t="s">
        <v>990</v>
      </c>
      <c r="B160" s="2">
        <v>12</v>
      </c>
      <c r="C160" s="2" t="s">
        <v>990</v>
      </c>
      <c r="D160" s="2">
        <v>12</v>
      </c>
      <c r="E160" s="17"/>
      <c r="F160" s="17"/>
      <c r="H160" s="4"/>
      <c r="I160">
        <f t="shared" si="8"/>
        <v>12</v>
      </c>
      <c r="J160">
        <f t="shared" si="9"/>
        <v>15</v>
      </c>
      <c r="K160">
        <f t="shared" si="10"/>
        <v>85</v>
      </c>
      <c r="L160" s="23">
        <f t="shared" si="11"/>
        <v>6.4</v>
      </c>
    </row>
    <row r="161" spans="1:12" x14ac:dyDescent="0.25">
      <c r="A161" s="13" t="s">
        <v>1002</v>
      </c>
      <c r="B161" s="2">
        <v>1</v>
      </c>
      <c r="C161" s="2" t="s">
        <v>1002</v>
      </c>
      <c r="D161" s="2">
        <v>1</v>
      </c>
      <c r="E161" s="17"/>
      <c r="F161" s="17"/>
      <c r="H161" s="4"/>
      <c r="I161">
        <f t="shared" si="8"/>
        <v>1</v>
      </c>
      <c r="J161">
        <f t="shared" si="9"/>
        <v>15</v>
      </c>
      <c r="K161">
        <f t="shared" si="10"/>
        <v>85</v>
      </c>
      <c r="L161" s="23">
        <f t="shared" si="11"/>
        <v>70</v>
      </c>
    </row>
    <row r="162" spans="1:12" x14ac:dyDescent="0.25">
      <c r="A162" s="13" t="s">
        <v>1004</v>
      </c>
      <c r="B162" s="2">
        <v>2</v>
      </c>
      <c r="C162" s="2" t="s">
        <v>1004</v>
      </c>
      <c r="D162" s="2">
        <v>2</v>
      </c>
      <c r="E162" s="17"/>
      <c r="F162" s="17"/>
      <c r="H162" s="4"/>
      <c r="I162">
        <f t="shared" si="8"/>
        <v>2</v>
      </c>
      <c r="J162">
        <f t="shared" si="9"/>
        <v>15</v>
      </c>
      <c r="K162">
        <f t="shared" si="10"/>
        <v>85</v>
      </c>
      <c r="L162" s="23">
        <f t="shared" si="11"/>
        <v>70</v>
      </c>
    </row>
    <row r="163" spans="1:12" x14ac:dyDescent="0.25">
      <c r="A163" s="13" t="s">
        <v>1008</v>
      </c>
      <c r="B163" s="2">
        <v>2</v>
      </c>
      <c r="C163" s="2" t="s">
        <v>1008</v>
      </c>
      <c r="D163" s="2">
        <v>2</v>
      </c>
      <c r="E163" s="17"/>
      <c r="F163" s="17"/>
      <c r="H163" s="4"/>
      <c r="I163">
        <f t="shared" si="8"/>
        <v>2</v>
      </c>
      <c r="J163">
        <f t="shared" si="9"/>
        <v>15</v>
      </c>
      <c r="K163">
        <f t="shared" si="10"/>
        <v>85</v>
      </c>
      <c r="L163" s="23">
        <f t="shared" si="11"/>
        <v>70</v>
      </c>
    </row>
    <row r="164" spans="1:12" x14ac:dyDescent="0.25">
      <c r="A164" s="13" t="s">
        <v>1011</v>
      </c>
      <c r="B164" s="2">
        <v>1</v>
      </c>
      <c r="C164" s="2" t="s">
        <v>1011</v>
      </c>
      <c r="D164" s="2">
        <v>1</v>
      </c>
      <c r="E164" s="17"/>
      <c r="F164" s="17"/>
      <c r="H164" s="4"/>
      <c r="I164">
        <f t="shared" si="8"/>
        <v>1</v>
      </c>
      <c r="J164">
        <f t="shared" si="9"/>
        <v>15</v>
      </c>
      <c r="K164">
        <f t="shared" si="10"/>
        <v>85</v>
      </c>
      <c r="L164" s="23">
        <f t="shared" si="11"/>
        <v>70</v>
      </c>
    </row>
    <row r="165" spans="1:12" x14ac:dyDescent="0.25">
      <c r="A165" s="13" t="s">
        <v>1014</v>
      </c>
      <c r="B165" s="2">
        <v>5</v>
      </c>
      <c r="C165" s="2" t="s">
        <v>1014</v>
      </c>
      <c r="D165" s="2">
        <v>5</v>
      </c>
      <c r="E165" s="17"/>
      <c r="F165" s="17" t="s">
        <v>2021</v>
      </c>
      <c r="H165" s="4"/>
      <c r="I165">
        <f t="shared" si="8"/>
        <v>5</v>
      </c>
      <c r="J165">
        <f t="shared" si="9"/>
        <v>15</v>
      </c>
      <c r="K165">
        <f t="shared" si="10"/>
        <v>99</v>
      </c>
      <c r="L165" s="23">
        <f t="shared" si="11"/>
        <v>21</v>
      </c>
    </row>
    <row r="166" spans="1:12" x14ac:dyDescent="0.25">
      <c r="A166" s="13" t="s">
        <v>1018</v>
      </c>
      <c r="B166" s="2">
        <v>2</v>
      </c>
      <c r="C166" s="2" t="s">
        <v>1018</v>
      </c>
      <c r="D166" s="2">
        <v>2</v>
      </c>
      <c r="E166" s="17"/>
      <c r="F166" s="17"/>
      <c r="H166" s="4"/>
      <c r="I166">
        <f t="shared" si="8"/>
        <v>2</v>
      </c>
      <c r="J166">
        <f t="shared" si="9"/>
        <v>15</v>
      </c>
      <c r="K166">
        <f t="shared" si="10"/>
        <v>85</v>
      </c>
      <c r="L166" s="23">
        <f t="shared" si="11"/>
        <v>70</v>
      </c>
    </row>
    <row r="167" spans="1:12" x14ac:dyDescent="0.25">
      <c r="A167" s="13" t="s">
        <v>1022</v>
      </c>
      <c r="B167" s="2">
        <v>1</v>
      </c>
      <c r="C167" s="2" t="s">
        <v>1022</v>
      </c>
      <c r="D167" s="2">
        <v>1</v>
      </c>
      <c r="E167" s="17"/>
      <c r="F167" s="17"/>
      <c r="H167" s="4"/>
      <c r="I167">
        <f t="shared" si="8"/>
        <v>1</v>
      </c>
      <c r="J167">
        <f t="shared" si="9"/>
        <v>15</v>
      </c>
      <c r="K167">
        <f t="shared" si="10"/>
        <v>85</v>
      </c>
      <c r="L167" s="23">
        <f t="shared" si="11"/>
        <v>70</v>
      </c>
    </row>
    <row r="168" spans="1:12" x14ac:dyDescent="0.25">
      <c r="A168" s="13" t="s">
        <v>1025</v>
      </c>
      <c r="B168" s="2">
        <v>6</v>
      </c>
      <c r="C168" s="2" t="s">
        <v>1025</v>
      </c>
      <c r="D168" s="2">
        <v>6</v>
      </c>
      <c r="E168" s="17"/>
      <c r="F168" s="17"/>
      <c r="H168" s="4"/>
      <c r="I168">
        <f t="shared" si="8"/>
        <v>6</v>
      </c>
      <c r="J168">
        <f t="shared" si="9"/>
        <v>15</v>
      </c>
      <c r="K168">
        <f t="shared" si="10"/>
        <v>85</v>
      </c>
      <c r="L168" s="23">
        <f t="shared" si="11"/>
        <v>14</v>
      </c>
    </row>
    <row r="169" spans="1:12" x14ac:dyDescent="0.25">
      <c r="A169" s="13" t="s">
        <v>1034</v>
      </c>
      <c r="B169" s="2">
        <v>1</v>
      </c>
      <c r="C169" s="2" t="s">
        <v>1034</v>
      </c>
      <c r="D169" s="2">
        <v>1</v>
      </c>
      <c r="E169" s="17"/>
      <c r="F169" s="17"/>
      <c r="H169" s="4"/>
      <c r="I169">
        <f t="shared" si="8"/>
        <v>1</v>
      </c>
      <c r="J169">
        <f t="shared" si="9"/>
        <v>15</v>
      </c>
      <c r="K169">
        <f t="shared" si="10"/>
        <v>85</v>
      </c>
      <c r="L169" s="23">
        <f t="shared" si="11"/>
        <v>70</v>
      </c>
    </row>
    <row r="170" spans="1:12" x14ac:dyDescent="0.25">
      <c r="A170" s="13" t="s">
        <v>1037</v>
      </c>
      <c r="B170" s="2">
        <v>1</v>
      </c>
      <c r="C170" s="2" t="s">
        <v>1037</v>
      </c>
      <c r="D170" s="2">
        <v>1</v>
      </c>
      <c r="E170" s="17"/>
      <c r="F170" s="17"/>
      <c r="H170" s="4"/>
      <c r="I170">
        <f t="shared" si="8"/>
        <v>1</v>
      </c>
      <c r="J170">
        <f t="shared" si="9"/>
        <v>15</v>
      </c>
      <c r="K170">
        <f t="shared" si="10"/>
        <v>85</v>
      </c>
      <c r="L170" s="23">
        <f t="shared" si="11"/>
        <v>70</v>
      </c>
    </row>
    <row r="171" spans="1:12" x14ac:dyDescent="0.25">
      <c r="A171" s="13" t="s">
        <v>1040</v>
      </c>
      <c r="B171" s="2">
        <v>1</v>
      </c>
      <c r="C171" s="2" t="s">
        <v>1040</v>
      </c>
      <c r="D171" s="2">
        <v>1</v>
      </c>
      <c r="E171" s="17" t="s">
        <v>2021</v>
      </c>
      <c r="F171" s="17"/>
      <c r="H171" s="4"/>
      <c r="I171">
        <f t="shared" si="8"/>
        <v>1</v>
      </c>
      <c r="J171">
        <f t="shared" si="9"/>
        <v>1</v>
      </c>
      <c r="K171">
        <f t="shared" si="10"/>
        <v>85</v>
      </c>
      <c r="L171" s="23">
        <f t="shared" si="11"/>
        <v>84</v>
      </c>
    </row>
    <row r="172" spans="1:12" x14ac:dyDescent="0.25">
      <c r="A172" s="13" t="s">
        <v>1043</v>
      </c>
      <c r="B172" s="2">
        <v>1</v>
      </c>
      <c r="C172" s="2" t="s">
        <v>1043</v>
      </c>
      <c r="D172" s="2">
        <v>1</v>
      </c>
      <c r="E172" s="17"/>
      <c r="F172" s="17"/>
      <c r="H172" s="4"/>
      <c r="I172">
        <f t="shared" si="8"/>
        <v>1</v>
      </c>
      <c r="J172">
        <f t="shared" si="9"/>
        <v>15</v>
      </c>
      <c r="K172">
        <f t="shared" si="10"/>
        <v>85</v>
      </c>
      <c r="L172" s="23">
        <f t="shared" si="11"/>
        <v>70</v>
      </c>
    </row>
    <row r="173" spans="1:12" x14ac:dyDescent="0.25">
      <c r="A173" s="13" t="s">
        <v>1045</v>
      </c>
      <c r="B173" s="2">
        <v>1</v>
      </c>
      <c r="C173" s="2" t="s">
        <v>1045</v>
      </c>
      <c r="D173" s="2">
        <v>1</v>
      </c>
      <c r="E173" s="17"/>
      <c r="F173" s="17"/>
      <c r="H173" s="4"/>
      <c r="I173">
        <f t="shared" si="8"/>
        <v>1</v>
      </c>
      <c r="J173">
        <f t="shared" si="9"/>
        <v>15</v>
      </c>
      <c r="K173">
        <f t="shared" si="10"/>
        <v>85</v>
      </c>
      <c r="L173" s="23">
        <f t="shared" si="11"/>
        <v>70</v>
      </c>
    </row>
    <row r="174" spans="1:12" x14ac:dyDescent="0.25">
      <c r="A174" s="13" t="s">
        <v>1049</v>
      </c>
      <c r="B174" s="2">
        <v>3</v>
      </c>
      <c r="C174" s="2" t="s">
        <v>1049</v>
      </c>
      <c r="D174" s="2">
        <v>3</v>
      </c>
      <c r="E174" s="17"/>
      <c r="F174" s="17"/>
      <c r="H174" s="4"/>
      <c r="I174">
        <f t="shared" si="8"/>
        <v>3</v>
      </c>
      <c r="J174">
        <f t="shared" si="9"/>
        <v>15</v>
      </c>
      <c r="K174">
        <f t="shared" si="10"/>
        <v>85</v>
      </c>
      <c r="L174" s="23">
        <f t="shared" si="11"/>
        <v>35</v>
      </c>
    </row>
    <row r="175" spans="1:12" x14ac:dyDescent="0.25">
      <c r="A175" s="13" t="s">
        <v>1058</v>
      </c>
      <c r="B175" s="2">
        <v>5</v>
      </c>
      <c r="C175" s="2" t="s">
        <v>1058</v>
      </c>
      <c r="D175" s="2">
        <v>5</v>
      </c>
      <c r="E175" s="17"/>
      <c r="F175" s="17"/>
      <c r="G175">
        <v>1</v>
      </c>
      <c r="H175" s="4" t="s">
        <v>2023</v>
      </c>
      <c r="I175">
        <f t="shared" si="8"/>
        <v>6</v>
      </c>
      <c r="J175">
        <f t="shared" si="9"/>
        <v>15</v>
      </c>
      <c r="K175">
        <f t="shared" si="10"/>
        <v>85</v>
      </c>
      <c r="L175" s="23">
        <f t="shared" si="11"/>
        <v>14</v>
      </c>
    </row>
    <row r="176" spans="1:12" x14ac:dyDescent="0.25">
      <c r="A176" s="13" t="s">
        <v>1065</v>
      </c>
      <c r="B176" s="2">
        <v>2</v>
      </c>
      <c r="C176" s="2" t="s">
        <v>1065</v>
      </c>
      <c r="D176" s="2">
        <v>2</v>
      </c>
      <c r="E176" s="17"/>
      <c r="F176" s="17"/>
      <c r="H176" s="4"/>
      <c r="I176">
        <f t="shared" si="8"/>
        <v>2</v>
      </c>
      <c r="J176">
        <f t="shared" si="9"/>
        <v>15</v>
      </c>
      <c r="K176">
        <f t="shared" si="10"/>
        <v>85</v>
      </c>
      <c r="L176" s="23">
        <f t="shared" si="11"/>
        <v>70</v>
      </c>
    </row>
    <row r="177" spans="1:12" x14ac:dyDescent="0.25">
      <c r="A177" s="13" t="s">
        <v>1070</v>
      </c>
      <c r="B177" s="2">
        <v>6</v>
      </c>
      <c r="C177" s="2" t="s">
        <v>1070</v>
      </c>
      <c r="D177" s="2">
        <v>6</v>
      </c>
      <c r="E177" s="17"/>
      <c r="F177" s="17"/>
      <c r="H177" s="4"/>
      <c r="I177">
        <f t="shared" si="8"/>
        <v>6</v>
      </c>
      <c r="J177">
        <f t="shared" si="9"/>
        <v>15</v>
      </c>
      <c r="K177">
        <f t="shared" si="10"/>
        <v>85</v>
      </c>
      <c r="L177" s="23">
        <f t="shared" si="11"/>
        <v>14</v>
      </c>
    </row>
    <row r="178" spans="1:12" x14ac:dyDescent="0.25">
      <c r="A178" s="13" t="s">
        <v>1072</v>
      </c>
      <c r="B178" s="2">
        <v>6</v>
      </c>
      <c r="C178" s="2" t="s">
        <v>1072</v>
      </c>
      <c r="D178" s="2">
        <v>6</v>
      </c>
      <c r="E178" s="17"/>
      <c r="F178" s="17"/>
      <c r="H178" s="4"/>
      <c r="I178">
        <f t="shared" si="8"/>
        <v>6</v>
      </c>
      <c r="J178">
        <f t="shared" si="9"/>
        <v>15</v>
      </c>
      <c r="K178">
        <f t="shared" si="10"/>
        <v>85</v>
      </c>
      <c r="L178" s="23">
        <f t="shared" si="11"/>
        <v>14</v>
      </c>
    </row>
    <row r="179" spans="1:12" x14ac:dyDescent="0.25">
      <c r="A179" s="13" t="s">
        <v>1081</v>
      </c>
      <c r="B179" s="2">
        <v>4</v>
      </c>
      <c r="C179" s="2" t="s">
        <v>1081</v>
      </c>
      <c r="D179" s="2">
        <v>4</v>
      </c>
      <c r="E179" s="17"/>
      <c r="F179" s="17"/>
      <c r="H179" s="4"/>
      <c r="I179">
        <f t="shared" si="8"/>
        <v>4</v>
      </c>
      <c r="J179">
        <f t="shared" si="9"/>
        <v>15</v>
      </c>
      <c r="K179">
        <f t="shared" si="10"/>
        <v>85</v>
      </c>
      <c r="L179" s="23">
        <f t="shared" si="11"/>
        <v>23.3</v>
      </c>
    </row>
    <row r="180" spans="1:12" x14ac:dyDescent="0.25">
      <c r="A180" s="13" t="s">
        <v>1087</v>
      </c>
      <c r="B180" s="2">
        <v>1</v>
      </c>
      <c r="C180" s="2" t="s">
        <v>1087</v>
      </c>
      <c r="D180" s="2">
        <v>1</v>
      </c>
      <c r="E180" s="17"/>
      <c r="F180" s="17"/>
      <c r="H180" s="4"/>
      <c r="I180">
        <f t="shared" si="8"/>
        <v>1</v>
      </c>
      <c r="J180">
        <f t="shared" si="9"/>
        <v>15</v>
      </c>
      <c r="K180">
        <f t="shared" si="10"/>
        <v>85</v>
      </c>
      <c r="L180" s="23">
        <f t="shared" si="11"/>
        <v>70</v>
      </c>
    </row>
    <row r="181" spans="1:12" x14ac:dyDescent="0.25">
      <c r="A181" s="13" t="s">
        <v>1090</v>
      </c>
      <c r="B181" s="2">
        <v>3</v>
      </c>
      <c r="C181" s="2" t="s">
        <v>1090</v>
      </c>
      <c r="D181" s="2">
        <v>3</v>
      </c>
      <c r="E181" s="17"/>
      <c r="F181" s="17" t="s">
        <v>2021</v>
      </c>
      <c r="H181" s="4"/>
      <c r="I181">
        <f t="shared" si="8"/>
        <v>3</v>
      </c>
      <c r="J181">
        <f t="shared" si="9"/>
        <v>15</v>
      </c>
      <c r="K181">
        <f t="shared" si="10"/>
        <v>99</v>
      </c>
      <c r="L181" s="23">
        <f t="shared" si="11"/>
        <v>42</v>
      </c>
    </row>
    <row r="182" spans="1:12" x14ac:dyDescent="0.25">
      <c r="A182" s="13" t="s">
        <v>1095</v>
      </c>
      <c r="B182" s="2">
        <v>1</v>
      </c>
      <c r="C182" s="2" t="s">
        <v>1095</v>
      </c>
      <c r="D182" s="2">
        <v>1</v>
      </c>
      <c r="E182" s="17"/>
      <c r="F182" s="17"/>
      <c r="H182" s="4"/>
      <c r="I182">
        <f t="shared" si="8"/>
        <v>1</v>
      </c>
      <c r="J182">
        <f t="shared" si="9"/>
        <v>15</v>
      </c>
      <c r="K182">
        <f t="shared" si="10"/>
        <v>85</v>
      </c>
      <c r="L182" s="23">
        <f t="shared" si="11"/>
        <v>70</v>
      </c>
    </row>
    <row r="183" spans="1:12" x14ac:dyDescent="0.25">
      <c r="A183" s="13" t="s">
        <v>1099</v>
      </c>
      <c r="B183" s="2">
        <v>1</v>
      </c>
      <c r="C183" s="2" t="s">
        <v>1099</v>
      </c>
      <c r="D183" s="2">
        <v>1</v>
      </c>
      <c r="E183" s="17"/>
      <c r="F183" s="17"/>
      <c r="H183" s="4"/>
      <c r="I183">
        <f t="shared" si="8"/>
        <v>1</v>
      </c>
      <c r="J183">
        <f t="shared" si="9"/>
        <v>15</v>
      </c>
      <c r="K183">
        <f t="shared" si="10"/>
        <v>85</v>
      </c>
      <c r="L183" s="23">
        <f t="shared" si="11"/>
        <v>70</v>
      </c>
    </row>
    <row r="184" spans="1:12" x14ac:dyDescent="0.25">
      <c r="A184" s="13" t="s">
        <v>1102</v>
      </c>
      <c r="B184" s="2">
        <v>1</v>
      </c>
      <c r="C184" s="2" t="s">
        <v>1102</v>
      </c>
      <c r="D184" s="2">
        <v>1</v>
      </c>
      <c r="E184" s="17"/>
      <c r="F184" s="17"/>
      <c r="H184" s="4"/>
      <c r="I184">
        <f t="shared" si="8"/>
        <v>1</v>
      </c>
      <c r="J184">
        <f t="shared" si="9"/>
        <v>15</v>
      </c>
      <c r="K184">
        <f t="shared" si="10"/>
        <v>85</v>
      </c>
      <c r="L184" s="23">
        <f t="shared" si="11"/>
        <v>70</v>
      </c>
    </row>
    <row r="185" spans="1:12" x14ac:dyDescent="0.25">
      <c r="A185" s="13" t="s">
        <v>1105</v>
      </c>
      <c r="B185" s="2">
        <v>3</v>
      </c>
      <c r="C185" s="2" t="s">
        <v>1105</v>
      </c>
      <c r="D185" s="2">
        <v>3</v>
      </c>
      <c r="E185" s="17"/>
      <c r="F185" s="17"/>
      <c r="H185" s="4"/>
      <c r="I185">
        <f t="shared" si="8"/>
        <v>3</v>
      </c>
      <c r="J185">
        <f t="shared" si="9"/>
        <v>15</v>
      </c>
      <c r="K185">
        <f t="shared" si="10"/>
        <v>85</v>
      </c>
      <c r="L185" s="23">
        <f t="shared" si="11"/>
        <v>35</v>
      </c>
    </row>
    <row r="186" spans="1:12" x14ac:dyDescent="0.25">
      <c r="A186" s="13" t="s">
        <v>1110</v>
      </c>
      <c r="B186" s="2">
        <v>2</v>
      </c>
      <c r="C186" s="2" t="s">
        <v>1110</v>
      </c>
      <c r="D186" s="2">
        <v>2</v>
      </c>
      <c r="E186" s="17"/>
      <c r="F186" s="17"/>
      <c r="H186" s="4"/>
      <c r="I186">
        <f t="shared" si="8"/>
        <v>2</v>
      </c>
      <c r="J186">
        <f t="shared" si="9"/>
        <v>15</v>
      </c>
      <c r="K186">
        <f t="shared" si="10"/>
        <v>85</v>
      </c>
      <c r="L186" s="23">
        <f t="shared" si="11"/>
        <v>70</v>
      </c>
    </row>
    <row r="187" spans="1:12" x14ac:dyDescent="0.25">
      <c r="A187" s="13" t="s">
        <v>1114</v>
      </c>
      <c r="B187" s="2">
        <v>1</v>
      </c>
      <c r="C187" s="2" t="s">
        <v>1114</v>
      </c>
      <c r="D187" s="2">
        <v>1</v>
      </c>
      <c r="E187" s="17"/>
      <c r="F187" s="17"/>
      <c r="H187" s="4"/>
      <c r="I187">
        <f t="shared" si="8"/>
        <v>1</v>
      </c>
      <c r="J187">
        <f t="shared" si="9"/>
        <v>15</v>
      </c>
      <c r="K187">
        <f t="shared" si="10"/>
        <v>85</v>
      </c>
      <c r="L187" s="23">
        <f t="shared" si="11"/>
        <v>70</v>
      </c>
    </row>
    <row r="188" spans="1:12" x14ac:dyDescent="0.25">
      <c r="A188" s="13" t="s">
        <v>1117</v>
      </c>
      <c r="B188" s="2">
        <v>4</v>
      </c>
      <c r="C188" s="2" t="s">
        <v>1117</v>
      </c>
      <c r="D188" s="2">
        <v>4</v>
      </c>
      <c r="E188" s="17"/>
      <c r="F188" s="17"/>
      <c r="H188" s="4"/>
      <c r="I188">
        <f t="shared" si="8"/>
        <v>4</v>
      </c>
      <c r="J188">
        <f t="shared" si="9"/>
        <v>15</v>
      </c>
      <c r="K188">
        <f t="shared" si="10"/>
        <v>85</v>
      </c>
      <c r="L188" s="23">
        <f t="shared" si="11"/>
        <v>23.3</v>
      </c>
    </row>
    <row r="189" spans="1:12" x14ac:dyDescent="0.25">
      <c r="A189" s="13" t="s">
        <v>1123</v>
      </c>
      <c r="B189" s="2">
        <v>1</v>
      </c>
      <c r="C189" s="2" t="s">
        <v>1123</v>
      </c>
      <c r="D189" s="2">
        <v>1</v>
      </c>
      <c r="E189" s="17"/>
      <c r="F189" s="17"/>
      <c r="H189" s="4"/>
      <c r="I189">
        <f t="shared" si="8"/>
        <v>1</v>
      </c>
      <c r="J189">
        <f t="shared" si="9"/>
        <v>15</v>
      </c>
      <c r="K189">
        <f t="shared" si="10"/>
        <v>85</v>
      </c>
      <c r="L189" s="23">
        <f t="shared" si="11"/>
        <v>70</v>
      </c>
    </row>
    <row r="190" spans="1:12" x14ac:dyDescent="0.25">
      <c r="A190" s="13" t="s">
        <v>1126</v>
      </c>
      <c r="B190" s="2">
        <v>1</v>
      </c>
      <c r="C190" s="2" t="s">
        <v>1126</v>
      </c>
      <c r="D190" s="2">
        <v>1</v>
      </c>
      <c r="E190" s="17"/>
      <c r="F190" s="17"/>
      <c r="H190" s="4"/>
      <c r="I190">
        <f t="shared" si="8"/>
        <v>1</v>
      </c>
      <c r="J190">
        <f t="shared" si="9"/>
        <v>15</v>
      </c>
      <c r="K190">
        <f t="shared" si="10"/>
        <v>85</v>
      </c>
      <c r="L190" s="23">
        <f t="shared" si="11"/>
        <v>70</v>
      </c>
    </row>
    <row r="191" spans="1:12" x14ac:dyDescent="0.25">
      <c r="A191" s="13" t="s">
        <v>1129</v>
      </c>
      <c r="B191" s="2">
        <v>2</v>
      </c>
      <c r="C191" s="2" t="s">
        <v>1129</v>
      </c>
      <c r="D191" s="2">
        <v>2</v>
      </c>
      <c r="E191" s="17"/>
      <c r="F191" s="17"/>
      <c r="H191" s="4"/>
      <c r="I191">
        <f t="shared" si="8"/>
        <v>2</v>
      </c>
      <c r="J191">
        <f t="shared" si="9"/>
        <v>15</v>
      </c>
      <c r="K191">
        <f t="shared" si="10"/>
        <v>85</v>
      </c>
      <c r="L191" s="23">
        <f t="shared" si="11"/>
        <v>70</v>
      </c>
    </row>
    <row r="192" spans="1:12" x14ac:dyDescent="0.25">
      <c r="A192" s="13" t="s">
        <v>1134</v>
      </c>
      <c r="B192" s="2">
        <v>1</v>
      </c>
      <c r="C192" s="2" t="s">
        <v>1134</v>
      </c>
      <c r="D192" s="2">
        <v>1</v>
      </c>
      <c r="E192" s="17"/>
      <c r="F192" s="17" t="s">
        <v>2021</v>
      </c>
      <c r="H192" s="4"/>
      <c r="I192">
        <f t="shared" si="8"/>
        <v>1</v>
      </c>
      <c r="J192">
        <f t="shared" si="9"/>
        <v>15</v>
      </c>
      <c r="K192">
        <f t="shared" si="10"/>
        <v>99</v>
      </c>
      <c r="L192" s="23">
        <f t="shared" si="11"/>
        <v>84</v>
      </c>
    </row>
    <row r="193" spans="1:13" x14ac:dyDescent="0.25">
      <c r="A193" s="13" t="s">
        <v>1136</v>
      </c>
      <c r="B193" s="2">
        <v>1</v>
      </c>
      <c r="C193" s="2" t="s">
        <v>1136</v>
      </c>
      <c r="D193" s="2">
        <v>1</v>
      </c>
      <c r="E193" s="17"/>
      <c r="F193" s="17"/>
      <c r="H193" s="4"/>
      <c r="I193">
        <f t="shared" si="8"/>
        <v>1</v>
      </c>
      <c r="J193">
        <f t="shared" si="9"/>
        <v>15</v>
      </c>
      <c r="K193">
        <f t="shared" si="10"/>
        <v>85</v>
      </c>
      <c r="L193" s="23">
        <f t="shared" si="11"/>
        <v>70</v>
      </c>
    </row>
    <row r="194" spans="1:13" x14ac:dyDescent="0.25">
      <c r="A194" s="13" t="s">
        <v>1140</v>
      </c>
      <c r="B194" s="2">
        <v>5</v>
      </c>
      <c r="C194" s="2" t="s">
        <v>1140</v>
      </c>
      <c r="D194" s="2">
        <v>5</v>
      </c>
      <c r="E194" s="17"/>
      <c r="F194" s="17"/>
      <c r="H194" s="4"/>
      <c r="I194">
        <f t="shared" si="8"/>
        <v>5</v>
      </c>
      <c r="J194">
        <f t="shared" si="9"/>
        <v>15</v>
      </c>
      <c r="K194">
        <f t="shared" si="10"/>
        <v>85</v>
      </c>
      <c r="L194" s="23">
        <f t="shared" si="11"/>
        <v>17.5</v>
      </c>
    </row>
    <row r="195" spans="1:13" x14ac:dyDescent="0.25">
      <c r="A195" s="13" t="s">
        <v>1155</v>
      </c>
      <c r="B195" s="2">
        <v>2</v>
      </c>
      <c r="C195" s="2" t="s">
        <v>1155</v>
      </c>
      <c r="D195" s="2">
        <v>2</v>
      </c>
      <c r="E195" s="17"/>
      <c r="F195" s="17" t="s">
        <v>2021</v>
      </c>
      <c r="H195" s="4"/>
      <c r="I195">
        <f t="shared" si="8"/>
        <v>2</v>
      </c>
      <c r="J195">
        <f t="shared" si="9"/>
        <v>15</v>
      </c>
      <c r="K195">
        <f t="shared" si="10"/>
        <v>99</v>
      </c>
      <c r="L195" s="23">
        <f t="shared" si="11"/>
        <v>84</v>
      </c>
    </row>
    <row r="196" spans="1:13" x14ac:dyDescent="0.25">
      <c r="A196" s="13" t="s">
        <v>1158</v>
      </c>
      <c r="B196" s="2">
        <v>4</v>
      </c>
      <c r="C196" s="2" t="s">
        <v>1158</v>
      </c>
      <c r="D196" s="2">
        <v>4</v>
      </c>
      <c r="E196" s="17"/>
      <c r="F196" s="17"/>
      <c r="H196" s="4"/>
      <c r="I196">
        <f t="shared" si="8"/>
        <v>4</v>
      </c>
      <c r="J196">
        <f t="shared" si="9"/>
        <v>15</v>
      </c>
      <c r="K196">
        <f t="shared" si="10"/>
        <v>85</v>
      </c>
      <c r="L196" s="23">
        <f t="shared" si="11"/>
        <v>23.3</v>
      </c>
    </row>
    <row r="197" spans="1:13" x14ac:dyDescent="0.25">
      <c r="A197" s="13" t="s">
        <v>1167</v>
      </c>
      <c r="B197" s="2">
        <v>4</v>
      </c>
      <c r="C197" s="2" t="s">
        <v>1167</v>
      </c>
      <c r="D197" s="2">
        <v>4</v>
      </c>
      <c r="E197" s="17"/>
      <c r="F197" s="22"/>
      <c r="H197" s="4"/>
      <c r="I197">
        <f t="shared" ref="I197:I260" si="12">D197+G197</f>
        <v>4</v>
      </c>
      <c r="J197">
        <f t="shared" ref="J197:J260" si="13">IF(E197="Y",1,15)</f>
        <v>15</v>
      </c>
      <c r="K197">
        <f t="shared" ref="K197:K260" si="14">IF(F197="Y",99,85)</f>
        <v>85</v>
      </c>
      <c r="L197" s="23">
        <f t="shared" ref="L197:L260" si="15">ROUND((K197-J197)/MAX(1,I197-1),1)</f>
        <v>23.3</v>
      </c>
    </row>
    <row r="198" spans="1:13" x14ac:dyDescent="0.25">
      <c r="A198" s="13" t="s">
        <v>1172</v>
      </c>
      <c r="B198" s="2">
        <v>1</v>
      </c>
      <c r="C198" s="2" t="s">
        <v>1172</v>
      </c>
      <c r="D198" s="2">
        <v>1</v>
      </c>
      <c r="E198" s="22"/>
      <c r="F198" s="17"/>
      <c r="H198" s="4"/>
      <c r="I198">
        <f t="shared" si="12"/>
        <v>1</v>
      </c>
      <c r="J198">
        <f t="shared" si="13"/>
        <v>15</v>
      </c>
      <c r="K198">
        <f t="shared" si="14"/>
        <v>85</v>
      </c>
      <c r="L198" s="23">
        <f t="shared" si="15"/>
        <v>70</v>
      </c>
    </row>
    <row r="199" spans="1:13" x14ac:dyDescent="0.25">
      <c r="A199" s="13" t="s">
        <v>1176</v>
      </c>
      <c r="B199" s="2">
        <v>1</v>
      </c>
      <c r="C199" s="2" t="s">
        <v>1176</v>
      </c>
      <c r="D199" s="2">
        <v>1</v>
      </c>
      <c r="E199" s="17"/>
      <c r="F199" s="17"/>
      <c r="H199" s="4"/>
      <c r="I199">
        <f t="shared" si="12"/>
        <v>1</v>
      </c>
      <c r="J199">
        <f t="shared" si="13"/>
        <v>15</v>
      </c>
      <c r="K199">
        <f t="shared" si="14"/>
        <v>85</v>
      </c>
      <c r="L199" s="23">
        <f t="shared" si="15"/>
        <v>70</v>
      </c>
    </row>
    <row r="200" spans="1:13" x14ac:dyDescent="0.25">
      <c r="A200" s="13" t="s">
        <v>1180</v>
      </c>
      <c r="B200" s="2">
        <v>8</v>
      </c>
      <c r="C200" s="2" t="s">
        <v>1180</v>
      </c>
      <c r="D200" s="2">
        <v>8</v>
      </c>
      <c r="E200" s="17"/>
      <c r="F200" s="17"/>
      <c r="H200" s="4"/>
      <c r="I200">
        <f t="shared" si="12"/>
        <v>8</v>
      </c>
      <c r="J200">
        <f t="shared" si="13"/>
        <v>15</v>
      </c>
      <c r="K200">
        <f t="shared" si="14"/>
        <v>85</v>
      </c>
      <c r="L200" s="23">
        <f t="shared" si="15"/>
        <v>10</v>
      </c>
    </row>
    <row r="201" spans="1:13" x14ac:dyDescent="0.25">
      <c r="A201" s="13" t="s">
        <v>1185</v>
      </c>
      <c r="B201" s="2">
        <v>1</v>
      </c>
      <c r="C201" s="2" t="s">
        <v>1185</v>
      </c>
      <c r="D201" s="2">
        <v>1</v>
      </c>
      <c r="E201" s="17"/>
      <c r="F201" s="17"/>
      <c r="H201" s="4"/>
      <c r="I201">
        <f t="shared" si="12"/>
        <v>1</v>
      </c>
      <c r="J201">
        <f t="shared" si="13"/>
        <v>15</v>
      </c>
      <c r="K201">
        <f t="shared" si="14"/>
        <v>85</v>
      </c>
      <c r="L201" s="23">
        <f t="shared" si="15"/>
        <v>70</v>
      </c>
    </row>
    <row r="202" spans="1:13" x14ac:dyDescent="0.25">
      <c r="A202" s="13" t="s">
        <v>1192</v>
      </c>
      <c r="B202" s="2">
        <v>4</v>
      </c>
      <c r="C202" s="2" t="s">
        <v>1192</v>
      </c>
      <c r="D202" s="2">
        <v>4</v>
      </c>
      <c r="E202" s="17"/>
      <c r="F202" s="17" t="s">
        <v>2021</v>
      </c>
      <c r="H202" s="4"/>
      <c r="I202">
        <f t="shared" si="12"/>
        <v>4</v>
      </c>
      <c r="J202">
        <f t="shared" si="13"/>
        <v>15</v>
      </c>
      <c r="K202">
        <f t="shared" si="14"/>
        <v>99</v>
      </c>
      <c r="L202" s="23">
        <f t="shared" si="15"/>
        <v>28</v>
      </c>
    </row>
    <row r="203" spans="1:13" x14ac:dyDescent="0.25">
      <c r="A203" s="13" t="s">
        <v>1197</v>
      </c>
      <c r="B203" s="2">
        <v>1</v>
      </c>
      <c r="C203" s="2" t="s">
        <v>1197</v>
      </c>
      <c r="D203" s="2">
        <v>1</v>
      </c>
      <c r="E203" s="17"/>
      <c r="F203" s="17" t="s">
        <v>2021</v>
      </c>
      <c r="H203" s="4"/>
      <c r="I203">
        <f t="shared" si="12"/>
        <v>1</v>
      </c>
      <c r="J203">
        <f t="shared" si="13"/>
        <v>15</v>
      </c>
      <c r="K203">
        <f t="shared" si="14"/>
        <v>99</v>
      </c>
      <c r="L203" s="23">
        <f t="shared" si="15"/>
        <v>84</v>
      </c>
    </row>
    <row r="204" spans="1:13" ht="30" x14ac:dyDescent="0.25">
      <c r="A204" s="13" t="s">
        <v>1204</v>
      </c>
      <c r="B204" s="2">
        <v>2</v>
      </c>
      <c r="C204" s="2" t="s">
        <v>1204</v>
      </c>
      <c r="D204" s="2">
        <v>2</v>
      </c>
      <c r="E204" s="17"/>
      <c r="F204" s="17"/>
      <c r="G204">
        <v>2</v>
      </c>
      <c r="H204" s="4" t="s">
        <v>2024</v>
      </c>
      <c r="I204">
        <f t="shared" si="12"/>
        <v>4</v>
      </c>
      <c r="J204">
        <f t="shared" si="13"/>
        <v>15</v>
      </c>
      <c r="K204">
        <f t="shared" si="14"/>
        <v>85</v>
      </c>
      <c r="L204" s="23">
        <f t="shared" si="15"/>
        <v>23.3</v>
      </c>
      <c r="M204">
        <f>J204+MAX(1,I204-1)*L204</f>
        <v>84.9</v>
      </c>
    </row>
    <row r="205" spans="1:13" x14ac:dyDescent="0.25">
      <c r="A205" s="13" t="s">
        <v>1206</v>
      </c>
      <c r="B205" s="2">
        <v>1</v>
      </c>
      <c r="C205" s="2" t="s">
        <v>1206</v>
      </c>
      <c r="D205" s="2">
        <v>1</v>
      </c>
      <c r="E205" s="17"/>
      <c r="F205" s="17"/>
      <c r="H205" s="4"/>
      <c r="I205">
        <f t="shared" si="12"/>
        <v>1</v>
      </c>
      <c r="J205">
        <f t="shared" si="13"/>
        <v>15</v>
      </c>
      <c r="K205">
        <f t="shared" si="14"/>
        <v>85</v>
      </c>
      <c r="L205" s="23">
        <f t="shared" si="15"/>
        <v>70</v>
      </c>
    </row>
    <row r="206" spans="1:13" x14ac:dyDescent="0.25">
      <c r="A206" s="13" t="s">
        <v>1207</v>
      </c>
      <c r="B206" s="2">
        <v>1</v>
      </c>
      <c r="C206" s="2" t="s">
        <v>1207</v>
      </c>
      <c r="D206" s="2">
        <v>1</v>
      </c>
      <c r="E206" s="17"/>
      <c r="F206" s="17"/>
      <c r="H206" s="4"/>
      <c r="I206">
        <f t="shared" si="12"/>
        <v>1</v>
      </c>
      <c r="J206">
        <f t="shared" si="13"/>
        <v>15</v>
      </c>
      <c r="K206">
        <f t="shared" si="14"/>
        <v>85</v>
      </c>
      <c r="L206" s="23">
        <f t="shared" si="15"/>
        <v>70</v>
      </c>
    </row>
    <row r="207" spans="1:13" x14ac:dyDescent="0.25">
      <c r="A207" s="13" t="s">
        <v>1210</v>
      </c>
      <c r="B207" s="2">
        <v>2</v>
      </c>
      <c r="C207" s="2" t="s">
        <v>1210</v>
      </c>
      <c r="D207" s="2">
        <v>2</v>
      </c>
      <c r="E207" s="17"/>
      <c r="F207" s="17"/>
      <c r="H207" s="4"/>
      <c r="I207">
        <f t="shared" si="12"/>
        <v>2</v>
      </c>
      <c r="J207">
        <f t="shared" si="13"/>
        <v>15</v>
      </c>
      <c r="K207">
        <f t="shared" si="14"/>
        <v>85</v>
      </c>
      <c r="L207" s="23">
        <f t="shared" si="15"/>
        <v>70</v>
      </c>
    </row>
    <row r="208" spans="1:13" x14ac:dyDescent="0.25">
      <c r="A208" s="13" t="s">
        <v>1222</v>
      </c>
      <c r="B208" s="2">
        <v>3</v>
      </c>
      <c r="C208" s="2" t="s">
        <v>1222</v>
      </c>
      <c r="D208" s="2">
        <v>3</v>
      </c>
      <c r="E208" s="17"/>
      <c r="F208" s="17"/>
      <c r="H208" s="4"/>
      <c r="I208">
        <f t="shared" si="12"/>
        <v>3</v>
      </c>
      <c r="J208">
        <f t="shared" si="13"/>
        <v>15</v>
      </c>
      <c r="K208">
        <f t="shared" si="14"/>
        <v>85</v>
      </c>
      <c r="L208" s="23">
        <f t="shared" si="15"/>
        <v>35</v>
      </c>
    </row>
    <row r="209" spans="1:12" x14ac:dyDescent="0.25">
      <c r="A209" s="13" t="s">
        <v>1223</v>
      </c>
      <c r="B209" s="2">
        <v>1</v>
      </c>
      <c r="C209" s="2" t="s">
        <v>1223</v>
      </c>
      <c r="D209" s="2">
        <v>1</v>
      </c>
      <c r="E209" s="17"/>
      <c r="F209" s="17"/>
      <c r="H209" s="4"/>
      <c r="I209">
        <f t="shared" si="12"/>
        <v>1</v>
      </c>
      <c r="J209">
        <f t="shared" si="13"/>
        <v>15</v>
      </c>
      <c r="K209">
        <f t="shared" si="14"/>
        <v>85</v>
      </c>
      <c r="L209" s="23">
        <f t="shared" si="15"/>
        <v>70</v>
      </c>
    </row>
    <row r="210" spans="1:12" x14ac:dyDescent="0.25">
      <c r="A210" s="13" t="s">
        <v>1224</v>
      </c>
      <c r="B210" s="2">
        <v>1</v>
      </c>
      <c r="C210" s="2" t="s">
        <v>1224</v>
      </c>
      <c r="D210" s="2">
        <v>1</v>
      </c>
      <c r="E210" s="17"/>
      <c r="F210" s="17"/>
      <c r="H210" s="4"/>
      <c r="I210">
        <f t="shared" si="12"/>
        <v>1</v>
      </c>
      <c r="J210">
        <f t="shared" si="13"/>
        <v>15</v>
      </c>
      <c r="K210">
        <f t="shared" si="14"/>
        <v>85</v>
      </c>
      <c r="L210" s="23">
        <f t="shared" si="15"/>
        <v>70</v>
      </c>
    </row>
    <row r="211" spans="1:12" x14ac:dyDescent="0.25">
      <c r="A211" s="13" t="s">
        <v>1230</v>
      </c>
      <c r="B211" s="2">
        <v>1</v>
      </c>
      <c r="C211" s="2" t="s">
        <v>1230</v>
      </c>
      <c r="D211" s="2">
        <v>1</v>
      </c>
      <c r="E211" s="17"/>
      <c r="F211" s="17"/>
      <c r="H211" s="4"/>
      <c r="I211">
        <f t="shared" si="12"/>
        <v>1</v>
      </c>
      <c r="J211">
        <f t="shared" si="13"/>
        <v>15</v>
      </c>
      <c r="K211">
        <f t="shared" si="14"/>
        <v>85</v>
      </c>
      <c r="L211" s="23">
        <f t="shared" si="15"/>
        <v>70</v>
      </c>
    </row>
    <row r="212" spans="1:12" x14ac:dyDescent="0.25">
      <c r="A212" s="13" t="s">
        <v>1234</v>
      </c>
      <c r="B212" s="2">
        <v>1</v>
      </c>
      <c r="C212" s="2" t="s">
        <v>1234</v>
      </c>
      <c r="D212" s="2">
        <v>1</v>
      </c>
      <c r="E212" s="17"/>
      <c r="F212" s="17"/>
      <c r="H212" s="4"/>
      <c r="I212">
        <f t="shared" si="12"/>
        <v>1</v>
      </c>
      <c r="J212">
        <f t="shared" si="13"/>
        <v>15</v>
      </c>
      <c r="K212">
        <f t="shared" si="14"/>
        <v>85</v>
      </c>
      <c r="L212" s="23">
        <f t="shared" si="15"/>
        <v>70</v>
      </c>
    </row>
    <row r="213" spans="1:12" x14ac:dyDescent="0.25">
      <c r="A213" s="13" t="s">
        <v>1236</v>
      </c>
      <c r="B213" s="2">
        <v>8</v>
      </c>
      <c r="C213" s="2" t="s">
        <v>1236</v>
      </c>
      <c r="D213" s="2">
        <v>8</v>
      </c>
      <c r="E213" s="17"/>
      <c r="F213" s="17" t="s">
        <v>2021</v>
      </c>
      <c r="H213" s="4"/>
      <c r="I213">
        <f t="shared" si="12"/>
        <v>8</v>
      </c>
      <c r="J213">
        <f t="shared" si="13"/>
        <v>15</v>
      </c>
      <c r="K213">
        <f t="shared" si="14"/>
        <v>99</v>
      </c>
      <c r="L213" s="23">
        <f t="shared" si="15"/>
        <v>12</v>
      </c>
    </row>
    <row r="214" spans="1:12" x14ac:dyDescent="0.25">
      <c r="A214" s="13" t="s">
        <v>1245</v>
      </c>
      <c r="B214" s="2">
        <v>1</v>
      </c>
      <c r="C214" s="2" t="s">
        <v>1245</v>
      </c>
      <c r="D214" s="2">
        <v>1</v>
      </c>
      <c r="E214" s="17"/>
      <c r="F214" s="17"/>
      <c r="H214" s="4"/>
      <c r="I214">
        <f t="shared" si="12"/>
        <v>1</v>
      </c>
      <c r="J214">
        <f t="shared" si="13"/>
        <v>15</v>
      </c>
      <c r="K214">
        <f t="shared" si="14"/>
        <v>85</v>
      </c>
      <c r="L214" s="23">
        <f t="shared" si="15"/>
        <v>70</v>
      </c>
    </row>
    <row r="215" spans="1:12" x14ac:dyDescent="0.25">
      <c r="A215" s="13" t="s">
        <v>1253</v>
      </c>
      <c r="B215" s="2">
        <v>2</v>
      </c>
      <c r="C215" s="2" t="s">
        <v>1253</v>
      </c>
      <c r="D215" s="2">
        <v>2</v>
      </c>
      <c r="E215" s="17"/>
      <c r="F215" s="17"/>
      <c r="H215" s="4"/>
      <c r="I215">
        <f t="shared" si="12"/>
        <v>2</v>
      </c>
      <c r="J215">
        <f t="shared" si="13"/>
        <v>15</v>
      </c>
      <c r="K215">
        <f t="shared" si="14"/>
        <v>85</v>
      </c>
      <c r="L215" s="23">
        <f t="shared" si="15"/>
        <v>70</v>
      </c>
    </row>
    <row r="216" spans="1:12" x14ac:dyDescent="0.25">
      <c r="A216" s="13" t="s">
        <v>1258</v>
      </c>
      <c r="B216" s="2">
        <v>1</v>
      </c>
      <c r="C216" s="2" t="s">
        <v>1258</v>
      </c>
      <c r="D216" s="2">
        <v>1</v>
      </c>
      <c r="E216" s="17" t="s">
        <v>2021</v>
      </c>
      <c r="F216" s="17"/>
      <c r="H216" s="4"/>
      <c r="I216">
        <f t="shared" si="12"/>
        <v>1</v>
      </c>
      <c r="J216">
        <f t="shared" si="13"/>
        <v>1</v>
      </c>
      <c r="K216">
        <f t="shared" si="14"/>
        <v>85</v>
      </c>
      <c r="L216" s="23">
        <f t="shared" si="15"/>
        <v>84</v>
      </c>
    </row>
    <row r="217" spans="1:12" x14ac:dyDescent="0.25">
      <c r="A217" s="13" t="s">
        <v>1261</v>
      </c>
      <c r="B217" s="2">
        <v>4</v>
      </c>
      <c r="C217" s="2" t="s">
        <v>1261</v>
      </c>
      <c r="D217" s="2">
        <v>4</v>
      </c>
      <c r="E217" s="17"/>
      <c r="F217" s="17"/>
      <c r="H217" s="4"/>
      <c r="I217">
        <f t="shared" si="12"/>
        <v>4</v>
      </c>
      <c r="J217">
        <f t="shared" si="13"/>
        <v>15</v>
      </c>
      <c r="K217">
        <f t="shared" si="14"/>
        <v>85</v>
      </c>
      <c r="L217" s="23">
        <f t="shared" si="15"/>
        <v>23.3</v>
      </c>
    </row>
    <row r="218" spans="1:12" x14ac:dyDescent="0.25">
      <c r="A218" s="13" t="s">
        <v>1272</v>
      </c>
      <c r="B218" s="2">
        <v>1</v>
      </c>
      <c r="C218" s="2" t="s">
        <v>1272</v>
      </c>
      <c r="D218" s="2">
        <v>1</v>
      </c>
      <c r="E218" s="17"/>
      <c r="F218" s="17"/>
      <c r="H218" s="4"/>
      <c r="I218">
        <f t="shared" si="12"/>
        <v>1</v>
      </c>
      <c r="J218">
        <f t="shared" si="13"/>
        <v>15</v>
      </c>
      <c r="K218">
        <f t="shared" si="14"/>
        <v>85</v>
      </c>
      <c r="L218" s="23">
        <f t="shared" si="15"/>
        <v>70</v>
      </c>
    </row>
    <row r="219" spans="1:12" x14ac:dyDescent="0.25">
      <c r="A219" s="13" t="s">
        <v>1273</v>
      </c>
      <c r="B219" s="2">
        <v>1</v>
      </c>
      <c r="C219" s="2" t="s">
        <v>1273</v>
      </c>
      <c r="D219" s="2">
        <v>1</v>
      </c>
      <c r="E219" s="17"/>
      <c r="F219" s="17"/>
      <c r="H219" s="4"/>
      <c r="I219">
        <f t="shared" si="12"/>
        <v>1</v>
      </c>
      <c r="J219">
        <f t="shared" si="13"/>
        <v>15</v>
      </c>
      <c r="K219">
        <f t="shared" si="14"/>
        <v>85</v>
      </c>
      <c r="L219" s="23">
        <f t="shared" si="15"/>
        <v>70</v>
      </c>
    </row>
    <row r="220" spans="1:12" x14ac:dyDescent="0.25">
      <c r="A220" s="13" t="s">
        <v>1276</v>
      </c>
      <c r="B220" s="2">
        <v>4</v>
      </c>
      <c r="C220" s="2" t="s">
        <v>1276</v>
      </c>
      <c r="D220" s="2">
        <v>4</v>
      </c>
      <c r="E220" s="17"/>
      <c r="F220" s="17"/>
      <c r="H220" s="4"/>
      <c r="I220">
        <f t="shared" si="12"/>
        <v>4</v>
      </c>
      <c r="J220">
        <f t="shared" si="13"/>
        <v>15</v>
      </c>
      <c r="K220">
        <f t="shared" si="14"/>
        <v>85</v>
      </c>
      <c r="L220" s="23">
        <f t="shared" si="15"/>
        <v>23.3</v>
      </c>
    </row>
    <row r="221" spans="1:12" x14ac:dyDescent="0.25">
      <c r="A221" s="13" t="s">
        <v>1284</v>
      </c>
      <c r="B221" s="2">
        <v>4</v>
      </c>
      <c r="C221" s="2" t="s">
        <v>1284</v>
      </c>
      <c r="D221" s="2">
        <v>4</v>
      </c>
      <c r="E221" s="17"/>
      <c r="F221" s="17"/>
      <c r="H221" s="4"/>
      <c r="I221">
        <f t="shared" si="12"/>
        <v>4</v>
      </c>
      <c r="J221">
        <f t="shared" si="13"/>
        <v>15</v>
      </c>
      <c r="K221">
        <f t="shared" si="14"/>
        <v>85</v>
      </c>
      <c r="L221" s="23">
        <f t="shared" si="15"/>
        <v>23.3</v>
      </c>
    </row>
    <row r="222" spans="1:12" x14ac:dyDescent="0.25">
      <c r="A222" s="13" t="s">
        <v>1294</v>
      </c>
      <c r="B222" s="2">
        <v>1</v>
      </c>
      <c r="C222" s="2" t="s">
        <v>1294</v>
      </c>
      <c r="D222" s="2">
        <v>1</v>
      </c>
      <c r="E222" s="17"/>
      <c r="F222" s="17"/>
      <c r="H222" s="4"/>
      <c r="I222">
        <f t="shared" si="12"/>
        <v>1</v>
      </c>
      <c r="J222">
        <f t="shared" si="13"/>
        <v>15</v>
      </c>
      <c r="K222">
        <f t="shared" si="14"/>
        <v>85</v>
      </c>
      <c r="L222" s="23">
        <f t="shared" si="15"/>
        <v>70</v>
      </c>
    </row>
    <row r="223" spans="1:12" x14ac:dyDescent="0.25">
      <c r="A223" s="13" t="s">
        <v>1298</v>
      </c>
      <c r="B223" s="2">
        <v>1</v>
      </c>
      <c r="C223" s="2" t="s">
        <v>1298</v>
      </c>
      <c r="D223" s="2">
        <v>1</v>
      </c>
      <c r="E223" s="17"/>
      <c r="F223" s="17"/>
      <c r="H223" s="4"/>
      <c r="I223">
        <f t="shared" si="12"/>
        <v>1</v>
      </c>
      <c r="J223">
        <f t="shared" si="13"/>
        <v>15</v>
      </c>
      <c r="K223">
        <f t="shared" si="14"/>
        <v>85</v>
      </c>
      <c r="L223" s="23">
        <f t="shared" si="15"/>
        <v>70</v>
      </c>
    </row>
    <row r="224" spans="1:12" x14ac:dyDescent="0.25">
      <c r="A224" s="13" t="s">
        <v>1301</v>
      </c>
      <c r="B224" s="2">
        <v>1</v>
      </c>
      <c r="C224" s="2" t="s">
        <v>1301</v>
      </c>
      <c r="D224" s="2">
        <v>1</v>
      </c>
      <c r="E224" s="17"/>
      <c r="F224" s="17"/>
      <c r="H224" s="4"/>
      <c r="I224">
        <f t="shared" si="12"/>
        <v>1</v>
      </c>
      <c r="J224">
        <f t="shared" si="13"/>
        <v>15</v>
      </c>
      <c r="K224">
        <f t="shared" si="14"/>
        <v>85</v>
      </c>
      <c r="L224" s="23">
        <f t="shared" si="15"/>
        <v>70</v>
      </c>
    </row>
    <row r="225" spans="1:12" x14ac:dyDescent="0.25">
      <c r="A225" s="13" t="s">
        <v>1305</v>
      </c>
      <c r="B225" s="2">
        <v>2</v>
      </c>
      <c r="C225" s="2" t="s">
        <v>1305</v>
      </c>
      <c r="D225" s="2">
        <v>2</v>
      </c>
      <c r="E225" s="17"/>
      <c r="F225" s="17"/>
      <c r="H225" s="4"/>
      <c r="I225">
        <f t="shared" si="12"/>
        <v>2</v>
      </c>
      <c r="J225">
        <f t="shared" si="13"/>
        <v>15</v>
      </c>
      <c r="K225">
        <f t="shared" si="14"/>
        <v>85</v>
      </c>
      <c r="L225" s="23">
        <f t="shared" si="15"/>
        <v>70</v>
      </c>
    </row>
    <row r="226" spans="1:12" x14ac:dyDescent="0.25">
      <c r="A226" s="13" t="s">
        <v>1308</v>
      </c>
      <c r="B226" s="2">
        <v>2</v>
      </c>
      <c r="C226" s="2" t="s">
        <v>1308</v>
      </c>
      <c r="D226" s="2">
        <v>2</v>
      </c>
      <c r="E226" s="17" t="s">
        <v>2021</v>
      </c>
      <c r="F226" s="17"/>
      <c r="H226" s="4"/>
      <c r="I226">
        <f t="shared" si="12"/>
        <v>2</v>
      </c>
      <c r="J226">
        <f t="shared" si="13"/>
        <v>1</v>
      </c>
      <c r="K226">
        <f t="shared" si="14"/>
        <v>85</v>
      </c>
      <c r="L226" s="23">
        <f t="shared" si="15"/>
        <v>84</v>
      </c>
    </row>
    <row r="227" spans="1:12" x14ac:dyDescent="0.25">
      <c r="A227" s="13" t="s">
        <v>1313</v>
      </c>
      <c r="B227" s="2">
        <v>27</v>
      </c>
      <c r="C227" s="2" t="s">
        <v>1313</v>
      </c>
      <c r="D227" s="2">
        <v>27</v>
      </c>
      <c r="E227" s="17" t="s">
        <v>2021</v>
      </c>
      <c r="F227" s="17"/>
      <c r="H227" s="4"/>
      <c r="I227">
        <f t="shared" si="12"/>
        <v>27</v>
      </c>
      <c r="J227">
        <f t="shared" si="13"/>
        <v>1</v>
      </c>
      <c r="K227">
        <f t="shared" si="14"/>
        <v>85</v>
      </c>
      <c r="L227" s="23">
        <f t="shared" si="15"/>
        <v>3.2</v>
      </c>
    </row>
    <row r="228" spans="1:12" x14ac:dyDescent="0.25">
      <c r="A228" s="13" t="s">
        <v>1353</v>
      </c>
      <c r="B228" s="2">
        <v>1</v>
      </c>
      <c r="C228" s="2" t="s">
        <v>1353</v>
      </c>
      <c r="D228" s="2">
        <v>1</v>
      </c>
      <c r="E228" s="17"/>
      <c r="F228" s="17"/>
      <c r="H228" s="4"/>
      <c r="I228">
        <f t="shared" si="12"/>
        <v>1</v>
      </c>
      <c r="J228">
        <f t="shared" si="13"/>
        <v>15</v>
      </c>
      <c r="K228">
        <f t="shared" si="14"/>
        <v>85</v>
      </c>
      <c r="L228" s="23">
        <f t="shared" si="15"/>
        <v>70</v>
      </c>
    </row>
    <row r="229" spans="1:12" x14ac:dyDescent="0.25">
      <c r="A229" s="13" t="s">
        <v>1357</v>
      </c>
      <c r="B229" s="2">
        <v>6</v>
      </c>
      <c r="C229" s="2" t="s">
        <v>1357</v>
      </c>
      <c r="D229" s="2">
        <v>6</v>
      </c>
      <c r="E229" s="17"/>
      <c r="F229" s="17" t="s">
        <v>2021</v>
      </c>
      <c r="H229" s="4"/>
      <c r="I229">
        <f t="shared" si="12"/>
        <v>6</v>
      </c>
      <c r="J229">
        <f t="shared" si="13"/>
        <v>15</v>
      </c>
      <c r="K229">
        <f t="shared" si="14"/>
        <v>99</v>
      </c>
      <c r="L229" s="23">
        <f t="shared" si="15"/>
        <v>16.8</v>
      </c>
    </row>
    <row r="230" spans="1:12" x14ac:dyDescent="0.25">
      <c r="A230" s="13" t="s">
        <v>1365</v>
      </c>
      <c r="B230" s="2">
        <v>2</v>
      </c>
      <c r="C230" s="2" t="s">
        <v>1365</v>
      </c>
      <c r="D230" s="2">
        <v>2</v>
      </c>
      <c r="E230" s="17"/>
      <c r="F230" s="17"/>
      <c r="H230" s="4"/>
      <c r="I230">
        <f t="shared" si="12"/>
        <v>2</v>
      </c>
      <c r="J230">
        <f t="shared" si="13"/>
        <v>15</v>
      </c>
      <c r="K230">
        <f t="shared" si="14"/>
        <v>85</v>
      </c>
      <c r="L230" s="23">
        <f t="shared" si="15"/>
        <v>70</v>
      </c>
    </row>
    <row r="231" spans="1:12" x14ac:dyDescent="0.25">
      <c r="A231" s="13" t="s">
        <v>1371</v>
      </c>
      <c r="B231" s="2">
        <v>2</v>
      </c>
      <c r="C231" s="2" t="s">
        <v>1371</v>
      </c>
      <c r="D231" s="2">
        <v>2</v>
      </c>
      <c r="E231" s="17"/>
      <c r="F231" s="17"/>
      <c r="H231" s="4"/>
      <c r="I231">
        <f t="shared" si="12"/>
        <v>2</v>
      </c>
      <c r="J231">
        <f t="shared" si="13"/>
        <v>15</v>
      </c>
      <c r="K231">
        <f t="shared" si="14"/>
        <v>85</v>
      </c>
      <c r="L231" s="23">
        <f t="shared" si="15"/>
        <v>70</v>
      </c>
    </row>
    <row r="232" spans="1:12" x14ac:dyDescent="0.25">
      <c r="A232" s="13" t="s">
        <v>1374</v>
      </c>
      <c r="B232" s="2">
        <v>2</v>
      </c>
      <c r="C232" s="2" t="s">
        <v>1374</v>
      </c>
      <c r="D232" s="2">
        <v>2</v>
      </c>
      <c r="E232" s="17"/>
      <c r="F232" s="17"/>
      <c r="H232" s="4"/>
      <c r="I232">
        <f t="shared" si="12"/>
        <v>2</v>
      </c>
      <c r="J232">
        <f t="shared" si="13"/>
        <v>15</v>
      </c>
      <c r="K232">
        <f t="shared" si="14"/>
        <v>85</v>
      </c>
      <c r="L232" s="23">
        <f t="shared" si="15"/>
        <v>70</v>
      </c>
    </row>
    <row r="233" spans="1:12" x14ac:dyDescent="0.25">
      <c r="A233" s="13" t="s">
        <v>1380</v>
      </c>
      <c r="B233" s="2">
        <v>2</v>
      </c>
      <c r="C233" s="2" t="s">
        <v>1380</v>
      </c>
      <c r="D233" s="2">
        <v>2</v>
      </c>
      <c r="E233" s="17"/>
      <c r="F233" s="17"/>
      <c r="H233" s="4"/>
      <c r="I233">
        <f t="shared" si="12"/>
        <v>2</v>
      </c>
      <c r="J233">
        <f t="shared" si="13"/>
        <v>15</v>
      </c>
      <c r="K233">
        <f t="shared" si="14"/>
        <v>85</v>
      </c>
      <c r="L233" s="23">
        <f t="shared" si="15"/>
        <v>70</v>
      </c>
    </row>
    <row r="234" spans="1:12" x14ac:dyDescent="0.25">
      <c r="A234" s="13" t="s">
        <v>1383</v>
      </c>
      <c r="B234" s="2">
        <v>2</v>
      </c>
      <c r="C234" s="2" t="s">
        <v>1383</v>
      </c>
      <c r="D234" s="2">
        <v>2</v>
      </c>
      <c r="E234" s="17"/>
      <c r="F234" s="17"/>
      <c r="H234" s="4"/>
      <c r="I234">
        <f t="shared" si="12"/>
        <v>2</v>
      </c>
      <c r="J234">
        <f t="shared" si="13"/>
        <v>15</v>
      </c>
      <c r="K234">
        <f t="shared" si="14"/>
        <v>85</v>
      </c>
      <c r="L234" s="23">
        <f t="shared" si="15"/>
        <v>70</v>
      </c>
    </row>
    <row r="235" spans="1:12" x14ac:dyDescent="0.25">
      <c r="A235" s="13" t="s">
        <v>1385</v>
      </c>
      <c r="B235" s="2">
        <v>2</v>
      </c>
      <c r="C235" s="2" t="s">
        <v>1385</v>
      </c>
      <c r="D235" s="2">
        <v>2</v>
      </c>
      <c r="E235" s="17" t="s">
        <v>2021</v>
      </c>
      <c r="F235" s="17"/>
      <c r="H235" s="4"/>
      <c r="I235">
        <f t="shared" si="12"/>
        <v>2</v>
      </c>
      <c r="J235">
        <f t="shared" si="13"/>
        <v>1</v>
      </c>
      <c r="K235">
        <f t="shared" si="14"/>
        <v>85</v>
      </c>
      <c r="L235" s="23">
        <f t="shared" si="15"/>
        <v>84</v>
      </c>
    </row>
    <row r="236" spans="1:12" x14ac:dyDescent="0.25">
      <c r="A236" s="13" t="s">
        <v>1392</v>
      </c>
      <c r="B236" s="2">
        <v>2</v>
      </c>
      <c r="C236" s="2" t="s">
        <v>1392</v>
      </c>
      <c r="D236" s="2">
        <v>2</v>
      </c>
      <c r="E236" s="17"/>
      <c r="F236" s="17"/>
      <c r="H236" s="4"/>
      <c r="I236">
        <f t="shared" si="12"/>
        <v>2</v>
      </c>
      <c r="J236">
        <f t="shared" si="13"/>
        <v>15</v>
      </c>
      <c r="K236">
        <f t="shared" si="14"/>
        <v>85</v>
      </c>
      <c r="L236" s="23">
        <f t="shared" si="15"/>
        <v>70</v>
      </c>
    </row>
    <row r="237" spans="1:12" x14ac:dyDescent="0.25">
      <c r="A237" s="13" t="s">
        <v>1394</v>
      </c>
      <c r="B237" s="2">
        <v>1</v>
      </c>
      <c r="C237" s="2" t="s">
        <v>1394</v>
      </c>
      <c r="D237" s="2">
        <v>1</v>
      </c>
      <c r="E237" s="17"/>
      <c r="F237" s="17"/>
      <c r="H237" s="4"/>
      <c r="I237">
        <f t="shared" si="12"/>
        <v>1</v>
      </c>
      <c r="J237">
        <f t="shared" si="13"/>
        <v>15</v>
      </c>
      <c r="K237">
        <f t="shared" si="14"/>
        <v>85</v>
      </c>
      <c r="L237" s="23">
        <f t="shared" si="15"/>
        <v>70</v>
      </c>
    </row>
    <row r="238" spans="1:12" x14ac:dyDescent="0.25">
      <c r="A238" s="13" t="s">
        <v>1397</v>
      </c>
      <c r="B238" s="2">
        <v>1</v>
      </c>
      <c r="C238" s="2" t="s">
        <v>1397</v>
      </c>
      <c r="D238" s="2">
        <v>1</v>
      </c>
      <c r="E238" s="17"/>
      <c r="F238" s="17"/>
      <c r="H238" s="4"/>
      <c r="I238">
        <f t="shared" si="12"/>
        <v>1</v>
      </c>
      <c r="J238">
        <f t="shared" si="13"/>
        <v>15</v>
      </c>
      <c r="K238">
        <f t="shared" si="14"/>
        <v>85</v>
      </c>
      <c r="L238" s="23">
        <f t="shared" si="15"/>
        <v>70</v>
      </c>
    </row>
    <row r="239" spans="1:12" x14ac:dyDescent="0.25">
      <c r="A239" s="13" t="s">
        <v>1401</v>
      </c>
      <c r="B239" s="2">
        <v>2</v>
      </c>
      <c r="C239" s="2" t="s">
        <v>1401</v>
      </c>
      <c r="D239" s="2">
        <v>2</v>
      </c>
      <c r="E239" s="17"/>
      <c r="F239" s="17"/>
      <c r="H239" s="4"/>
      <c r="I239">
        <f t="shared" si="12"/>
        <v>2</v>
      </c>
      <c r="J239">
        <f t="shared" si="13"/>
        <v>15</v>
      </c>
      <c r="K239">
        <f t="shared" si="14"/>
        <v>85</v>
      </c>
      <c r="L239" s="23">
        <f t="shared" si="15"/>
        <v>70</v>
      </c>
    </row>
    <row r="240" spans="1:12" x14ac:dyDescent="0.25">
      <c r="A240" s="13" t="s">
        <v>1407</v>
      </c>
      <c r="B240" s="2">
        <v>1</v>
      </c>
      <c r="C240" s="2" t="s">
        <v>1407</v>
      </c>
      <c r="D240" s="2">
        <v>1</v>
      </c>
      <c r="E240" s="17"/>
      <c r="F240" s="17"/>
      <c r="H240" s="4"/>
      <c r="I240">
        <f t="shared" si="12"/>
        <v>1</v>
      </c>
      <c r="J240">
        <f t="shared" si="13"/>
        <v>15</v>
      </c>
      <c r="K240">
        <f t="shared" si="14"/>
        <v>85</v>
      </c>
      <c r="L240" s="23">
        <f t="shared" si="15"/>
        <v>70</v>
      </c>
    </row>
    <row r="241" spans="1:12" x14ac:dyDescent="0.25">
      <c r="A241" s="13" t="s">
        <v>1410</v>
      </c>
      <c r="B241" s="2">
        <v>1</v>
      </c>
      <c r="C241" s="2" t="s">
        <v>1410</v>
      </c>
      <c r="D241" s="2">
        <v>1</v>
      </c>
      <c r="E241" s="17"/>
      <c r="F241" s="17"/>
      <c r="H241" s="4"/>
      <c r="I241">
        <f t="shared" si="12"/>
        <v>1</v>
      </c>
      <c r="J241">
        <f t="shared" si="13"/>
        <v>15</v>
      </c>
      <c r="K241">
        <f t="shared" si="14"/>
        <v>85</v>
      </c>
      <c r="L241" s="23">
        <f t="shared" si="15"/>
        <v>70</v>
      </c>
    </row>
    <row r="242" spans="1:12" x14ac:dyDescent="0.25">
      <c r="A242" s="13" t="s">
        <v>1414</v>
      </c>
      <c r="B242" s="2">
        <v>2</v>
      </c>
      <c r="C242" s="2" t="s">
        <v>1414</v>
      </c>
      <c r="D242" s="2">
        <v>2</v>
      </c>
      <c r="E242" s="17"/>
      <c r="F242" s="17"/>
      <c r="H242" s="4"/>
      <c r="I242">
        <f t="shared" si="12"/>
        <v>2</v>
      </c>
      <c r="J242">
        <f t="shared" si="13"/>
        <v>15</v>
      </c>
      <c r="K242">
        <f t="shared" si="14"/>
        <v>85</v>
      </c>
      <c r="L242" s="23">
        <f t="shared" si="15"/>
        <v>70</v>
      </c>
    </row>
    <row r="243" spans="1:12" x14ac:dyDescent="0.25">
      <c r="A243" s="13" t="s">
        <v>1416</v>
      </c>
      <c r="B243" s="2">
        <v>1</v>
      </c>
      <c r="C243" s="2" t="s">
        <v>1416</v>
      </c>
      <c r="D243" s="2">
        <v>1</v>
      </c>
      <c r="E243" s="17"/>
      <c r="F243" s="17"/>
      <c r="H243" s="4"/>
      <c r="I243">
        <f t="shared" si="12"/>
        <v>1</v>
      </c>
      <c r="J243">
        <f t="shared" si="13"/>
        <v>15</v>
      </c>
      <c r="K243">
        <f t="shared" si="14"/>
        <v>85</v>
      </c>
      <c r="L243" s="23">
        <f t="shared" si="15"/>
        <v>70</v>
      </c>
    </row>
    <row r="244" spans="1:12" x14ac:dyDescent="0.25">
      <c r="A244" s="13" t="s">
        <v>1421</v>
      </c>
      <c r="B244" s="2">
        <v>1</v>
      </c>
      <c r="C244" s="2" t="s">
        <v>1421</v>
      </c>
      <c r="D244" s="2">
        <v>1</v>
      </c>
      <c r="E244" s="17"/>
      <c r="F244" s="17"/>
      <c r="H244" s="4"/>
      <c r="I244">
        <f t="shared" si="12"/>
        <v>1</v>
      </c>
      <c r="J244">
        <f t="shared" si="13"/>
        <v>15</v>
      </c>
      <c r="K244">
        <f t="shared" si="14"/>
        <v>85</v>
      </c>
      <c r="L244" s="23">
        <f t="shared" si="15"/>
        <v>70</v>
      </c>
    </row>
    <row r="245" spans="1:12" x14ac:dyDescent="0.25">
      <c r="A245" s="13" t="s">
        <v>1424</v>
      </c>
      <c r="B245" s="2">
        <v>4</v>
      </c>
      <c r="C245" s="2" t="s">
        <v>1424</v>
      </c>
      <c r="D245" s="2">
        <v>4</v>
      </c>
      <c r="E245" s="17"/>
      <c r="F245" s="17"/>
      <c r="H245" s="4"/>
      <c r="I245">
        <f t="shared" si="12"/>
        <v>4</v>
      </c>
      <c r="J245">
        <f t="shared" si="13"/>
        <v>15</v>
      </c>
      <c r="K245">
        <f t="shared" si="14"/>
        <v>85</v>
      </c>
      <c r="L245" s="23">
        <f t="shared" si="15"/>
        <v>23.3</v>
      </c>
    </row>
    <row r="246" spans="1:12" x14ac:dyDescent="0.25">
      <c r="A246" s="13" t="s">
        <v>1431</v>
      </c>
      <c r="B246" s="2">
        <v>4</v>
      </c>
      <c r="C246" s="2" t="s">
        <v>1431</v>
      </c>
      <c r="D246" s="2">
        <v>4</v>
      </c>
      <c r="E246" s="17"/>
      <c r="F246" s="17"/>
      <c r="H246" s="4"/>
      <c r="I246">
        <f t="shared" si="12"/>
        <v>4</v>
      </c>
      <c r="J246">
        <f t="shared" si="13"/>
        <v>15</v>
      </c>
      <c r="K246">
        <f t="shared" si="14"/>
        <v>85</v>
      </c>
      <c r="L246" s="23">
        <f t="shared" si="15"/>
        <v>23.3</v>
      </c>
    </row>
    <row r="247" spans="1:12" x14ac:dyDescent="0.25">
      <c r="A247" s="13" t="s">
        <v>1435</v>
      </c>
      <c r="B247" s="2">
        <v>2</v>
      </c>
      <c r="C247" s="2" t="s">
        <v>1435</v>
      </c>
      <c r="D247" s="2">
        <v>2</v>
      </c>
      <c r="E247" s="17"/>
      <c r="F247" s="17"/>
      <c r="H247" s="4"/>
      <c r="I247">
        <f t="shared" si="12"/>
        <v>2</v>
      </c>
      <c r="J247">
        <f t="shared" si="13"/>
        <v>15</v>
      </c>
      <c r="K247">
        <f t="shared" si="14"/>
        <v>85</v>
      </c>
      <c r="L247" s="23">
        <f t="shared" si="15"/>
        <v>70</v>
      </c>
    </row>
    <row r="248" spans="1:12" x14ac:dyDescent="0.25">
      <c r="A248" s="13" t="s">
        <v>1439</v>
      </c>
      <c r="B248" s="2">
        <v>1</v>
      </c>
      <c r="C248" s="2" t="s">
        <v>1439</v>
      </c>
      <c r="D248" s="2">
        <v>1</v>
      </c>
      <c r="E248" s="17"/>
      <c r="F248" s="17"/>
      <c r="H248" s="4"/>
      <c r="I248">
        <f t="shared" si="12"/>
        <v>1</v>
      </c>
      <c r="J248">
        <f t="shared" si="13"/>
        <v>15</v>
      </c>
      <c r="K248">
        <f t="shared" si="14"/>
        <v>85</v>
      </c>
      <c r="L248" s="23">
        <f t="shared" si="15"/>
        <v>70</v>
      </c>
    </row>
    <row r="249" spans="1:12" x14ac:dyDescent="0.25">
      <c r="A249" s="13" t="s">
        <v>1442</v>
      </c>
      <c r="B249" s="2">
        <v>1</v>
      </c>
      <c r="C249" s="2" t="s">
        <v>1442</v>
      </c>
      <c r="D249" s="2">
        <v>1</v>
      </c>
      <c r="E249" s="17"/>
      <c r="F249" s="17"/>
      <c r="H249" s="4"/>
      <c r="I249">
        <f t="shared" si="12"/>
        <v>1</v>
      </c>
      <c r="J249">
        <f t="shared" si="13"/>
        <v>15</v>
      </c>
      <c r="K249">
        <f t="shared" si="14"/>
        <v>85</v>
      </c>
      <c r="L249" s="23">
        <f t="shared" si="15"/>
        <v>70</v>
      </c>
    </row>
    <row r="250" spans="1:12" x14ac:dyDescent="0.25">
      <c r="A250" s="13" t="s">
        <v>1445</v>
      </c>
      <c r="B250" s="2">
        <v>5</v>
      </c>
      <c r="C250" s="2" t="s">
        <v>1445</v>
      </c>
      <c r="D250" s="2">
        <v>5</v>
      </c>
      <c r="E250" s="17"/>
      <c r="F250" s="17"/>
      <c r="H250" s="4"/>
      <c r="I250">
        <f t="shared" si="12"/>
        <v>5</v>
      </c>
      <c r="J250">
        <f t="shared" si="13"/>
        <v>15</v>
      </c>
      <c r="K250">
        <f t="shared" si="14"/>
        <v>85</v>
      </c>
      <c r="L250" s="23">
        <f t="shared" si="15"/>
        <v>17.5</v>
      </c>
    </row>
    <row r="251" spans="1:12" x14ac:dyDescent="0.25">
      <c r="A251" s="13" t="s">
        <v>1454</v>
      </c>
      <c r="B251" s="2">
        <v>1</v>
      </c>
      <c r="C251" s="2" t="s">
        <v>1454</v>
      </c>
      <c r="D251" s="2">
        <v>1</v>
      </c>
      <c r="E251" s="17"/>
      <c r="F251" s="17"/>
      <c r="H251" s="4"/>
      <c r="I251">
        <f t="shared" si="12"/>
        <v>1</v>
      </c>
      <c r="J251">
        <f t="shared" si="13"/>
        <v>15</v>
      </c>
      <c r="K251">
        <f t="shared" si="14"/>
        <v>85</v>
      </c>
      <c r="L251" s="23">
        <f t="shared" si="15"/>
        <v>70</v>
      </c>
    </row>
    <row r="252" spans="1:12" x14ac:dyDescent="0.25">
      <c r="A252" s="13" t="s">
        <v>1457</v>
      </c>
      <c r="B252" s="2">
        <v>1</v>
      </c>
      <c r="C252" s="2" t="s">
        <v>1457</v>
      </c>
      <c r="D252" s="2">
        <v>1</v>
      </c>
      <c r="E252" s="17"/>
      <c r="F252" s="17"/>
      <c r="H252" s="4"/>
      <c r="I252">
        <f t="shared" si="12"/>
        <v>1</v>
      </c>
      <c r="J252">
        <f t="shared" si="13"/>
        <v>15</v>
      </c>
      <c r="K252">
        <f t="shared" si="14"/>
        <v>85</v>
      </c>
      <c r="L252" s="23">
        <f t="shared" si="15"/>
        <v>70</v>
      </c>
    </row>
    <row r="253" spans="1:12" x14ac:dyDescent="0.25">
      <c r="A253" s="13" t="s">
        <v>1459</v>
      </c>
      <c r="B253" s="2">
        <v>1</v>
      </c>
      <c r="C253" s="2" t="s">
        <v>1459</v>
      </c>
      <c r="D253" s="2">
        <v>1</v>
      </c>
      <c r="E253" s="17"/>
      <c r="F253" s="17"/>
      <c r="H253" s="4"/>
      <c r="I253">
        <f t="shared" si="12"/>
        <v>1</v>
      </c>
      <c r="J253">
        <f t="shared" si="13"/>
        <v>15</v>
      </c>
      <c r="K253">
        <f t="shared" si="14"/>
        <v>85</v>
      </c>
      <c r="L253" s="23">
        <f t="shared" si="15"/>
        <v>70</v>
      </c>
    </row>
    <row r="254" spans="1:12" x14ac:dyDescent="0.25">
      <c r="A254" s="13" t="s">
        <v>1462</v>
      </c>
      <c r="B254" s="2">
        <v>2</v>
      </c>
      <c r="C254" s="2" t="s">
        <v>1462</v>
      </c>
      <c r="D254" s="2">
        <v>2</v>
      </c>
      <c r="E254" s="17"/>
      <c r="F254" s="17"/>
      <c r="H254" s="4"/>
      <c r="I254">
        <f t="shared" si="12"/>
        <v>2</v>
      </c>
      <c r="J254">
        <f t="shared" si="13"/>
        <v>15</v>
      </c>
      <c r="K254">
        <f t="shared" si="14"/>
        <v>85</v>
      </c>
      <c r="L254" s="23">
        <f t="shared" si="15"/>
        <v>70</v>
      </c>
    </row>
    <row r="255" spans="1:12" x14ac:dyDescent="0.25">
      <c r="A255" s="13" t="s">
        <v>1464</v>
      </c>
      <c r="B255" s="2">
        <v>3</v>
      </c>
      <c r="C255" s="2" t="s">
        <v>1464</v>
      </c>
      <c r="D255" s="2">
        <v>3</v>
      </c>
      <c r="E255" s="17"/>
      <c r="F255" s="17"/>
      <c r="H255" s="4"/>
      <c r="I255">
        <f t="shared" si="12"/>
        <v>3</v>
      </c>
      <c r="J255">
        <f t="shared" si="13"/>
        <v>15</v>
      </c>
      <c r="K255">
        <f t="shared" si="14"/>
        <v>85</v>
      </c>
      <c r="L255" s="23">
        <f t="shared" si="15"/>
        <v>35</v>
      </c>
    </row>
    <row r="256" spans="1:12" x14ac:dyDescent="0.25">
      <c r="A256" s="13" t="s">
        <v>1467</v>
      </c>
      <c r="B256" s="2">
        <v>1</v>
      </c>
      <c r="C256" s="2" t="s">
        <v>1467</v>
      </c>
      <c r="D256" s="2">
        <v>1</v>
      </c>
      <c r="E256" s="17"/>
      <c r="F256" s="17"/>
      <c r="H256" s="4"/>
      <c r="I256">
        <f t="shared" si="12"/>
        <v>1</v>
      </c>
      <c r="J256">
        <f t="shared" si="13"/>
        <v>15</v>
      </c>
      <c r="K256">
        <f t="shared" si="14"/>
        <v>85</v>
      </c>
      <c r="L256" s="23">
        <f t="shared" si="15"/>
        <v>70</v>
      </c>
    </row>
    <row r="257" spans="1:12" x14ac:dyDescent="0.25">
      <c r="A257" s="13" t="s">
        <v>1471</v>
      </c>
      <c r="B257" s="2">
        <v>8</v>
      </c>
      <c r="C257" s="2" t="s">
        <v>1471</v>
      </c>
      <c r="D257" s="2">
        <v>8</v>
      </c>
      <c r="E257" s="17" t="s">
        <v>2021</v>
      </c>
      <c r="F257" s="17"/>
      <c r="H257" s="4"/>
      <c r="I257">
        <f t="shared" si="12"/>
        <v>8</v>
      </c>
      <c r="J257">
        <f t="shared" si="13"/>
        <v>1</v>
      </c>
      <c r="K257">
        <f t="shared" si="14"/>
        <v>85</v>
      </c>
      <c r="L257" s="23">
        <f t="shared" si="15"/>
        <v>12</v>
      </c>
    </row>
    <row r="258" spans="1:12" x14ac:dyDescent="0.25">
      <c r="A258" s="13" t="s">
        <v>1483</v>
      </c>
      <c r="B258" s="2">
        <v>4</v>
      </c>
      <c r="C258" s="2" t="s">
        <v>1483</v>
      </c>
      <c r="D258" s="2">
        <v>4</v>
      </c>
      <c r="E258" s="17"/>
      <c r="F258" s="17"/>
      <c r="H258" s="4"/>
      <c r="I258">
        <f t="shared" si="12"/>
        <v>4</v>
      </c>
      <c r="J258">
        <f t="shared" si="13"/>
        <v>15</v>
      </c>
      <c r="K258">
        <f t="shared" si="14"/>
        <v>85</v>
      </c>
      <c r="L258" s="23">
        <f t="shared" si="15"/>
        <v>23.3</v>
      </c>
    </row>
    <row r="259" spans="1:12" x14ac:dyDescent="0.25">
      <c r="A259" s="13" t="s">
        <v>1489</v>
      </c>
      <c r="B259" s="2">
        <v>2</v>
      </c>
      <c r="C259" s="2" t="s">
        <v>1489</v>
      </c>
      <c r="D259" s="2">
        <v>2</v>
      </c>
      <c r="E259" s="17"/>
      <c r="F259" s="17"/>
      <c r="H259" s="4"/>
      <c r="I259">
        <f t="shared" si="12"/>
        <v>2</v>
      </c>
      <c r="J259">
        <f t="shared" si="13"/>
        <v>15</v>
      </c>
      <c r="K259">
        <f t="shared" si="14"/>
        <v>85</v>
      </c>
      <c r="L259" s="23">
        <f t="shared" si="15"/>
        <v>70</v>
      </c>
    </row>
    <row r="260" spans="1:12" x14ac:dyDescent="0.25">
      <c r="A260" s="13" t="s">
        <v>1493</v>
      </c>
      <c r="B260" s="2">
        <v>12</v>
      </c>
      <c r="C260" s="2" t="s">
        <v>1493</v>
      </c>
      <c r="D260" s="2">
        <v>12</v>
      </c>
      <c r="E260" s="17"/>
      <c r="F260" s="17"/>
      <c r="H260" s="4"/>
      <c r="I260">
        <f t="shared" si="12"/>
        <v>12</v>
      </c>
      <c r="J260">
        <f t="shared" si="13"/>
        <v>15</v>
      </c>
      <c r="K260">
        <f t="shared" si="14"/>
        <v>85</v>
      </c>
      <c r="L260" s="23">
        <f t="shared" si="15"/>
        <v>6.4</v>
      </c>
    </row>
    <row r="261" spans="1:12" x14ac:dyDescent="0.25">
      <c r="A261" s="13" t="s">
        <v>1501</v>
      </c>
      <c r="B261" s="2">
        <v>3</v>
      </c>
      <c r="C261" s="2" t="s">
        <v>1501</v>
      </c>
      <c r="D261" s="2">
        <v>3</v>
      </c>
      <c r="E261" s="17" t="s">
        <v>2021</v>
      </c>
      <c r="F261" s="17"/>
      <c r="H261" s="4"/>
      <c r="I261">
        <f t="shared" ref="I261:I297" si="16">D261+G261</f>
        <v>3</v>
      </c>
      <c r="J261">
        <f t="shared" ref="J261:J297" si="17">IF(E261="Y",1,15)</f>
        <v>1</v>
      </c>
      <c r="K261">
        <f t="shared" ref="K261:K297" si="18">IF(F261="Y",99,85)</f>
        <v>85</v>
      </c>
      <c r="L261" s="23">
        <f t="shared" ref="L261:L297" si="19">ROUND((K261-J261)/MAX(1,I261-1),1)</f>
        <v>42</v>
      </c>
    </row>
    <row r="262" spans="1:12" x14ac:dyDescent="0.25">
      <c r="A262" s="13" t="s">
        <v>1508</v>
      </c>
      <c r="B262" s="2">
        <v>4</v>
      </c>
      <c r="C262" s="2" t="s">
        <v>1508</v>
      </c>
      <c r="D262" s="2">
        <v>4</v>
      </c>
      <c r="E262" s="17"/>
      <c r="F262" s="17"/>
      <c r="H262" s="4"/>
      <c r="I262">
        <f t="shared" si="16"/>
        <v>4</v>
      </c>
      <c r="J262">
        <f t="shared" si="17"/>
        <v>15</v>
      </c>
      <c r="K262">
        <f t="shared" si="18"/>
        <v>85</v>
      </c>
      <c r="L262" s="23">
        <f t="shared" si="19"/>
        <v>23.3</v>
      </c>
    </row>
    <row r="263" spans="1:12" x14ac:dyDescent="0.25">
      <c r="A263" s="13" t="s">
        <v>1516</v>
      </c>
      <c r="B263" s="2">
        <v>24</v>
      </c>
      <c r="C263" s="2" t="s">
        <v>1516</v>
      </c>
      <c r="D263" s="2">
        <v>24</v>
      </c>
      <c r="E263" s="17"/>
      <c r="F263" s="17" t="s">
        <v>2021</v>
      </c>
      <c r="H263" s="4"/>
      <c r="I263">
        <f t="shared" si="16"/>
        <v>24</v>
      </c>
      <c r="J263">
        <f t="shared" si="17"/>
        <v>15</v>
      </c>
      <c r="K263">
        <f t="shared" si="18"/>
        <v>99</v>
      </c>
      <c r="L263" s="23">
        <f t="shared" si="19"/>
        <v>3.7</v>
      </c>
    </row>
    <row r="264" spans="1:12" x14ac:dyDescent="0.25">
      <c r="A264" s="13" t="s">
        <v>1539</v>
      </c>
      <c r="B264" s="2">
        <v>2</v>
      </c>
      <c r="C264" s="2" t="s">
        <v>1539</v>
      </c>
      <c r="D264" s="2">
        <v>2</v>
      </c>
      <c r="E264" s="17"/>
      <c r="F264" s="17"/>
      <c r="H264" s="4"/>
      <c r="I264">
        <f t="shared" si="16"/>
        <v>2</v>
      </c>
      <c r="J264">
        <f t="shared" si="17"/>
        <v>15</v>
      </c>
      <c r="K264">
        <f t="shared" si="18"/>
        <v>85</v>
      </c>
      <c r="L264" s="23">
        <f t="shared" si="19"/>
        <v>70</v>
      </c>
    </row>
    <row r="265" spans="1:12" x14ac:dyDescent="0.25">
      <c r="A265" s="13" t="s">
        <v>1548</v>
      </c>
      <c r="B265" s="2">
        <v>1</v>
      </c>
      <c r="C265" s="2" t="s">
        <v>1548</v>
      </c>
      <c r="D265" s="2">
        <v>1</v>
      </c>
      <c r="E265" s="17"/>
      <c r="F265" s="17"/>
      <c r="H265" s="4"/>
      <c r="I265">
        <f t="shared" si="16"/>
        <v>1</v>
      </c>
      <c r="J265">
        <f t="shared" si="17"/>
        <v>15</v>
      </c>
      <c r="K265">
        <f t="shared" si="18"/>
        <v>85</v>
      </c>
      <c r="L265" s="23">
        <f t="shared" si="19"/>
        <v>70</v>
      </c>
    </row>
    <row r="266" spans="1:12" x14ac:dyDescent="0.25">
      <c r="A266" s="13" t="s">
        <v>1551</v>
      </c>
      <c r="B266" s="2">
        <v>1</v>
      </c>
      <c r="C266" s="2" t="s">
        <v>1551</v>
      </c>
      <c r="D266" s="2">
        <v>1</v>
      </c>
      <c r="E266" s="17"/>
      <c r="F266" s="17"/>
      <c r="H266" s="4"/>
      <c r="I266">
        <f t="shared" si="16"/>
        <v>1</v>
      </c>
      <c r="J266">
        <f t="shared" si="17"/>
        <v>15</v>
      </c>
      <c r="K266">
        <f t="shared" si="18"/>
        <v>85</v>
      </c>
      <c r="L266" s="23">
        <f t="shared" si="19"/>
        <v>70</v>
      </c>
    </row>
    <row r="267" spans="1:12" x14ac:dyDescent="0.25">
      <c r="A267" s="13" t="s">
        <v>1555</v>
      </c>
      <c r="B267" s="2">
        <v>1</v>
      </c>
      <c r="C267" s="2" t="s">
        <v>1555</v>
      </c>
      <c r="D267" s="2">
        <v>1</v>
      </c>
      <c r="E267" s="17"/>
      <c r="F267" s="17"/>
      <c r="H267" s="4"/>
      <c r="I267">
        <f t="shared" si="16"/>
        <v>1</v>
      </c>
      <c r="J267">
        <f t="shared" si="17"/>
        <v>15</v>
      </c>
      <c r="K267">
        <f t="shared" si="18"/>
        <v>85</v>
      </c>
      <c r="L267" s="23">
        <f t="shared" si="19"/>
        <v>70</v>
      </c>
    </row>
    <row r="268" spans="1:12" x14ac:dyDescent="0.25">
      <c r="A268" s="13" t="s">
        <v>1558</v>
      </c>
      <c r="B268" s="2">
        <v>1</v>
      </c>
      <c r="C268" s="2" t="s">
        <v>1558</v>
      </c>
      <c r="D268" s="2">
        <v>1</v>
      </c>
      <c r="E268" s="17"/>
      <c r="F268" s="17"/>
      <c r="H268" s="4"/>
      <c r="I268">
        <f t="shared" si="16"/>
        <v>1</v>
      </c>
      <c r="J268">
        <f t="shared" si="17"/>
        <v>15</v>
      </c>
      <c r="K268">
        <f t="shared" si="18"/>
        <v>85</v>
      </c>
      <c r="L268" s="23">
        <f t="shared" si="19"/>
        <v>70</v>
      </c>
    </row>
    <row r="269" spans="1:12" x14ac:dyDescent="0.25">
      <c r="A269" s="13" t="s">
        <v>1561</v>
      </c>
      <c r="B269" s="2">
        <v>1</v>
      </c>
      <c r="C269" s="2" t="s">
        <v>1561</v>
      </c>
      <c r="D269" s="2">
        <v>1</v>
      </c>
      <c r="E269" s="17"/>
      <c r="F269" s="17"/>
      <c r="H269" s="4"/>
      <c r="I269">
        <f t="shared" si="16"/>
        <v>1</v>
      </c>
      <c r="J269">
        <f t="shared" si="17"/>
        <v>15</v>
      </c>
      <c r="K269">
        <f t="shared" si="18"/>
        <v>85</v>
      </c>
      <c r="L269" s="23">
        <f t="shared" si="19"/>
        <v>70</v>
      </c>
    </row>
    <row r="270" spans="1:12" x14ac:dyDescent="0.25">
      <c r="A270" s="13" t="s">
        <v>1566</v>
      </c>
      <c r="B270" s="2">
        <v>1</v>
      </c>
      <c r="C270" s="2" t="s">
        <v>1566</v>
      </c>
      <c r="D270" s="2">
        <v>1</v>
      </c>
      <c r="E270" s="17"/>
      <c r="F270" s="17"/>
      <c r="H270" s="4"/>
      <c r="I270">
        <f t="shared" si="16"/>
        <v>1</v>
      </c>
      <c r="J270">
        <f t="shared" si="17"/>
        <v>15</v>
      </c>
      <c r="K270">
        <f t="shared" si="18"/>
        <v>85</v>
      </c>
      <c r="L270" s="23">
        <f t="shared" si="19"/>
        <v>70</v>
      </c>
    </row>
    <row r="271" spans="1:12" x14ac:dyDescent="0.25">
      <c r="A271" s="13" t="s">
        <v>1569</v>
      </c>
      <c r="B271" s="2">
        <v>2</v>
      </c>
      <c r="C271" s="2" t="s">
        <v>1569</v>
      </c>
      <c r="D271" s="2">
        <v>2</v>
      </c>
      <c r="E271" s="17"/>
      <c r="F271" s="17"/>
      <c r="H271" s="4"/>
      <c r="I271">
        <f t="shared" si="16"/>
        <v>2</v>
      </c>
      <c r="J271">
        <f t="shared" si="17"/>
        <v>15</v>
      </c>
      <c r="K271">
        <f t="shared" si="18"/>
        <v>85</v>
      </c>
      <c r="L271" s="23">
        <f t="shared" si="19"/>
        <v>70</v>
      </c>
    </row>
    <row r="272" spans="1:12" x14ac:dyDescent="0.25">
      <c r="A272" s="13" t="s">
        <v>1573</v>
      </c>
      <c r="B272" s="2">
        <v>1</v>
      </c>
      <c r="C272" s="2" t="s">
        <v>1573</v>
      </c>
      <c r="D272" s="2">
        <v>1</v>
      </c>
      <c r="E272" s="17"/>
      <c r="F272" s="17"/>
      <c r="H272" s="4"/>
      <c r="I272">
        <f t="shared" si="16"/>
        <v>1</v>
      </c>
      <c r="J272">
        <f t="shared" si="17"/>
        <v>15</v>
      </c>
      <c r="K272">
        <f t="shared" si="18"/>
        <v>85</v>
      </c>
      <c r="L272" s="23">
        <f t="shared" si="19"/>
        <v>70</v>
      </c>
    </row>
    <row r="273" spans="1:12" x14ac:dyDescent="0.25">
      <c r="A273" s="13" t="s">
        <v>1578</v>
      </c>
      <c r="B273" s="2">
        <v>2</v>
      </c>
      <c r="C273" s="2" t="s">
        <v>1578</v>
      </c>
      <c r="D273" s="2">
        <v>2</v>
      </c>
      <c r="E273" s="17"/>
      <c r="F273" s="17"/>
      <c r="H273" s="4"/>
      <c r="I273">
        <f t="shared" si="16"/>
        <v>2</v>
      </c>
      <c r="J273">
        <f t="shared" si="17"/>
        <v>15</v>
      </c>
      <c r="K273">
        <f t="shared" si="18"/>
        <v>85</v>
      </c>
      <c r="L273" s="23">
        <f t="shared" si="19"/>
        <v>70</v>
      </c>
    </row>
    <row r="274" spans="1:12" x14ac:dyDescent="0.25">
      <c r="A274" s="13" t="s">
        <v>1583</v>
      </c>
      <c r="B274" s="2">
        <v>2</v>
      </c>
      <c r="C274" s="2" t="s">
        <v>1583</v>
      </c>
      <c r="D274" s="2">
        <v>2</v>
      </c>
      <c r="E274" s="17"/>
      <c r="F274" s="17"/>
      <c r="H274" s="4"/>
      <c r="I274">
        <f t="shared" si="16"/>
        <v>2</v>
      </c>
      <c r="J274">
        <f t="shared" si="17"/>
        <v>15</v>
      </c>
      <c r="K274">
        <f t="shared" si="18"/>
        <v>85</v>
      </c>
      <c r="L274" s="23">
        <f t="shared" si="19"/>
        <v>70</v>
      </c>
    </row>
    <row r="275" spans="1:12" x14ac:dyDescent="0.25">
      <c r="A275" s="13" t="s">
        <v>1587</v>
      </c>
      <c r="B275" s="2">
        <v>2</v>
      </c>
      <c r="C275" s="2" t="s">
        <v>1587</v>
      </c>
      <c r="D275" s="2">
        <v>2</v>
      </c>
      <c r="E275" s="17"/>
      <c r="F275" s="17"/>
      <c r="H275" s="4"/>
      <c r="I275">
        <f t="shared" si="16"/>
        <v>2</v>
      </c>
      <c r="J275">
        <f t="shared" si="17"/>
        <v>15</v>
      </c>
      <c r="K275">
        <f t="shared" si="18"/>
        <v>85</v>
      </c>
      <c r="L275" s="23">
        <f t="shared" si="19"/>
        <v>70</v>
      </c>
    </row>
    <row r="276" spans="1:12" x14ac:dyDescent="0.25">
      <c r="A276" s="13" t="s">
        <v>1591</v>
      </c>
      <c r="B276" s="2">
        <v>2</v>
      </c>
      <c r="C276" s="2" t="s">
        <v>1591</v>
      </c>
      <c r="D276" s="2">
        <v>2</v>
      </c>
      <c r="E276" s="17"/>
      <c r="F276" s="17"/>
      <c r="H276" s="4"/>
      <c r="I276">
        <f t="shared" si="16"/>
        <v>2</v>
      </c>
      <c r="J276">
        <f t="shared" si="17"/>
        <v>15</v>
      </c>
      <c r="K276">
        <f t="shared" si="18"/>
        <v>85</v>
      </c>
      <c r="L276" s="23">
        <f t="shared" si="19"/>
        <v>70</v>
      </c>
    </row>
    <row r="277" spans="1:12" x14ac:dyDescent="0.25">
      <c r="A277" s="13" t="s">
        <v>1595</v>
      </c>
      <c r="B277" s="2">
        <v>1</v>
      </c>
      <c r="C277" s="2" t="s">
        <v>1595</v>
      </c>
      <c r="D277" s="2">
        <v>1</v>
      </c>
      <c r="E277" s="17"/>
      <c r="F277" s="17"/>
      <c r="H277" s="4"/>
      <c r="I277">
        <f t="shared" si="16"/>
        <v>1</v>
      </c>
      <c r="J277">
        <f t="shared" si="17"/>
        <v>15</v>
      </c>
      <c r="K277">
        <f t="shared" si="18"/>
        <v>85</v>
      </c>
      <c r="L277" s="23">
        <f t="shared" si="19"/>
        <v>70</v>
      </c>
    </row>
    <row r="278" spans="1:12" x14ac:dyDescent="0.25">
      <c r="A278" s="13" t="s">
        <v>1598</v>
      </c>
      <c r="B278" s="2">
        <v>1</v>
      </c>
      <c r="C278" s="2" t="s">
        <v>1598</v>
      </c>
      <c r="D278" s="2">
        <v>1</v>
      </c>
      <c r="E278" s="17"/>
      <c r="F278" s="17"/>
      <c r="H278" s="4"/>
      <c r="I278">
        <f t="shared" si="16"/>
        <v>1</v>
      </c>
      <c r="J278">
        <f t="shared" si="17"/>
        <v>15</v>
      </c>
      <c r="K278">
        <f t="shared" si="18"/>
        <v>85</v>
      </c>
      <c r="L278" s="23">
        <f t="shared" si="19"/>
        <v>70</v>
      </c>
    </row>
    <row r="279" spans="1:12" x14ac:dyDescent="0.25">
      <c r="A279" s="13" t="s">
        <v>1602</v>
      </c>
      <c r="B279" s="2">
        <v>1</v>
      </c>
      <c r="C279" s="2" t="s">
        <v>1602</v>
      </c>
      <c r="D279" s="2">
        <v>1</v>
      </c>
      <c r="E279" s="17"/>
      <c r="F279" s="17"/>
      <c r="H279" s="4"/>
      <c r="I279">
        <f t="shared" si="16"/>
        <v>1</v>
      </c>
      <c r="J279">
        <f t="shared" si="17"/>
        <v>15</v>
      </c>
      <c r="K279">
        <f t="shared" si="18"/>
        <v>85</v>
      </c>
      <c r="L279" s="23">
        <f t="shared" si="19"/>
        <v>70</v>
      </c>
    </row>
    <row r="280" spans="1:12" x14ac:dyDescent="0.25">
      <c r="A280" s="13" t="s">
        <v>1605</v>
      </c>
      <c r="B280" s="2">
        <v>4</v>
      </c>
      <c r="C280" s="2" t="s">
        <v>1605</v>
      </c>
      <c r="D280" s="2">
        <v>4</v>
      </c>
      <c r="E280" s="17"/>
      <c r="F280" s="17"/>
      <c r="H280" s="4"/>
      <c r="I280">
        <f t="shared" si="16"/>
        <v>4</v>
      </c>
      <c r="J280">
        <f t="shared" si="17"/>
        <v>15</v>
      </c>
      <c r="K280">
        <f t="shared" si="18"/>
        <v>85</v>
      </c>
      <c r="L280" s="23">
        <f t="shared" si="19"/>
        <v>23.3</v>
      </c>
    </row>
    <row r="281" spans="1:12" x14ac:dyDescent="0.25">
      <c r="A281" s="13" t="s">
        <v>1615</v>
      </c>
      <c r="B281" s="2">
        <v>5</v>
      </c>
      <c r="C281" s="2" t="s">
        <v>1615</v>
      </c>
      <c r="D281" s="2">
        <v>5</v>
      </c>
      <c r="E281" s="17"/>
      <c r="F281" s="17"/>
      <c r="H281" s="4"/>
      <c r="I281">
        <f t="shared" si="16"/>
        <v>5</v>
      </c>
      <c r="J281">
        <f t="shared" si="17"/>
        <v>15</v>
      </c>
      <c r="K281">
        <f t="shared" si="18"/>
        <v>85</v>
      </c>
      <c r="L281" s="23">
        <f t="shared" si="19"/>
        <v>17.5</v>
      </c>
    </row>
    <row r="282" spans="1:12" x14ac:dyDescent="0.25">
      <c r="A282" s="13" t="s">
        <v>1623</v>
      </c>
      <c r="B282" s="2">
        <v>1</v>
      </c>
      <c r="C282" s="2" t="s">
        <v>1623</v>
      </c>
      <c r="D282" s="2">
        <v>1</v>
      </c>
      <c r="E282" s="17"/>
      <c r="F282" s="17" t="s">
        <v>2021</v>
      </c>
      <c r="H282" s="4"/>
      <c r="I282">
        <f t="shared" si="16"/>
        <v>1</v>
      </c>
      <c r="J282">
        <f t="shared" si="17"/>
        <v>15</v>
      </c>
      <c r="K282">
        <f t="shared" si="18"/>
        <v>99</v>
      </c>
      <c r="L282" s="23">
        <f t="shared" si="19"/>
        <v>84</v>
      </c>
    </row>
    <row r="283" spans="1:12" x14ac:dyDescent="0.25">
      <c r="A283" s="13" t="s">
        <v>1625</v>
      </c>
      <c r="B283" s="2">
        <v>1</v>
      </c>
      <c r="C283" s="2" t="s">
        <v>1625</v>
      </c>
      <c r="D283" s="2">
        <v>1</v>
      </c>
      <c r="E283" s="17" t="s">
        <v>2021</v>
      </c>
      <c r="F283" s="17"/>
      <c r="H283" s="4"/>
      <c r="I283">
        <f t="shared" si="16"/>
        <v>1</v>
      </c>
      <c r="J283">
        <f t="shared" si="17"/>
        <v>1</v>
      </c>
      <c r="K283">
        <f t="shared" si="18"/>
        <v>85</v>
      </c>
      <c r="L283" s="23">
        <f t="shared" si="19"/>
        <v>84</v>
      </c>
    </row>
    <row r="284" spans="1:12" x14ac:dyDescent="0.25">
      <c r="A284" s="13" t="s">
        <v>1627</v>
      </c>
      <c r="B284" s="2">
        <v>4</v>
      </c>
      <c r="C284" s="2" t="s">
        <v>1627</v>
      </c>
      <c r="D284" s="2">
        <v>4</v>
      </c>
      <c r="E284" s="17"/>
      <c r="F284" s="17"/>
      <c r="H284" s="4"/>
      <c r="I284">
        <f t="shared" si="16"/>
        <v>4</v>
      </c>
      <c r="J284">
        <f t="shared" si="17"/>
        <v>15</v>
      </c>
      <c r="K284">
        <f t="shared" si="18"/>
        <v>85</v>
      </c>
      <c r="L284" s="23">
        <f t="shared" si="19"/>
        <v>23.3</v>
      </c>
    </row>
    <row r="285" spans="1:12" x14ac:dyDescent="0.25">
      <c r="A285" s="13" t="s">
        <v>1630</v>
      </c>
      <c r="B285" s="2">
        <v>2</v>
      </c>
      <c r="C285" s="2" t="s">
        <v>1630</v>
      </c>
      <c r="D285" s="2">
        <v>2</v>
      </c>
      <c r="E285" s="17"/>
      <c r="F285" s="17"/>
      <c r="H285" s="4"/>
      <c r="I285">
        <f t="shared" si="16"/>
        <v>2</v>
      </c>
      <c r="J285">
        <f t="shared" si="17"/>
        <v>15</v>
      </c>
      <c r="K285">
        <f t="shared" si="18"/>
        <v>85</v>
      </c>
      <c r="L285" s="23">
        <f t="shared" si="19"/>
        <v>70</v>
      </c>
    </row>
    <row r="286" spans="1:12" x14ac:dyDescent="0.25">
      <c r="A286" s="13" t="s">
        <v>1634</v>
      </c>
      <c r="B286" s="2">
        <v>2</v>
      </c>
      <c r="C286" s="2" t="s">
        <v>1634</v>
      </c>
      <c r="D286" s="2">
        <v>2</v>
      </c>
      <c r="E286" s="17"/>
      <c r="F286" s="17"/>
      <c r="H286" s="4"/>
      <c r="I286">
        <f t="shared" si="16"/>
        <v>2</v>
      </c>
      <c r="J286">
        <f t="shared" si="17"/>
        <v>15</v>
      </c>
      <c r="K286">
        <f t="shared" si="18"/>
        <v>85</v>
      </c>
      <c r="L286" s="23">
        <f t="shared" si="19"/>
        <v>70</v>
      </c>
    </row>
    <row r="287" spans="1:12" x14ac:dyDescent="0.25">
      <c r="A287" s="13" t="s">
        <v>1639</v>
      </c>
      <c r="B287" s="2">
        <v>2</v>
      </c>
      <c r="C287" s="2" t="s">
        <v>1639</v>
      </c>
      <c r="D287" s="2">
        <v>2</v>
      </c>
      <c r="E287" s="17"/>
      <c r="F287" s="17"/>
      <c r="H287" s="4"/>
      <c r="I287">
        <f t="shared" si="16"/>
        <v>2</v>
      </c>
      <c r="J287">
        <f t="shared" si="17"/>
        <v>15</v>
      </c>
      <c r="K287">
        <f t="shared" si="18"/>
        <v>85</v>
      </c>
      <c r="L287" s="23">
        <f t="shared" si="19"/>
        <v>70</v>
      </c>
    </row>
    <row r="288" spans="1:12" x14ac:dyDescent="0.25">
      <c r="A288" s="13" t="s">
        <v>1643</v>
      </c>
      <c r="B288" s="2">
        <v>1</v>
      </c>
      <c r="C288" s="2" t="s">
        <v>1643</v>
      </c>
      <c r="D288" s="2">
        <v>1</v>
      </c>
      <c r="E288" s="17"/>
      <c r="F288" s="17"/>
      <c r="H288" s="4"/>
      <c r="I288">
        <f t="shared" si="16"/>
        <v>1</v>
      </c>
      <c r="J288">
        <f t="shared" si="17"/>
        <v>15</v>
      </c>
      <c r="K288">
        <f t="shared" si="18"/>
        <v>85</v>
      </c>
      <c r="L288" s="23">
        <f t="shared" si="19"/>
        <v>70</v>
      </c>
    </row>
    <row r="289" spans="1:12" x14ac:dyDescent="0.25">
      <c r="A289" s="13" t="s">
        <v>1645</v>
      </c>
      <c r="B289" s="2">
        <v>7</v>
      </c>
      <c r="C289" s="2" t="s">
        <v>1645</v>
      </c>
      <c r="D289" s="2">
        <v>7</v>
      </c>
      <c r="E289" s="17"/>
      <c r="F289" s="17"/>
      <c r="H289" s="4"/>
      <c r="I289">
        <f t="shared" si="16"/>
        <v>7</v>
      </c>
      <c r="J289">
        <f t="shared" si="17"/>
        <v>15</v>
      </c>
      <c r="K289">
        <f t="shared" si="18"/>
        <v>85</v>
      </c>
      <c r="L289" s="23">
        <f t="shared" si="19"/>
        <v>11.7</v>
      </c>
    </row>
    <row r="290" spans="1:12" x14ac:dyDescent="0.25">
      <c r="A290" s="13" t="s">
        <v>1654</v>
      </c>
      <c r="B290" s="2">
        <v>7</v>
      </c>
      <c r="C290" s="2" t="s">
        <v>1654</v>
      </c>
      <c r="D290" s="2">
        <v>7</v>
      </c>
      <c r="E290" s="17"/>
      <c r="F290" s="17"/>
      <c r="H290" s="4"/>
      <c r="I290">
        <f t="shared" si="16"/>
        <v>7</v>
      </c>
      <c r="J290">
        <f t="shared" si="17"/>
        <v>15</v>
      </c>
      <c r="K290">
        <f t="shared" si="18"/>
        <v>85</v>
      </c>
      <c r="L290" s="23">
        <f t="shared" si="19"/>
        <v>11.7</v>
      </c>
    </row>
    <row r="291" spans="1:12" x14ac:dyDescent="0.25">
      <c r="A291" s="13" t="s">
        <v>1661</v>
      </c>
      <c r="B291" s="2">
        <v>2</v>
      </c>
      <c r="C291" s="2" t="s">
        <v>1661</v>
      </c>
      <c r="D291" s="2">
        <v>2</v>
      </c>
      <c r="E291" s="17"/>
      <c r="F291" s="17"/>
      <c r="H291" s="4"/>
      <c r="I291">
        <f t="shared" si="16"/>
        <v>2</v>
      </c>
      <c r="J291">
        <f t="shared" si="17"/>
        <v>15</v>
      </c>
      <c r="K291">
        <f t="shared" si="18"/>
        <v>85</v>
      </c>
      <c r="L291" s="23">
        <f t="shared" si="19"/>
        <v>70</v>
      </c>
    </row>
    <row r="292" spans="1:12" x14ac:dyDescent="0.25">
      <c r="A292" s="13" t="s">
        <v>1665</v>
      </c>
      <c r="B292" s="2">
        <v>1</v>
      </c>
      <c r="C292" s="2" t="s">
        <v>1665</v>
      </c>
      <c r="D292" s="2">
        <v>1</v>
      </c>
      <c r="E292" s="17"/>
      <c r="F292" s="17"/>
      <c r="H292" s="4"/>
      <c r="I292">
        <f t="shared" si="16"/>
        <v>1</v>
      </c>
      <c r="J292">
        <f t="shared" si="17"/>
        <v>15</v>
      </c>
      <c r="K292">
        <f t="shared" si="18"/>
        <v>85</v>
      </c>
      <c r="L292" s="23">
        <f t="shared" si="19"/>
        <v>70</v>
      </c>
    </row>
    <row r="293" spans="1:12" x14ac:dyDescent="0.25">
      <c r="A293" s="13" t="s">
        <v>1669</v>
      </c>
      <c r="B293" s="2">
        <v>1</v>
      </c>
      <c r="C293" s="2" t="s">
        <v>1669</v>
      </c>
      <c r="D293" s="2">
        <v>1</v>
      </c>
      <c r="E293" s="17" t="s">
        <v>2021</v>
      </c>
      <c r="F293" s="17"/>
      <c r="H293" s="4"/>
      <c r="I293">
        <f t="shared" si="16"/>
        <v>1</v>
      </c>
      <c r="J293">
        <f t="shared" si="17"/>
        <v>1</v>
      </c>
      <c r="K293">
        <f t="shared" si="18"/>
        <v>85</v>
      </c>
      <c r="L293" s="23">
        <f t="shared" si="19"/>
        <v>84</v>
      </c>
    </row>
    <row r="294" spans="1:12" x14ac:dyDescent="0.25">
      <c r="A294" s="13" t="s">
        <v>1671</v>
      </c>
      <c r="B294" s="2">
        <v>4</v>
      </c>
      <c r="C294" s="2" t="s">
        <v>1671</v>
      </c>
      <c r="D294" s="2">
        <v>4</v>
      </c>
      <c r="E294" s="17"/>
      <c r="F294" s="17" t="s">
        <v>2021</v>
      </c>
      <c r="H294" s="4"/>
      <c r="I294">
        <f t="shared" si="16"/>
        <v>4</v>
      </c>
      <c r="J294">
        <f t="shared" si="17"/>
        <v>15</v>
      </c>
      <c r="K294">
        <f t="shared" si="18"/>
        <v>99</v>
      </c>
      <c r="L294" s="23">
        <f t="shared" si="19"/>
        <v>28</v>
      </c>
    </row>
    <row r="295" spans="1:12" x14ac:dyDescent="0.25">
      <c r="A295" s="13" t="s">
        <v>1674</v>
      </c>
      <c r="B295" s="2">
        <v>1</v>
      </c>
      <c r="C295" s="2" t="s">
        <v>1674</v>
      </c>
      <c r="D295" s="2">
        <v>1</v>
      </c>
      <c r="E295" s="17"/>
      <c r="F295" s="17"/>
      <c r="H295" s="4"/>
      <c r="I295">
        <f t="shared" si="16"/>
        <v>1</v>
      </c>
      <c r="J295">
        <f t="shared" si="17"/>
        <v>15</v>
      </c>
      <c r="K295">
        <f t="shared" si="18"/>
        <v>85</v>
      </c>
      <c r="L295" s="23">
        <f t="shared" si="19"/>
        <v>70</v>
      </c>
    </row>
    <row r="296" spans="1:12" x14ac:dyDescent="0.25">
      <c r="A296" s="13" t="s">
        <v>1677</v>
      </c>
      <c r="B296" s="2">
        <v>1</v>
      </c>
      <c r="C296" s="2" t="s">
        <v>1677</v>
      </c>
      <c r="D296" s="2">
        <v>1</v>
      </c>
      <c r="E296" s="17" t="s">
        <v>2021</v>
      </c>
      <c r="F296" s="17"/>
      <c r="H296" s="4"/>
      <c r="I296">
        <f t="shared" si="16"/>
        <v>1</v>
      </c>
      <c r="J296">
        <f t="shared" si="17"/>
        <v>1</v>
      </c>
      <c r="K296">
        <f t="shared" si="18"/>
        <v>85</v>
      </c>
      <c r="L296" s="23">
        <f t="shared" si="19"/>
        <v>84</v>
      </c>
    </row>
    <row r="297" spans="1:12" x14ac:dyDescent="0.25">
      <c r="A297" s="13" t="s">
        <v>1680</v>
      </c>
      <c r="B297" s="2">
        <v>4</v>
      </c>
      <c r="C297" s="2" t="s">
        <v>1680</v>
      </c>
      <c r="D297" s="2">
        <v>4</v>
      </c>
      <c r="E297" s="17"/>
      <c r="F297" s="17"/>
      <c r="H297" s="4"/>
      <c r="I297">
        <f t="shared" si="16"/>
        <v>4</v>
      </c>
      <c r="J297">
        <f t="shared" si="17"/>
        <v>15</v>
      </c>
      <c r="K297">
        <f t="shared" si="18"/>
        <v>85</v>
      </c>
      <c r="L297" s="23">
        <f t="shared" si="19"/>
        <v>23.3</v>
      </c>
    </row>
    <row r="298" spans="1:12" x14ac:dyDescent="0.25">
      <c r="A298" s="13" t="s">
        <v>1716</v>
      </c>
      <c r="B298" s="2">
        <v>979</v>
      </c>
      <c r="C298" s="2"/>
      <c r="D298" s="2"/>
      <c r="E298" s="17"/>
      <c r="F298" s="17"/>
    </row>
    <row r="300" spans="1:12" x14ac:dyDescent="0.25">
      <c r="D300">
        <f>COUNT(D4:D297)</f>
        <v>294</v>
      </c>
      <c r="E300" t="s">
        <v>2042</v>
      </c>
    </row>
    <row r="301" spans="1:12" x14ac:dyDescent="0.25">
      <c r="D301">
        <f>COUNTIF(D4:D297, "&gt;=7")</f>
        <v>27</v>
      </c>
      <c r="E301" t="s">
        <v>2043</v>
      </c>
    </row>
    <row r="302" spans="1:12" x14ac:dyDescent="0.25">
      <c r="D302">
        <f>COUNTIF(D4:D297, "&gt;=3")</f>
        <v>92</v>
      </c>
      <c r="E302" t="s">
        <v>2044</v>
      </c>
    </row>
    <row r="303" spans="1:12" x14ac:dyDescent="0.25">
      <c r="D303">
        <f>COUNTIF(D4:D297, "=1")</f>
        <v>140</v>
      </c>
      <c r="E303" t="s">
        <v>2045</v>
      </c>
    </row>
    <row r="304" spans="1:12" x14ac:dyDescent="0.25">
      <c r="E304" s="33">
        <f>D303/D300</f>
        <v>0.47619047619047616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ClosureLocation</vt:lpstr>
      <vt:lpstr>DetourInfo</vt:lpstr>
      <vt:lpstr>State Detour Map</vt:lpstr>
      <vt:lpstr>StateHighwaySegments</vt:lpstr>
      <vt:lpstr>SecondaryCouplets</vt:lpstr>
      <vt:lpstr>LocalSegments</vt:lpstr>
      <vt:lpstr>LocalMaps</vt:lpstr>
      <vt:lpstr>SegmentsPerRoute</vt:lpstr>
      <vt:lpstr>DefaultValues</vt:lpstr>
      <vt:lpstr>RouteMileposts</vt:lpstr>
    </vt:vector>
  </TitlesOfParts>
  <Company>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Ramming, M</dc:creator>
  <cp:lastModifiedBy>Kemp, Elizabeth</cp:lastModifiedBy>
  <cp:lastPrinted>2020-10-19T18:56:30Z</cp:lastPrinted>
  <dcterms:created xsi:type="dcterms:W3CDTF">2020-08-12T20:10:15Z</dcterms:created>
  <dcterms:modified xsi:type="dcterms:W3CDTF">2021-07-06T17:21:22Z</dcterms:modified>
</cp:coreProperties>
</file>