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codeName="{B6124F1A-AFFB-F854-7757-9A1D4C6FC43C}"/>
  <workbookPr codeName="ThisWorkbook"/>
  <mc:AlternateContent xmlns:mc="http://schemas.openxmlformats.org/markup-compatibility/2006">
    <mc:Choice Requires="x15">
      <x15ac:absPath xmlns:x15ac="http://schemas.microsoft.com/office/spreadsheetml/2010/11/ac" url="C:\Users\vua\Downloads\Chrome\"/>
    </mc:Choice>
  </mc:AlternateContent>
  <xr:revisionPtr revIDLastSave="0" documentId="13_ncr:1_{5C4DC87A-896B-43A8-B0C4-AF9841DAF1B2}" xr6:coauthVersionLast="47" xr6:coauthVersionMax="47" xr10:uidLastSave="{00000000-0000-0000-0000-000000000000}"/>
  <workbookProtection workbookAlgorithmName="SHA-512" workbookHashValue="37I40q3VUPcvOwj/iZi9Qh1/2hTOpNTiKKMBzFd4T8MBzIat/0eAnj0KWKx3dT6n+vsvplp8/KNutLOguJbRyA==" workbookSaltValue="PVBD0z2LtafJpmR12LbmMQ==" workbookSpinCount="100000" lockStructure="1"/>
  <bookViews>
    <workbookView xWindow="-120" yWindow="-120" windowWidth="29040" windowHeight="15840" xr2:uid="{00000000-000D-0000-FFFF-FFFF00000000}"/>
  </bookViews>
  <sheets>
    <sheet name="Summary" sheetId="1" r:id="rId1"/>
    <sheet name="Costs &amp; Service Life" sheetId="2" r:id="rId2"/>
    <sheet name="Effectiveness (CRF)" sheetId="7" r:id="rId3"/>
    <sheet name="MISC" sheetId="8" state="hidden" r:id="rId4"/>
  </sheets>
  <definedNames>
    <definedName name="_xlnm._FilterDatabase" localSheetId="0" hidden="1">Summary!#REF!</definedName>
    <definedName name="costequation">Summary!$X$14</definedName>
    <definedName name="CRFRow">Summary!$W$32</definedName>
    <definedName name="DTDCalcEnd">Summary!$W$160</definedName>
    <definedName name="DTDCalcStart">Summary!$W$112</definedName>
    <definedName name="EndofForm">Summary!$W$235</definedName>
    <definedName name="equation">Summary!$W$34</definedName>
    <definedName name="FenceAddRow">Summary!$W$14</definedName>
    <definedName name="FenceCount">Summary!$V$9</definedName>
    <definedName name="FenceRow">Summary!$W$11</definedName>
    <definedName name="LocationAddRow">Summary!$W$8</definedName>
    <definedName name="LocationCount">Summary!$V$5</definedName>
    <definedName name="LocationRow">Summary!$W$6</definedName>
    <definedName name="TSCalcEnd">Summary!$W$87</definedName>
    <definedName name="TSCalcStart">Summary!$W$66</definedName>
    <definedName name="wildanimal1">Summary!$W$54</definedName>
    <definedName name="wildanimal2">Summary!$W$110</definedName>
    <definedName name="wildanimal3">Summary!$W$136</definedName>
    <definedName name="wildanimal4">Summary!$W$181</definedName>
    <definedName name="wildanimal5">Summary!$W$207</definedName>
    <definedName name="wildanimalcount">Summary!$V$54</definedName>
    <definedName name="WVCCalcEnd">Summary!$W$231</definedName>
    <definedName name="WVCCalcStart">Summary!$W$183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05" i="1" l="1"/>
  <c r="F205" i="1"/>
  <c r="H179" i="1"/>
  <c r="F179" i="1"/>
  <c r="H134" i="1"/>
  <c r="F108" i="1"/>
  <c r="H203" i="1"/>
  <c r="H177" i="1"/>
  <c r="F177" i="1"/>
  <c r="H132" i="1"/>
  <c r="F106" i="1"/>
  <c r="V48" i="1"/>
  <c r="V50" i="1" s="1"/>
  <c r="F132" i="1" s="1"/>
  <c r="F199" i="1"/>
  <c r="F128" i="1"/>
  <c r="W207" i="1"/>
  <c r="W136" i="1"/>
  <c r="F104" i="1"/>
  <c r="F102" i="1"/>
  <c r="F173" i="1"/>
  <c r="F175" i="1"/>
  <c r="W54" i="1"/>
  <c r="W110" i="1"/>
  <c r="W181" i="1"/>
  <c r="F197" i="1"/>
  <c r="F126" i="1"/>
  <c r="F195" i="1"/>
  <c r="F124" i="1"/>
  <c r="F193" i="1"/>
  <c r="F122" i="1"/>
  <c r="H130" i="1"/>
  <c r="H128" i="1"/>
  <c r="H201" i="1"/>
  <c r="H199" i="1"/>
  <c r="D93" i="1"/>
  <c r="H12" i="1"/>
  <c r="L34" i="1"/>
  <c r="J34" i="1"/>
  <c r="H34" i="1"/>
  <c r="N11" i="1"/>
  <c r="V52" i="1" l="1"/>
  <c r="F134" i="1" s="1"/>
  <c r="F203" i="1"/>
  <c r="F130" i="1"/>
  <c r="F201" i="1"/>
  <c r="H170" i="1"/>
  <c r="H168" i="1"/>
  <c r="H166" i="1"/>
  <c r="J11" i="1"/>
  <c r="L11" i="1"/>
  <c r="H197" i="1"/>
  <c r="H195" i="1"/>
  <c r="H193" i="1"/>
  <c r="H126" i="1"/>
  <c r="H124" i="1"/>
  <c r="H122" i="1"/>
  <c r="BH8" i="1"/>
  <c r="BI8" i="1" s="1"/>
  <c r="BJ8" i="1" s="1"/>
  <c r="BK8" i="1" s="1"/>
  <c r="BL8" i="1" s="1"/>
  <c r="BM8" i="1" s="1"/>
  <c r="BN8" i="1" s="1"/>
  <c r="BO8" i="1" s="1"/>
  <c r="BP8" i="1" s="1"/>
  <c r="BQ8" i="1" s="1"/>
  <c r="BR8" i="1" s="1"/>
  <c r="BS8" i="1" s="1"/>
  <c r="BT8" i="1" s="1"/>
  <c r="BU8" i="1" s="1"/>
  <c r="BV8" i="1" s="1"/>
  <c r="BW8" i="1" s="1"/>
  <c r="BX8" i="1" s="1"/>
  <c r="BY8" i="1" s="1"/>
  <c r="BZ8" i="1" s="1"/>
  <c r="CA8" i="1" s="1"/>
  <c r="CB8" i="1" s="1"/>
  <c r="CC8" i="1" s="1"/>
  <c r="CD8" i="1" s="1"/>
  <c r="CE8" i="1" s="1"/>
  <c r="CF8" i="1" s="1"/>
  <c r="CG8" i="1" s="1"/>
  <c r="CH8" i="1" s="1"/>
  <c r="CI8" i="1" s="1"/>
  <c r="CJ8" i="1" s="1"/>
  <c r="CK8" i="1" s="1"/>
  <c r="CL8" i="1" s="1"/>
  <c r="CM8" i="1" s="1"/>
  <c r="CN8" i="1" s="1"/>
  <c r="CO8" i="1" s="1"/>
  <c r="CP8" i="1" s="1"/>
  <c r="CQ8" i="1" s="1"/>
  <c r="CR8" i="1" s="1"/>
  <c r="CS8" i="1" s="1"/>
  <c r="CT8" i="1" s="1"/>
  <c r="CU8" i="1" s="1"/>
  <c r="CV8" i="1" s="1"/>
  <c r="CW8" i="1" s="1"/>
  <c r="CX8" i="1" s="1"/>
  <c r="CY8" i="1" s="1"/>
  <c r="CZ8" i="1" s="1"/>
  <c r="DA8" i="1" s="1"/>
  <c r="DB8" i="1" s="1"/>
  <c r="DC8" i="1" s="1"/>
  <c r="DD8" i="1" s="1"/>
  <c r="DE8" i="1" s="1"/>
  <c r="DF8" i="1" s="1"/>
  <c r="DG8" i="1" s="1"/>
  <c r="DH8" i="1" s="1"/>
  <c r="DI8" i="1" s="1"/>
  <c r="DJ8" i="1" s="1"/>
  <c r="DK8" i="1" s="1"/>
  <c r="DL8" i="1" s="1"/>
  <c r="DM8" i="1" s="1"/>
  <c r="DN8" i="1" s="1"/>
  <c r="DO8" i="1" s="1"/>
  <c r="DP8" i="1" s="1"/>
  <c r="DQ8" i="1" s="1"/>
  <c r="DR8" i="1" s="1"/>
  <c r="DS8" i="1" s="1"/>
  <c r="DT8" i="1" s="1"/>
  <c r="DU8" i="1" s="1"/>
  <c r="DV8" i="1" s="1"/>
  <c r="DW8" i="1" s="1"/>
  <c r="DX8" i="1" s="1"/>
  <c r="DY8" i="1" s="1"/>
  <c r="Y6" i="1"/>
  <c r="Y9" i="1" s="1"/>
  <c r="R11" i="1" l="1"/>
  <c r="Z9" i="1"/>
  <c r="AA9" i="1" s="1"/>
  <c r="AB9" i="1" s="1"/>
  <c r="AC9" i="1" s="1"/>
  <c r="AD9" i="1" s="1"/>
  <c r="AE9" i="1" s="1"/>
  <c r="AF9" i="1" s="1"/>
  <c r="AG9" i="1" s="1"/>
  <c r="AH9" i="1" s="1"/>
  <c r="AI9" i="1" s="1"/>
  <c r="AJ9" i="1" s="1"/>
  <c r="AK9" i="1" s="1"/>
  <c r="AL9" i="1" s="1"/>
  <c r="AM9" i="1" s="1"/>
  <c r="AN9" i="1" s="1"/>
  <c r="AO9" i="1" s="1"/>
  <c r="AP9" i="1" s="1"/>
  <c r="AQ9" i="1" s="1"/>
  <c r="AR9" i="1" s="1"/>
  <c r="AS9" i="1" s="1"/>
  <c r="AT9" i="1" s="1"/>
  <c r="AU9" i="1" s="1"/>
  <c r="AV9" i="1" s="1"/>
  <c r="AW9" i="1" s="1"/>
  <c r="AX9" i="1" s="1"/>
  <c r="AY9" i="1" s="1"/>
  <c r="AZ9" i="1" s="1"/>
  <c r="BA9" i="1" s="1"/>
  <c r="BB9" i="1" s="1"/>
  <c r="BC9" i="1" s="1"/>
  <c r="BD9" i="1" s="1"/>
  <c r="BH9" i="1" s="1"/>
  <c r="BI9" i="1" s="1"/>
  <c r="BJ9" i="1" s="1"/>
  <c r="BK9" i="1" s="1"/>
  <c r="BL9" i="1" s="1"/>
  <c r="BM9" i="1" s="1"/>
  <c r="BN9" i="1" s="1"/>
  <c r="BO9" i="1" s="1"/>
  <c r="BP9" i="1" s="1"/>
  <c r="BQ9" i="1" s="1"/>
  <c r="BR9" i="1" s="1"/>
  <c r="BS9" i="1" s="1"/>
  <c r="BT9" i="1" s="1"/>
  <c r="BU9" i="1" s="1"/>
  <c r="BV9" i="1" s="1"/>
  <c r="BW9" i="1" s="1"/>
  <c r="BX9" i="1" s="1"/>
  <c r="BY9" i="1" s="1"/>
  <c r="BZ9" i="1" s="1"/>
  <c r="CA9" i="1" s="1"/>
  <c r="CB9" i="1" s="1"/>
  <c r="CC9" i="1" s="1"/>
  <c r="CD9" i="1" s="1"/>
  <c r="CE9" i="1" s="1"/>
  <c r="CF9" i="1" s="1"/>
  <c r="CG9" i="1" s="1"/>
  <c r="CH9" i="1" s="1"/>
  <c r="CI9" i="1" s="1"/>
  <c r="CJ9" i="1" s="1"/>
  <c r="CK9" i="1" s="1"/>
  <c r="CL9" i="1" s="1"/>
  <c r="CM9" i="1" s="1"/>
  <c r="CN9" i="1" s="1"/>
  <c r="CO9" i="1" s="1"/>
  <c r="CP9" i="1" s="1"/>
  <c r="CQ9" i="1" s="1"/>
  <c r="CR9" i="1" s="1"/>
  <c r="CS9" i="1" s="1"/>
  <c r="CT9" i="1" s="1"/>
  <c r="CU9" i="1" s="1"/>
  <c r="CV9" i="1" s="1"/>
  <c r="CW9" i="1" s="1"/>
  <c r="CX9" i="1" s="1"/>
  <c r="CY9" i="1" s="1"/>
  <c r="CZ9" i="1" s="1"/>
  <c r="DA9" i="1" s="1"/>
  <c r="DB9" i="1" s="1"/>
  <c r="DC9" i="1" s="1"/>
  <c r="DD9" i="1" s="1"/>
  <c r="DE9" i="1" s="1"/>
  <c r="DF9" i="1" s="1"/>
  <c r="DG9" i="1" s="1"/>
  <c r="DH9" i="1" s="1"/>
  <c r="DI9" i="1" s="1"/>
  <c r="DJ9" i="1" s="1"/>
  <c r="DK9" i="1" s="1"/>
  <c r="DL9" i="1" s="1"/>
  <c r="DM9" i="1" s="1"/>
  <c r="DN9" i="1" s="1"/>
  <c r="DO9" i="1" s="1"/>
  <c r="DP9" i="1" s="1"/>
  <c r="DQ9" i="1" s="1"/>
  <c r="DR9" i="1" s="1"/>
  <c r="DS9" i="1" s="1"/>
  <c r="DT9" i="1" s="1"/>
  <c r="DU9" i="1" s="1"/>
  <c r="DV9" i="1" s="1"/>
  <c r="DW9" i="1" s="1"/>
  <c r="DX9" i="1" s="1"/>
  <c r="DY9" i="1" s="1"/>
  <c r="Z6" i="1"/>
  <c r="AA6" i="1" s="1"/>
  <c r="AB6" i="1" s="1"/>
  <c r="AC6" i="1" s="1"/>
  <c r="AD6" i="1" s="1"/>
  <c r="AE6" i="1" s="1"/>
  <c r="AF6" i="1" s="1"/>
  <c r="AG6" i="1" s="1"/>
  <c r="AH6" i="1" s="1"/>
  <c r="AI6" i="1" s="1"/>
  <c r="AJ6" i="1" s="1"/>
  <c r="AK6" i="1" s="1"/>
  <c r="AL6" i="1" s="1"/>
  <c r="AM6" i="1" s="1"/>
  <c r="AN6" i="1" s="1"/>
  <c r="AO6" i="1" s="1"/>
  <c r="AP6" i="1" s="1"/>
  <c r="AQ6" i="1" s="1"/>
  <c r="AR6" i="1" s="1"/>
  <c r="AS6" i="1" s="1"/>
  <c r="AT6" i="1" s="1"/>
  <c r="AU6" i="1" s="1"/>
  <c r="AV6" i="1" s="1"/>
  <c r="AW6" i="1" s="1"/>
  <c r="AX6" i="1" s="1"/>
  <c r="AY6" i="1" s="1"/>
  <c r="AZ6" i="1" s="1"/>
  <c r="BA6" i="1" s="1"/>
  <c r="BB6" i="1" s="1"/>
  <c r="BC6" i="1" s="1"/>
  <c r="BD6" i="1" s="1"/>
  <c r="BH6" i="1" s="1"/>
  <c r="BI6" i="1" s="1"/>
  <c r="BJ6" i="1" s="1"/>
  <c r="BK6" i="1" s="1"/>
  <c r="BL6" i="1" s="1"/>
  <c r="BM6" i="1" s="1"/>
  <c r="BN6" i="1" s="1"/>
  <c r="BO6" i="1" s="1"/>
  <c r="BP6" i="1" s="1"/>
  <c r="BQ6" i="1" s="1"/>
  <c r="BR6" i="1" s="1"/>
  <c r="BS6" i="1" s="1"/>
  <c r="BT6" i="1" s="1"/>
  <c r="BU6" i="1" s="1"/>
  <c r="BV6" i="1" s="1"/>
  <c r="BW6" i="1" s="1"/>
  <c r="BX6" i="1" s="1"/>
  <c r="BY6" i="1" s="1"/>
  <c r="BZ6" i="1" s="1"/>
  <c r="CA6" i="1" s="1"/>
  <c r="CB6" i="1" s="1"/>
  <c r="CC6" i="1" s="1"/>
  <c r="CD6" i="1" s="1"/>
  <c r="CE6" i="1" s="1"/>
  <c r="CF6" i="1" s="1"/>
  <c r="CG6" i="1" s="1"/>
  <c r="CH6" i="1" s="1"/>
  <c r="CI6" i="1" s="1"/>
  <c r="CJ6" i="1" s="1"/>
  <c r="CK6" i="1" s="1"/>
  <c r="CL6" i="1" s="1"/>
  <c r="CM6" i="1" s="1"/>
  <c r="CN6" i="1" s="1"/>
  <c r="CO6" i="1" s="1"/>
  <c r="CP6" i="1" s="1"/>
  <c r="CQ6" i="1" s="1"/>
  <c r="CR6" i="1" s="1"/>
  <c r="CS6" i="1" s="1"/>
  <c r="CT6" i="1" s="1"/>
  <c r="CU6" i="1" s="1"/>
  <c r="CV6" i="1" s="1"/>
  <c r="CW6" i="1" s="1"/>
  <c r="CX6" i="1" s="1"/>
  <c r="CY6" i="1" s="1"/>
  <c r="CZ6" i="1" s="1"/>
  <c r="DA6" i="1" s="1"/>
  <c r="DB6" i="1" s="1"/>
  <c r="DC6" i="1" s="1"/>
  <c r="DD6" i="1" s="1"/>
  <c r="DE6" i="1" s="1"/>
  <c r="DF6" i="1" s="1"/>
  <c r="DG6" i="1" s="1"/>
  <c r="DH6" i="1" s="1"/>
  <c r="DI6" i="1" s="1"/>
  <c r="DJ6" i="1" s="1"/>
  <c r="DK6" i="1" s="1"/>
  <c r="DL6" i="1" s="1"/>
  <c r="DM6" i="1" s="1"/>
  <c r="DN6" i="1" s="1"/>
  <c r="DO6" i="1" s="1"/>
  <c r="DP6" i="1" s="1"/>
  <c r="DQ6" i="1" s="1"/>
  <c r="DR6" i="1" s="1"/>
  <c r="DS6" i="1" s="1"/>
  <c r="DT6" i="1" s="1"/>
  <c r="DU6" i="1" s="1"/>
  <c r="DV6" i="1" s="1"/>
  <c r="DW6" i="1" s="1"/>
  <c r="DX6" i="1" s="1"/>
  <c r="DY6" i="1" s="1"/>
  <c r="H118" i="1" l="1"/>
  <c r="W32" i="1" l="1"/>
  <c r="W235" i="1"/>
  <c r="H175" i="1"/>
  <c r="H173" i="1"/>
  <c r="H189" i="1"/>
  <c r="W231" i="1"/>
  <c r="W183" i="1"/>
  <c r="W160" i="1"/>
  <c r="W112" i="1" l="1"/>
  <c r="H74" i="1"/>
  <c r="H84" i="1"/>
  <c r="W87" i="1" l="1"/>
  <c r="W66" i="1"/>
  <c r="L12" i="1" l="1"/>
  <c r="H187" i="1" l="1"/>
  <c r="H210" i="1" s="1"/>
  <c r="W8" i="1"/>
  <c r="W6" i="1"/>
  <c r="W14" i="1"/>
  <c r="H116" i="1" l="1"/>
  <c r="H139" i="1" s="1"/>
  <c r="BG11" i="1"/>
  <c r="BG12" i="1"/>
  <c r="P11" i="1"/>
  <c r="AA11" i="1" s="1"/>
  <c r="H72" i="1"/>
  <c r="H78" i="1" s="1"/>
  <c r="E15" i="1"/>
  <c r="AB140" i="1" l="1"/>
  <c r="AB141" i="1"/>
  <c r="AA140" i="1"/>
  <c r="AA141" i="1"/>
  <c r="DK11" i="1"/>
  <c r="DM11" i="1"/>
  <c r="DA11" i="1"/>
  <c r="DS11" i="1"/>
  <c r="DD11" i="1"/>
  <c r="DU11" i="1"/>
  <c r="DI11" i="1"/>
  <c r="DR11" i="1"/>
  <c r="DW11" i="1"/>
  <c r="DV11" i="1"/>
  <c r="DL11" i="1"/>
  <c r="DH11" i="1"/>
  <c r="DQ11" i="1"/>
  <c r="DB11" i="1"/>
  <c r="DT11" i="1"/>
  <c r="DG11" i="1"/>
  <c r="DP11" i="1"/>
  <c r="DY11" i="1"/>
  <c r="DO11" i="1"/>
  <c r="DC11" i="1"/>
  <c r="DF11" i="1"/>
  <c r="DN11" i="1"/>
  <c r="DE11" i="1"/>
  <c r="DJ11" i="1"/>
  <c r="DX11" i="1"/>
  <c r="DT12" i="1"/>
  <c r="DH12" i="1"/>
  <c r="DQ12" i="1"/>
  <c r="DP12" i="1"/>
  <c r="DY12" i="1"/>
  <c r="DK12" i="1"/>
  <c r="DV12" i="1"/>
  <c r="DS12" i="1"/>
  <c r="DU12" i="1"/>
  <c r="DE12" i="1"/>
  <c r="DG12" i="1"/>
  <c r="DX12" i="1"/>
  <c r="DO12" i="1"/>
  <c r="DC12" i="1"/>
  <c r="DM12" i="1"/>
  <c r="DJ12" i="1"/>
  <c r="DR12" i="1"/>
  <c r="DF12" i="1"/>
  <c r="DW12" i="1"/>
  <c r="DN12" i="1"/>
  <c r="DB12" i="1"/>
  <c r="DD12" i="1"/>
  <c r="DA12" i="1"/>
  <c r="DL12" i="1"/>
  <c r="DI12" i="1"/>
  <c r="CW12" i="1"/>
  <c r="BQ12" i="1"/>
  <c r="CG12" i="1"/>
  <c r="BY12" i="1"/>
  <c r="CO12" i="1"/>
  <c r="BI12" i="1"/>
  <c r="CM12" i="1"/>
  <c r="BH12" i="1"/>
  <c r="CX12" i="1"/>
  <c r="BK12" i="1"/>
  <c r="CU12" i="1"/>
  <c r="BP12" i="1"/>
  <c r="BS12" i="1"/>
  <c r="CR12" i="1"/>
  <c r="CD12" i="1"/>
  <c r="CF12" i="1"/>
  <c r="CI12" i="1"/>
  <c r="BO12" i="1"/>
  <c r="CY12" i="1"/>
  <c r="BX12" i="1"/>
  <c r="CA12" i="1"/>
  <c r="CZ12" i="1"/>
  <c r="BM12" i="1"/>
  <c r="CL12" i="1"/>
  <c r="BJ12" i="1"/>
  <c r="BL12" i="1"/>
  <c r="BW12" i="1"/>
  <c r="BU12" i="1"/>
  <c r="CT12" i="1"/>
  <c r="CN12" i="1"/>
  <c r="BR12" i="1"/>
  <c r="CQ12" i="1"/>
  <c r="CV12" i="1"/>
  <c r="BZ12" i="1"/>
  <c r="CK12" i="1"/>
  <c r="CC12" i="1"/>
  <c r="CH12" i="1"/>
  <c r="BT12" i="1"/>
  <c r="CS12" i="1"/>
  <c r="CE12" i="1"/>
  <c r="CP12" i="1"/>
  <c r="CB12" i="1"/>
  <c r="BN12" i="1"/>
  <c r="CJ12" i="1"/>
  <c r="BV12" i="1"/>
  <c r="CM11" i="1"/>
  <c r="CE11" i="1"/>
  <c r="CU11" i="1"/>
  <c r="BO11" i="1"/>
  <c r="BW11" i="1"/>
  <c r="CV11" i="1"/>
  <c r="BI11" i="1"/>
  <c r="CH11" i="1"/>
  <c r="BT11" i="1"/>
  <c r="BN11" i="1"/>
  <c r="BQ11" i="1"/>
  <c r="CB11" i="1"/>
  <c r="BV11" i="1"/>
  <c r="BY11" i="1"/>
  <c r="CX11" i="1"/>
  <c r="BK11" i="1"/>
  <c r="CJ11" i="1"/>
  <c r="BP11" i="1"/>
  <c r="CD11" i="1"/>
  <c r="BH11" i="1"/>
  <c r="CG11" i="1"/>
  <c r="BS11" i="1"/>
  <c r="CR11" i="1"/>
  <c r="CL11" i="1"/>
  <c r="CO11" i="1"/>
  <c r="CA11" i="1"/>
  <c r="CZ11" i="1"/>
  <c r="BM11" i="1"/>
  <c r="CT11" i="1"/>
  <c r="BX11" i="1"/>
  <c r="CW11" i="1"/>
  <c r="BJ11" i="1"/>
  <c r="CI11" i="1"/>
  <c r="CF11" i="1"/>
  <c r="CQ11" i="1"/>
  <c r="CC11" i="1"/>
  <c r="BU11" i="1"/>
  <c r="BR11" i="1"/>
  <c r="CN11" i="1"/>
  <c r="BZ11" i="1"/>
  <c r="CY11" i="1"/>
  <c r="BL11" i="1"/>
  <c r="CK11" i="1"/>
  <c r="CS11" i="1"/>
  <c r="CP11" i="1"/>
  <c r="H208" i="1"/>
  <c r="H137" i="1"/>
  <c r="BA212" i="1"/>
  <c r="AS212" i="1"/>
  <c r="AK212" i="1"/>
  <c r="AC212" i="1"/>
  <c r="AX211" i="1"/>
  <c r="AA212" i="1"/>
  <c r="AM211" i="1"/>
  <c r="AQ212" i="1"/>
  <c r="BD211" i="1"/>
  <c r="AL212" i="1"/>
  <c r="AZ212" i="1"/>
  <c r="AR212" i="1"/>
  <c r="AJ212" i="1"/>
  <c r="AB212" i="1"/>
  <c r="AW211" i="1"/>
  <c r="AY212" i="1"/>
  <c r="AI212" i="1"/>
  <c r="AV211" i="1"/>
  <c r="AX212" i="1"/>
  <c r="AP212" i="1"/>
  <c r="AH212" i="1"/>
  <c r="BC211" i="1"/>
  <c r="AU211" i="1"/>
  <c r="AF212" i="1"/>
  <c r="AD212" i="1"/>
  <c r="AW212" i="1"/>
  <c r="AO212" i="1"/>
  <c r="AG212" i="1"/>
  <c r="BB211" i="1"/>
  <c r="AO211" i="1"/>
  <c r="BD212" i="1"/>
  <c r="AV212" i="1"/>
  <c r="AN212" i="1"/>
  <c r="BA211" i="1"/>
  <c r="AN211" i="1"/>
  <c r="AT212" i="1"/>
  <c r="AF211" i="1"/>
  <c r="BC212" i="1"/>
  <c r="AU212" i="1"/>
  <c r="AM212" i="1"/>
  <c r="AE212" i="1"/>
  <c r="AZ211" i="1"/>
  <c r="AG211" i="1"/>
  <c r="BB212" i="1"/>
  <c r="AY211" i="1"/>
  <c r="AP211" i="1"/>
  <c r="AJ211" i="1"/>
  <c r="AI211" i="1"/>
  <c r="AD211" i="1"/>
  <c r="AL211" i="1"/>
  <c r="AB211" i="1"/>
  <c r="AT211" i="1"/>
  <c r="AE211" i="1"/>
  <c r="AQ211" i="1"/>
  <c r="AR211" i="1"/>
  <c r="AA211" i="1"/>
  <c r="AH211" i="1"/>
  <c r="AS211" i="1"/>
  <c r="AK211" i="1"/>
  <c r="AC211" i="1"/>
  <c r="BC140" i="1"/>
  <c r="BD141" i="1"/>
  <c r="BA140" i="1"/>
  <c r="BC141" i="1"/>
  <c r="AZ140" i="1"/>
  <c r="BB141" i="1"/>
  <c r="BA141" i="1"/>
  <c r="AZ141" i="1"/>
  <c r="BB140" i="1"/>
  <c r="BD140" i="1"/>
  <c r="AV140" i="1"/>
  <c r="AT140" i="1"/>
  <c r="AS140" i="1"/>
  <c r="AM140" i="1"/>
  <c r="AP141" i="1"/>
  <c r="AS141" i="1"/>
  <c r="AK141" i="1"/>
  <c r="AH141" i="1"/>
  <c r="AJ141" i="1"/>
  <c r="AU140" i="1"/>
  <c r="AN141" i="1"/>
  <c r="AL140" i="1"/>
  <c r="AT141" i="1"/>
  <c r="AW140" i="1"/>
  <c r="AU141" i="1"/>
  <c r="AY140" i="1"/>
  <c r="AM141" i="1"/>
  <c r="AH140" i="1"/>
  <c r="AE140" i="1"/>
  <c r="AK140" i="1"/>
  <c r="AY141" i="1"/>
  <c r="AC141" i="1"/>
  <c r="AG140" i="1"/>
  <c r="AI141" i="1"/>
  <c r="AD140" i="1"/>
  <c r="AW141" i="1"/>
  <c r="AC140" i="1"/>
  <c r="AI140" i="1"/>
  <c r="AN140" i="1"/>
  <c r="AP140" i="1"/>
  <c r="AF140" i="1"/>
  <c r="AQ140" i="1"/>
  <c r="AQ141" i="1"/>
  <c r="AG141" i="1"/>
  <c r="AR141" i="1"/>
  <c r="AR140" i="1"/>
  <c r="AX140" i="1"/>
  <c r="AV141" i="1"/>
  <c r="AO140" i="1"/>
  <c r="AL141" i="1"/>
  <c r="AF141" i="1"/>
  <c r="AO141" i="1"/>
  <c r="AE141" i="1"/>
  <c r="AJ140" i="1"/>
  <c r="AD141" i="1"/>
  <c r="AX141" i="1"/>
  <c r="BB11" i="1"/>
  <c r="AT11" i="1"/>
  <c r="AL11" i="1"/>
  <c r="AD11" i="1"/>
  <c r="AI11" i="1"/>
  <c r="AH11" i="1"/>
  <c r="AG11" i="1"/>
  <c r="AU11" i="1"/>
  <c r="BA11" i="1"/>
  <c r="AS11" i="1"/>
  <c r="AK11" i="1"/>
  <c r="AC11" i="1"/>
  <c r="AO11" i="1"/>
  <c r="BD11" i="1"/>
  <c r="AE11" i="1"/>
  <c r="AZ11" i="1"/>
  <c r="AR11" i="1"/>
  <c r="AJ11" i="1"/>
  <c r="AB11" i="1"/>
  <c r="AY11" i="1"/>
  <c r="AQ11" i="1"/>
  <c r="AF11" i="1"/>
  <c r="AM11" i="1"/>
  <c r="AX11" i="1"/>
  <c r="AP11" i="1"/>
  <c r="AW11" i="1"/>
  <c r="AV11" i="1"/>
  <c r="AN11" i="1"/>
  <c r="BC11" i="1"/>
  <c r="H80" i="1"/>
  <c r="H82" i="1"/>
  <c r="E17" i="1"/>
  <c r="E19" i="1" s="1"/>
  <c r="H76" i="1"/>
  <c r="W11" i="1"/>
  <c r="BF11" i="1" l="1"/>
  <c r="H226" i="1" s="1"/>
  <c r="H212" i="1"/>
  <c r="H214" i="1"/>
  <c r="H143" i="1"/>
  <c r="H141" i="1"/>
  <c r="BE11" i="1"/>
  <c r="H155" i="1" s="1"/>
  <c r="EA11" i="1"/>
  <c r="H216" i="1" s="1"/>
  <c r="DZ12" i="1"/>
  <c r="H145" i="1" s="1"/>
  <c r="E21" i="1"/>
  <c r="H220" i="1" s="1"/>
  <c r="H224" i="1" s="1"/>
  <c r="E23" i="1"/>
  <c r="H147" i="1" l="1"/>
  <c r="H151" i="1"/>
  <c r="H222" i="1"/>
  <c r="H86" i="1"/>
  <c r="K88" i="1" s="1"/>
  <c r="H149" i="1"/>
  <c r="H228" i="1" l="1"/>
  <c r="H153" i="1"/>
  <c r="H157" i="1" s="1"/>
  <c r="H218" i="1"/>
  <c r="H230" i="1" l="1"/>
  <c r="K232" i="1" s="1"/>
  <c r="H159" i="1"/>
  <c r="K161" i="1" s="1"/>
</calcChain>
</file>

<file path=xl/sharedStrings.xml><?xml version="1.0" encoding="utf-8"?>
<sst xmlns="http://schemas.openxmlformats.org/spreadsheetml/2006/main" count="233" uniqueCount="161">
  <si>
    <r>
      <rPr>
        <b/>
        <sz val="11"/>
        <color rgb="FF002060"/>
        <rFont val="Calibri"/>
        <family val="2"/>
        <scheme val="minor"/>
      </rPr>
      <t>Disclaimer:</t>
    </r>
    <r>
      <rPr>
        <sz val="11"/>
        <color rgb="FF002060"/>
        <rFont val="Calibri"/>
        <family val="2"/>
        <scheme val="minor"/>
      </rPr>
      <t xml:space="preserve"> The cost estimates shown here include structure costs only. Roadway costs and other related items (e.g. right-of-way, utilities, traffic control, etc.) are not included at this time.</t>
    </r>
  </si>
  <si>
    <t>Mitigation Item</t>
  </si>
  <si>
    <t>Unit Cost</t>
  </si>
  <si>
    <t>Year Completed</t>
  </si>
  <si>
    <t>Notes</t>
  </si>
  <si>
    <t>Arch or Bridge Overpass</t>
  </si>
  <si>
    <t>Kenny Auge, R5 estimator</t>
  </si>
  <si>
    <t>Includes turn key installation.
A 100'W x 64'L structure would cost $1,440,000.
Increased cost estimate from $200 by ~3% per year to account for increased costs.</t>
  </si>
  <si>
    <t>Underpass Structures (includes excavation, footings, backfill, headwalls, wingwalls, and items directly related to the underpass structure)</t>
  </si>
  <si>
    <t>Overpass Structures (includes excavation, footings, backfill, headwalls, wingwalls, and items directly related to the overpass structure)</t>
  </si>
  <si>
    <t>Bridge or Large Arch Underpass</t>
  </si>
  <si>
    <t>Alternate 
Unit Cost</t>
  </si>
  <si>
    <t>Source</t>
  </si>
  <si>
    <t>Source (i.e. project)</t>
  </si>
  <si>
    <t>Source of Alternate Unit Cost</t>
  </si>
  <si>
    <t>SH 9 overpass total structure cost was $1,260,012.50 for 100'W x 66'L x 24'H; constructed in 2015/16.</t>
  </si>
  <si>
    <t>Wildlife Exclusion Fence</t>
  </si>
  <si>
    <t>Deer Guards</t>
  </si>
  <si>
    <t>Escape Ramp</t>
  </si>
  <si>
    <r>
      <t>Based on the concrete slab and girder bridge  from the 2016 Cost Data Book. SH 9 underpasses total structure cost was $728,135 for 42'W x 66'L x 14'H ($271/ft</t>
    </r>
    <r>
      <rPr>
        <vertAlign val="superscript"/>
        <sz val="11"/>
        <color theme="1"/>
        <rFont val="Calibri"/>
        <family val="2"/>
        <scheme val="minor"/>
      </rPr>
      <t>2</t>
    </r>
    <r>
      <rPr>
        <sz val="11"/>
        <color theme="1"/>
        <rFont val="Calibri"/>
        <family val="2"/>
        <scheme val="minor"/>
      </rPr>
      <t>); constructed in 2015 &amp; 2016.</t>
    </r>
  </si>
  <si>
    <t>Includes turn key installation.
A 42'W x 64'L structure would cost $604,800.
Increase cost estimate from $200 by ~3% per year to account for increased costs since 2015/16 (pers. comm. Kenny Auge)</t>
  </si>
  <si>
    <t>SH 9 Grand County</t>
  </si>
  <si>
    <t>C-470; constructed in 2017</t>
  </si>
  <si>
    <t>Includes fencing, posts, and braces. Does not include fence end treatments (e.g. Cellular geogrid or riprap), seeding, nor mulching.</t>
  </si>
  <si>
    <t>16' Driveway Swing Gate</t>
  </si>
  <si>
    <t>US 550 Colona</t>
  </si>
  <si>
    <t>SH 9 - special</t>
  </si>
  <si>
    <t>16' Wide Flat Bar</t>
  </si>
  <si>
    <t>20' Wide Flat Bar</t>
  </si>
  <si>
    <t>24' Wide Flat Bar</t>
  </si>
  <si>
    <t>28' Wide Flat Bar</t>
  </si>
  <si>
    <t>32' Wide Flat Bar</t>
  </si>
  <si>
    <t>40' Wide Flat Bar</t>
  </si>
  <si>
    <t>16' Wide Round Bar</t>
  </si>
  <si>
    <t>20' Wide Round Bar</t>
  </si>
  <si>
    <t>24' Wide Round Bar</t>
  </si>
  <si>
    <t>28' Wide Round Bar</t>
  </si>
  <si>
    <t>32' Wide Round Bar</t>
  </si>
  <si>
    <t>40' Wide Round Bar</t>
  </si>
  <si>
    <t>3:1 with Fence</t>
  </si>
  <si>
    <t>Justin Kuhn, R3</t>
  </si>
  <si>
    <t>I-70 Wildlife Fence Eagle Co. - may not include end and brace</t>
  </si>
  <si>
    <t>C-470. Including seeding and mulching costs per ramp is $11,398.85. $8,173 on US 160.</t>
  </si>
  <si>
    <t>Mitigation Item &amp; Target Specifics</t>
  </si>
  <si>
    <t>Average Effectiveness in Reducing WVC</t>
  </si>
  <si>
    <t>Wildlife Mitigation Effectiveness</t>
  </si>
  <si>
    <r>
      <rPr>
        <b/>
        <sz val="11"/>
        <color rgb="FF002060"/>
        <rFont val="Calibri"/>
        <family val="2"/>
        <scheme val="minor"/>
      </rPr>
      <t>Disclaimer:</t>
    </r>
    <r>
      <rPr>
        <sz val="11"/>
        <color rgb="FF002060"/>
        <rFont val="Calibri"/>
        <family val="2"/>
        <scheme val="minor"/>
      </rPr>
      <t xml:space="preserve"> The crash reduction factors provided in this Excel spreadsheet are used to calculate the benefit-to-cost analysis for the Western Slope wild animal research project. These factors may or may not be used for benefit-to-cost calculations for grant and safety funding applications.</t>
    </r>
  </si>
  <si>
    <t>Structure Mitigation (e.g. wildlife crossing structures and fencing)</t>
  </si>
  <si>
    <t>Includes escape ramps, deer guards, and small culverts or culvert shelves.</t>
  </si>
  <si>
    <t>Huijser et al. 2016 (US 93 North; Bio. Con.)</t>
  </si>
  <si>
    <t>Less than or equal to 5 km.</t>
  </si>
  <si>
    <t>Wildlife Crossing Structures and Countinuous Fencing.</t>
  </si>
  <si>
    <t>Wildlife Fencing added as a retrofit to an existing structure.</t>
  </si>
  <si>
    <t>Crossing structures with a short segment of fencing.</t>
  </si>
  <si>
    <t>Project Location</t>
  </si>
  <si>
    <t>Project Scope &amp; Estimated Costs</t>
  </si>
  <si>
    <t>.</t>
  </si>
  <si>
    <t>The scope of work below will be completed along State Highway</t>
  </si>
  <si>
    <t>beginning at mile post</t>
  </si>
  <si>
    <t>and ending at mile post</t>
  </si>
  <si>
    <t>Service Life (years)</t>
  </si>
  <si>
    <t>Estimated Cost ($)</t>
  </si>
  <si>
    <t>Total Costs</t>
  </si>
  <si>
    <t>Maintenance Cost</t>
  </si>
  <si>
    <t>Fatal</t>
  </si>
  <si>
    <t>PDO</t>
  </si>
  <si>
    <t>Wild Animal Benefit-to-Cost Spreadsheet</t>
  </si>
  <si>
    <t>Injury</t>
  </si>
  <si>
    <t>From Date</t>
  </si>
  <si>
    <t>To Date</t>
  </si>
  <si>
    <t>Property Damage Only (PDO)</t>
  </si>
  <si>
    <t>The crash reduction factor is as follows:</t>
  </si>
  <si>
    <t>Fatalitiy Value</t>
  </si>
  <si>
    <t>Injury Value (severity unknown)</t>
  </si>
  <si>
    <t>PDO cost per vehicle</t>
  </si>
  <si>
    <t>The monetized value of deer and elk are as follows:</t>
  </si>
  <si>
    <t>Based on the information provided in above, the calculated benefit-to-cost ratio is:</t>
  </si>
  <si>
    <t>Fencing per lane mile</t>
  </si>
  <si>
    <t>Fencing per linear feet</t>
  </si>
  <si>
    <t>Crash History</t>
  </si>
  <si>
    <t>The crash history for the location above was reviewed from</t>
  </si>
  <si>
    <t>to</t>
  </si>
  <si>
    <t>Improvement Type</t>
  </si>
  <si>
    <t>The Traffic &amp; Safety Engineering Branch method for calculating benefit-to-cost for safety projects is as follows:</t>
  </si>
  <si>
    <t>Traffic &amp; Safety Engineering</t>
  </si>
  <si>
    <t>User Form</t>
  </si>
  <si>
    <t>The Traffic &amp; Safety Engineering Branch assumes an interest (or discount rate) of 5%.</t>
  </si>
  <si>
    <t>The number of years of crash history reviewed/analyzed.</t>
  </si>
  <si>
    <t>Project Year</t>
  </si>
  <si>
    <t>Discount Year</t>
  </si>
  <si>
    <t>The Division of Transportation Development uses a 7% discount rate per grant application.</t>
  </si>
  <si>
    <t>The Traffic &amp; Safety Engineering Branch assumes an annual daily traffic growth rate of 2%.</t>
  </si>
  <si>
    <t>The Division of Transportation Development assumes an annual daily traffic growth rate of 1.2%.</t>
  </si>
  <si>
    <t>Fiscal Year</t>
  </si>
  <si>
    <t>UB</t>
  </si>
  <si>
    <t>UBDE</t>
  </si>
  <si>
    <t>Total Discounted Benefit:</t>
  </si>
  <si>
    <t>Undiscounted Maintenance</t>
  </si>
  <si>
    <t>DTD Discounted Maintenance</t>
  </si>
  <si>
    <t>WVC Discounted Maintenance</t>
  </si>
  <si>
    <t>Total Discounted Costs:</t>
  </si>
  <si>
    <t>Residual Cost</t>
  </si>
  <si>
    <t>Discounted Residual Cost:</t>
  </si>
  <si>
    <t>Division of Transportation Development (DTD)</t>
  </si>
  <si>
    <t>Based on the information provided above, the T&amp;S calculated benefit-to-cost ratio is:</t>
  </si>
  <si>
    <t>=IFERROR(VLOOKUP(INDIRECT("O"&amp;CRFRow),'Effectiveness (CRF)'!$B$7:$E$9,2,FALSE),"")</t>
  </si>
  <si>
    <t xml:space="preserve">Based on the scope of the project provided above, the best fit Mitigation Item &amp; Target Specifics (see 'Effectiveness (CRF)' tab) is: </t>
  </si>
  <si>
    <t>Mitigation Subtotal</t>
  </si>
  <si>
    <t>WVC Discounted Residual</t>
  </si>
  <si>
    <t>DTD Discounted Residual</t>
  </si>
  <si>
    <t>Construction</t>
  </si>
  <si>
    <t>The construction of the proposed improvements will begin in</t>
  </si>
  <si>
    <t>and will be completed in</t>
  </si>
  <si>
    <t>Choose one</t>
  </si>
  <si>
    <t>Year</t>
  </si>
  <si>
    <t>Effectiveness (Crash Reduction Factor)</t>
  </si>
  <si>
    <t>Generalized Costs &amp; Service Life for Wildlife-Highway Mitgation Components</t>
  </si>
  <si>
    <t>Service Life</t>
  </si>
  <si>
    <t xml:space="preserve">Based on the national consumer price index (CPI) and employer cost index (ECI), the Traffic &amp; Safety Engineering Branch developed crash costs values for economic analysis. These values are updated </t>
  </si>
  <si>
    <t>annually. The following costs per severity level are effective as of:</t>
  </si>
  <si>
    <t>=IFERROR(IF(ISNUMBER(SEARCH("pass",INDIRECT("E"&amp;ROW()))),(LEFT(INDIRECT("H"&amp;ROW()),FIND("x",INDIRECT("H"&amp;ROW()))-1)*1)*(RIGHT(INDIRECT("H"&amp;ROW()),LEN(INDIRECT("H"&amp;ROW()))-FIND("x",INDIRECT("H"&amp;ROW())))*1),INDIRECT("H"&amp;ROW()))*INDIRECT("L"&amp;ROW()),"")</t>
  </si>
  <si>
    <t>This Excel spreadsheet was developed using CDOT resources and provides the assumptions, methodologies, and backup calculations for the benefit-to-cost analysis for the Wildlife Prioritization Study. This spreadsheet should be utilized for planning only. The calculations do not provide automatic approval for grant funding and/or safety funding. Requests for grant funding and safety funding will still need to be completed through the process governed by DTD and the Traffic &amp; Safety Engineering Branch, respectively.</t>
  </si>
  <si>
    <t>Benefit-Cost Analysis Guidance Publication:</t>
  </si>
  <si>
    <t>Based on the information provided above, the DTD calculated benefit-to-cost ratio is:</t>
  </si>
  <si>
    <t>Editable cells</t>
  </si>
  <si>
    <r>
      <t>Interest Rate (</t>
    </r>
    <r>
      <rPr>
        <b/>
        <sz val="10"/>
        <color theme="1"/>
        <rFont val="Calibri"/>
        <family val="2"/>
        <scheme val="minor"/>
      </rPr>
      <t>i</t>
    </r>
    <r>
      <rPr>
        <sz val="10"/>
        <color theme="1"/>
        <rFont val="Calibri"/>
        <family val="2"/>
        <scheme val="minor"/>
      </rPr>
      <t>):</t>
    </r>
  </si>
  <si>
    <r>
      <t>Annual Daily Traffic Growth Rate (</t>
    </r>
    <r>
      <rPr>
        <b/>
        <sz val="10"/>
        <color theme="1"/>
        <rFont val="Calibri"/>
        <family val="2"/>
        <scheme val="minor"/>
      </rPr>
      <t>a</t>
    </r>
    <r>
      <rPr>
        <sz val="10"/>
        <color theme="1"/>
        <rFont val="Calibri"/>
        <family val="2"/>
        <scheme val="minor"/>
      </rPr>
      <t>):</t>
    </r>
  </si>
  <si>
    <r>
      <t>Weighted Service Life (</t>
    </r>
    <r>
      <rPr>
        <b/>
        <sz val="10"/>
        <color theme="1"/>
        <rFont val="Calibri"/>
        <family val="2"/>
        <scheme val="minor"/>
      </rPr>
      <t>L</t>
    </r>
    <r>
      <rPr>
        <sz val="10"/>
        <color theme="1"/>
        <rFont val="Calibri"/>
        <family val="2"/>
        <scheme val="minor"/>
      </rPr>
      <t>):</t>
    </r>
  </si>
  <si>
    <r>
      <t>Year Factor (</t>
    </r>
    <r>
      <rPr>
        <b/>
        <sz val="10"/>
        <color theme="1"/>
        <rFont val="Calibri"/>
        <family val="2"/>
        <scheme val="minor"/>
      </rPr>
      <t>N</t>
    </r>
    <r>
      <rPr>
        <sz val="10"/>
        <color theme="1"/>
        <rFont val="Calibri"/>
        <family val="2"/>
        <scheme val="minor"/>
      </rPr>
      <t>):</t>
    </r>
  </si>
  <si>
    <r>
      <t>Capital Recovery Factor (</t>
    </r>
    <r>
      <rPr>
        <b/>
        <sz val="10"/>
        <color theme="1"/>
        <rFont val="Calibri"/>
        <family val="2"/>
      </rPr>
      <t>β</t>
    </r>
    <r>
      <rPr>
        <sz val="10"/>
        <color theme="1"/>
        <rFont val="Calibri"/>
        <family val="2"/>
      </rPr>
      <t>):</t>
    </r>
  </si>
  <si>
    <r>
      <t>Average Annual Fatal Crash (</t>
    </r>
    <r>
      <rPr>
        <b/>
        <sz val="10"/>
        <color theme="1"/>
        <rFont val="Calibri"/>
        <family val="2"/>
        <scheme val="minor"/>
      </rPr>
      <t>F</t>
    </r>
    <r>
      <rPr>
        <sz val="10"/>
        <color theme="1"/>
        <rFont val="Calibri"/>
        <family val="2"/>
        <scheme val="minor"/>
      </rPr>
      <t>):</t>
    </r>
  </si>
  <si>
    <r>
      <t>Average Annual Injury Crash (</t>
    </r>
    <r>
      <rPr>
        <b/>
        <sz val="10"/>
        <color theme="1"/>
        <rFont val="Calibri"/>
        <family val="2"/>
        <scheme val="minor"/>
      </rPr>
      <t>I</t>
    </r>
    <r>
      <rPr>
        <sz val="10"/>
        <color theme="1"/>
        <rFont val="Calibri"/>
        <family val="2"/>
        <scheme val="minor"/>
      </rPr>
      <t>):</t>
    </r>
  </si>
  <si>
    <r>
      <t>Average Annual PDO Crash (</t>
    </r>
    <r>
      <rPr>
        <b/>
        <sz val="10"/>
        <color theme="1"/>
        <rFont val="Calibri"/>
        <family val="2"/>
        <scheme val="minor"/>
      </rPr>
      <t>P</t>
    </r>
    <r>
      <rPr>
        <sz val="10"/>
        <color theme="1"/>
        <rFont val="Calibri"/>
        <family val="2"/>
        <scheme val="minor"/>
      </rPr>
      <t>):</t>
    </r>
  </si>
  <si>
    <r>
      <t>Annual Maintenance Cost (</t>
    </r>
    <r>
      <rPr>
        <b/>
        <sz val="10"/>
        <color theme="1"/>
        <rFont val="Calibri"/>
        <family val="2"/>
        <scheme val="minor"/>
      </rPr>
      <t>AMC):</t>
    </r>
  </si>
  <si>
    <r>
      <t>Benefit-to-Cost Ratio (</t>
    </r>
    <r>
      <rPr>
        <b/>
        <sz val="10"/>
        <color rgb="FF002060"/>
        <rFont val="Calibri"/>
        <family val="2"/>
        <scheme val="minor"/>
      </rPr>
      <t>B/C</t>
    </r>
    <r>
      <rPr>
        <sz val="10"/>
        <color rgb="FF002060"/>
        <rFont val="Calibri"/>
        <family val="2"/>
        <scheme val="minor"/>
      </rPr>
      <t>):</t>
    </r>
  </si>
  <si>
    <r>
      <t>Discount Rate (</t>
    </r>
    <r>
      <rPr>
        <b/>
        <sz val="10"/>
        <color theme="1"/>
        <rFont val="Calibri"/>
        <family val="2"/>
        <scheme val="minor"/>
      </rPr>
      <t>i</t>
    </r>
    <r>
      <rPr>
        <sz val="10"/>
        <color theme="1"/>
        <rFont val="Calibri"/>
        <family val="2"/>
        <scheme val="minor"/>
      </rPr>
      <t>):</t>
    </r>
  </si>
  <si>
    <r>
      <rPr>
        <b/>
        <sz val="11"/>
        <color theme="1"/>
        <rFont val="Calibri"/>
        <family val="2"/>
        <scheme val="minor"/>
      </rPr>
      <t>Note:</t>
    </r>
    <r>
      <rPr>
        <sz val="11"/>
        <color theme="1"/>
        <rFont val="Calibri"/>
        <family val="2"/>
        <scheme val="minor"/>
      </rPr>
      <t xml:space="preserve"> The following calculations assumes that construction will begin in FY 2019 and take 1 year to complete.</t>
    </r>
  </si>
  <si>
    <r>
      <t>Undiscounted Crash Reduction Benefit (</t>
    </r>
    <r>
      <rPr>
        <b/>
        <sz val="10"/>
        <color theme="1"/>
        <rFont val="Calibri"/>
        <family val="2"/>
        <scheme val="minor"/>
      </rPr>
      <t>UB</t>
    </r>
    <r>
      <rPr>
        <sz val="10"/>
        <color theme="1"/>
        <rFont val="Calibri"/>
        <family val="2"/>
        <scheme val="minor"/>
      </rPr>
      <t>):</t>
    </r>
  </si>
  <si>
    <r>
      <t>Discounted Crash Reduction Benefit (</t>
    </r>
    <r>
      <rPr>
        <b/>
        <sz val="10"/>
        <color theme="1"/>
        <rFont val="Calibri"/>
        <family val="2"/>
        <scheme val="minor"/>
      </rPr>
      <t>DB</t>
    </r>
    <r>
      <rPr>
        <sz val="10"/>
        <color theme="1"/>
        <rFont val="Calibri"/>
        <family val="2"/>
        <scheme val="minor"/>
      </rPr>
      <t>):</t>
    </r>
  </si>
  <si>
    <r>
      <t>Undiscounted Construction Costs (</t>
    </r>
    <r>
      <rPr>
        <b/>
        <sz val="10"/>
        <color theme="1"/>
        <rFont val="Calibri"/>
        <family val="2"/>
        <scheme val="minor"/>
      </rPr>
      <t>UC</t>
    </r>
    <r>
      <rPr>
        <sz val="10"/>
        <color theme="1"/>
        <rFont val="Calibri"/>
        <family val="2"/>
        <scheme val="minor"/>
      </rPr>
      <t>):</t>
    </r>
  </si>
  <si>
    <r>
      <t>Undiscounted Maintenance Costs (</t>
    </r>
    <r>
      <rPr>
        <b/>
        <sz val="10"/>
        <color theme="1"/>
        <rFont val="Calibri"/>
        <family val="2"/>
        <scheme val="minor"/>
      </rPr>
      <t>UM</t>
    </r>
    <r>
      <rPr>
        <sz val="10"/>
        <color theme="1"/>
        <rFont val="Calibri"/>
        <family val="2"/>
        <scheme val="minor"/>
      </rPr>
      <t>):</t>
    </r>
  </si>
  <si>
    <r>
      <t>Discounted Construction Costs (</t>
    </r>
    <r>
      <rPr>
        <b/>
        <sz val="10"/>
        <color theme="1"/>
        <rFont val="Calibri"/>
        <family val="2"/>
        <scheme val="minor"/>
      </rPr>
      <t>DC</t>
    </r>
    <r>
      <rPr>
        <sz val="10"/>
        <color theme="1"/>
        <rFont val="Calibri"/>
        <family val="2"/>
        <scheme val="minor"/>
      </rPr>
      <t>):</t>
    </r>
  </si>
  <si>
    <r>
      <t>Discounted Maintenance Costs (</t>
    </r>
    <r>
      <rPr>
        <b/>
        <sz val="10"/>
        <color theme="1"/>
        <rFont val="Calibri"/>
        <family val="2"/>
        <scheme val="minor"/>
      </rPr>
      <t>DM</t>
    </r>
    <r>
      <rPr>
        <sz val="10"/>
        <color theme="1"/>
        <rFont val="Calibri"/>
        <family val="2"/>
        <scheme val="minor"/>
      </rPr>
      <t>):</t>
    </r>
  </si>
  <si>
    <r>
      <t>Maintenance Costs</t>
    </r>
    <r>
      <rPr>
        <sz val="10"/>
        <color theme="1"/>
        <rFont val="Calibri"/>
        <family val="2"/>
        <scheme val="minor"/>
      </rPr>
      <t xml:space="preserve"> (assumed at 1% of the mitigation subtotal)</t>
    </r>
  </si>
  <si>
    <t>and the observed crash counts are as follows:</t>
  </si>
  <si>
    <t>Deer</t>
  </si>
  <si>
    <t>Elk</t>
  </si>
  <si>
    <r>
      <rPr>
        <b/>
        <sz val="10"/>
        <color theme="1" tint="0.499984740745262"/>
        <rFont val="Calibri"/>
        <family val="2"/>
        <scheme val="minor"/>
      </rPr>
      <t xml:space="preserve">NOTE: </t>
    </r>
    <r>
      <rPr>
        <sz val="10"/>
        <color theme="1" tint="0.499984740745262"/>
        <rFont val="Calibri"/>
        <family val="2"/>
        <scheme val="minor"/>
      </rPr>
      <t>The Traffic &amp; Safety Engineering Branch uses a maximum useful service life of 20 years.</t>
    </r>
  </si>
  <si>
    <r>
      <t>Undiscounted Benefit Value of Wildlife (</t>
    </r>
    <r>
      <rPr>
        <b/>
        <sz val="10"/>
        <color theme="1"/>
        <rFont val="Calibri"/>
        <family val="2"/>
        <scheme val="minor"/>
      </rPr>
      <t>UB</t>
    </r>
    <r>
      <rPr>
        <b/>
        <vertAlign val="subscript"/>
        <sz val="10"/>
        <color theme="1"/>
        <rFont val="Calibri"/>
        <family val="2"/>
        <scheme val="minor"/>
      </rPr>
      <t>W</t>
    </r>
    <r>
      <rPr>
        <sz val="10"/>
        <color theme="1"/>
        <rFont val="Calibri"/>
        <family val="2"/>
        <scheme val="minor"/>
      </rPr>
      <t>):</t>
    </r>
  </si>
  <si>
    <r>
      <t>Discounted Benefit Value of Wildlife (</t>
    </r>
    <r>
      <rPr>
        <b/>
        <sz val="10"/>
        <color theme="1"/>
        <rFont val="Calibri"/>
        <family val="2"/>
        <scheme val="minor"/>
      </rPr>
      <t>DB</t>
    </r>
    <r>
      <rPr>
        <b/>
        <vertAlign val="subscript"/>
        <sz val="10"/>
        <color theme="1"/>
        <rFont val="Calibri"/>
        <family val="2"/>
        <scheme val="minor"/>
      </rPr>
      <t>W</t>
    </r>
    <r>
      <rPr>
        <sz val="10"/>
        <color theme="1"/>
        <rFont val="Calibri"/>
        <family val="2"/>
        <scheme val="minor"/>
      </rPr>
      <t>):</t>
    </r>
  </si>
  <si>
    <r>
      <t>Undiscounted Benefit Value of Deer &amp; Elk (</t>
    </r>
    <r>
      <rPr>
        <b/>
        <sz val="10"/>
        <color theme="1"/>
        <rFont val="Calibri"/>
        <family val="2"/>
        <scheme val="minor"/>
      </rPr>
      <t>UB</t>
    </r>
    <r>
      <rPr>
        <b/>
        <vertAlign val="subscript"/>
        <sz val="10"/>
        <color theme="1"/>
        <rFont val="Calibri"/>
        <family val="2"/>
        <scheme val="minor"/>
      </rPr>
      <t>W</t>
    </r>
    <r>
      <rPr>
        <sz val="10"/>
        <color theme="1"/>
        <rFont val="Calibri"/>
        <family val="2"/>
        <scheme val="minor"/>
      </rPr>
      <t>):</t>
    </r>
  </si>
  <si>
    <r>
      <t>Discounted Benefit Value of Deer &amp; Elk (</t>
    </r>
    <r>
      <rPr>
        <b/>
        <sz val="10"/>
        <color theme="1"/>
        <rFont val="Calibri"/>
        <family val="2"/>
        <scheme val="minor"/>
      </rPr>
      <t>DB</t>
    </r>
    <r>
      <rPr>
        <b/>
        <vertAlign val="subscript"/>
        <sz val="10"/>
        <color theme="1"/>
        <rFont val="Calibri"/>
        <family val="2"/>
        <scheme val="minor"/>
      </rPr>
      <t>W</t>
    </r>
    <r>
      <rPr>
        <sz val="10"/>
        <color theme="1"/>
        <rFont val="Calibri"/>
        <family val="2"/>
        <scheme val="minor"/>
      </rPr>
      <t>):</t>
    </r>
  </si>
  <si>
    <r>
      <rPr>
        <b/>
        <sz val="10"/>
        <color rgb="FF002060"/>
        <rFont val="Calibri"/>
        <family val="2"/>
        <scheme val="minor"/>
      </rPr>
      <t>Disclaimer:</t>
    </r>
    <r>
      <rPr>
        <sz val="10"/>
        <color rgb="FF002060"/>
        <rFont val="Calibri"/>
        <family val="2"/>
        <scheme val="minor"/>
      </rPr>
      <t xml:space="preserve"> This Excel spreadsheet provides the assumptions, methodologies, and backup calculations for the benefit-to-cost analysis for the Wildlife Prioritization Study. This spreadsheet should be utilized for planning only. The calculations do not provide automatic approval for Highway Safety Improvement Program (HSIP) nor FASTER Safety Mitigation (FSM) program funding. Requests for funding will need to be completed as outlined by each program. Please contact the Traffic &amp; Safety Engineering Branch for additional information.</t>
    </r>
  </si>
  <si>
    <r>
      <rPr>
        <b/>
        <sz val="10"/>
        <color rgb="FF002060"/>
        <rFont val="Calibri"/>
        <family val="2"/>
        <scheme val="minor"/>
      </rPr>
      <t>Disclaimer:</t>
    </r>
    <r>
      <rPr>
        <sz val="10"/>
        <color rgb="FF002060"/>
        <rFont val="Calibri"/>
        <family val="2"/>
        <scheme val="minor"/>
      </rPr>
      <t xml:space="preserve"> This Excel spreadsheet provides the assumptions, methodologies, and backup calculations for the benefit-to-cost analysis for the Wildlife Priorizitation Study. The methodology follows TIGER and FASTLANE guidance. This spreadsheet should be utilized for planning only. The calculations do not provide automatic approval for any grant funding. Requests for grant funding will still need to be completed through the process governed by DTD.</t>
    </r>
  </si>
  <si>
    <r>
      <rPr>
        <b/>
        <sz val="10"/>
        <color rgb="FF002060"/>
        <rFont val="Calibri"/>
        <family val="2"/>
        <scheme val="minor"/>
      </rPr>
      <t>Disclaimer:</t>
    </r>
    <r>
      <rPr>
        <sz val="10"/>
        <color rgb="FF002060"/>
        <rFont val="Calibri"/>
        <family val="2"/>
        <scheme val="minor"/>
      </rPr>
      <t xml:space="preserve"> This Excel spreadsheet provides the assumptions, methodologies, and backup calculations for the benefit-to-cost analysis for the Wildlife Prioritization Study. The methodology follows TIGER and FASTLANE guidance. Cost are in alignment with the Traffic &amp; Safety Engineering Branch values as calculated. This spreadsheet should be utilized for planning only.</t>
    </r>
  </si>
  <si>
    <t>Modified for the Wildlife Priorizitation Study</t>
  </si>
  <si>
    <t>Bighorn Sheep</t>
  </si>
  <si>
    <t>The monetized value of wildlife are as follows:</t>
  </si>
  <si>
    <t>This research will utilize the crash values developed by the Traffic &amp; Safety Engineering Branch.</t>
  </si>
  <si>
    <t>Average effectiveness of structures with fencing based on Kintsch et al. 2021 (deer &amp; elk, CO, 92%); Sawyer et al. 2016 (deer &amp; pronghorn, WY, 81%); Gagnon et al. 2015 (elk, AZ, 97%); Clevenger and Barrueto 2014 (ungulates, Banff CA, 88%); Gagnon et al. 2013 (bighorn Sheep, AZ, 82%); Sawyer et al. 2012 (mule deer, WY, 81%); Dodd et al. 2007 (elk, AZ, 87%).</t>
  </si>
  <si>
    <t>Pronghorn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</si>
</sst>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164" formatCode="_(&quot;$&quot;* #,##0_);_(&quot;$&quot;* \(#,##0\);_(&quot;$&quot;* &quot;-&quot;??_);_(@_)"/>
    <numFmt numFmtId="165" formatCode="&quot;$&quot;#,##0.00&quot;/&quot;\f\t\²"/>
    <numFmt numFmtId="166" formatCode="&quot;$&quot;#,##0.00&quot;/lane mile&quot;"/>
    <numFmt numFmtId="167" formatCode="&quot;$&quot;#,##0.00&quot;/&quot;\f\t"/>
    <numFmt numFmtId="168" formatCode="&quot;$&quot;#,##0.00&quot; each&quot;"/>
    <numFmt numFmtId="169" formatCode="0.0%"/>
    <numFmt numFmtId="170" formatCode="&quot;Contingencies Multiplier (&quot;0%&quot;):&quot;"/>
    <numFmt numFmtId="171" formatCode="&quot;Construction Engineering &amp; Indirect Chrages (&quot;0.00%&quot;):&quot;"/>
    <numFmt numFmtId="172" formatCode="[$-409]mmmm\ d\,\ yyyy;@"/>
    <numFmt numFmtId="173" formatCode="0\ &quot;years&quot;"/>
    <numFmt numFmtId="174" formatCode="0.000000"/>
    <numFmt numFmtId="175" formatCode="&quot;Contingencies Multiplier (&quot;0%&quot;)&quot;"/>
    <numFmt numFmtId="176" formatCode="&quot;Construction Engineering &amp; Indirect Chrages (&quot;0.00%&quot;)&quot;"/>
  </numFmts>
  <fonts count="34" x14ac:knownFonts="1">
    <font>
      <sz val="11"/>
      <color theme="1"/>
      <name val="Calibri"/>
      <family val="2"/>
      <scheme val="minor"/>
    </font>
    <font>
      <sz val="11"/>
      <color theme="1"/>
      <name val="Calibri"/>
      <family val="2"/>
      <scheme val="minor"/>
    </font>
    <font>
      <b/>
      <sz val="11"/>
      <color theme="1"/>
      <name val="Calibri"/>
      <family val="2"/>
      <scheme val="minor"/>
    </font>
    <font>
      <b/>
      <u/>
      <sz val="18"/>
      <color rgb="FF002060"/>
      <name val="Calibri"/>
      <family val="2"/>
      <scheme val="minor"/>
    </font>
    <font>
      <sz val="10"/>
      <color theme="1"/>
      <name val="Calibri"/>
      <family val="2"/>
      <scheme val="minor"/>
    </font>
    <font>
      <i/>
      <sz val="11"/>
      <color theme="1"/>
      <name val="Calibri"/>
      <family val="2"/>
      <scheme val="minor"/>
    </font>
    <font>
      <sz val="11"/>
      <color rgb="FF002060"/>
      <name val="Calibri"/>
      <family val="2"/>
      <scheme val="minor"/>
    </font>
    <font>
      <b/>
      <sz val="11"/>
      <color rgb="FF002060"/>
      <name val="Calibri"/>
      <family val="2"/>
      <scheme val="minor"/>
    </font>
    <font>
      <vertAlign val="superscript"/>
      <sz val="11"/>
      <color theme="1"/>
      <name val="Calibri"/>
      <family val="2"/>
      <scheme val="minor"/>
    </font>
    <font>
      <sz val="9"/>
      <color theme="1"/>
      <name val="Calibri"/>
      <family val="2"/>
      <scheme val="minor"/>
    </font>
    <font>
      <b/>
      <u/>
      <sz val="12"/>
      <color theme="1"/>
      <name val="Calibri"/>
      <family val="2"/>
      <scheme val="minor"/>
    </font>
    <font>
      <b/>
      <u/>
      <sz val="14"/>
      <color theme="1"/>
      <name val="Calibri"/>
      <family val="2"/>
      <scheme val="minor"/>
    </font>
    <font>
      <sz val="11"/>
      <name val="Calibri"/>
      <family val="2"/>
      <scheme val="minor"/>
    </font>
    <font>
      <b/>
      <sz val="18"/>
      <color theme="1"/>
      <name val="Calibri"/>
      <family val="2"/>
      <scheme val="minor"/>
    </font>
    <font>
      <sz val="14"/>
      <color theme="1"/>
      <name val="Bodoni MT Black"/>
      <family val="1"/>
    </font>
    <font>
      <b/>
      <sz val="10"/>
      <color theme="1"/>
      <name val="Calibri"/>
      <family val="2"/>
    </font>
    <font>
      <u/>
      <sz val="11"/>
      <color theme="10"/>
      <name val="Calibri"/>
      <family val="2"/>
      <scheme val="minor"/>
    </font>
    <font>
      <b/>
      <sz val="12"/>
      <color rgb="FF002060"/>
      <name val="Calibri"/>
      <family val="2"/>
      <scheme val="minor"/>
    </font>
    <font>
      <sz val="18"/>
      <color theme="1"/>
      <name val="Calibri"/>
      <family val="2"/>
      <scheme val="minor"/>
    </font>
    <font>
      <sz val="10"/>
      <color rgb="FF002060"/>
      <name val="Calibri"/>
      <family val="2"/>
      <scheme val="minor"/>
    </font>
    <font>
      <b/>
      <sz val="10"/>
      <color rgb="FF002060"/>
      <name val="Calibri"/>
      <family val="2"/>
      <scheme val="minor"/>
    </font>
    <font>
      <b/>
      <sz val="10"/>
      <color theme="1"/>
      <name val="Calibri"/>
      <family val="2"/>
      <scheme val="minor"/>
    </font>
    <font>
      <sz val="10"/>
      <color theme="1" tint="0.34998626667073579"/>
      <name val="Calibri"/>
      <family val="2"/>
      <scheme val="minor"/>
    </font>
    <font>
      <sz val="10"/>
      <color theme="1"/>
      <name val="Calibri"/>
      <family val="2"/>
    </font>
    <font>
      <u/>
      <sz val="11"/>
      <color theme="1"/>
      <name val="Calibri"/>
      <family val="2"/>
      <scheme val="minor"/>
    </font>
    <font>
      <b/>
      <vertAlign val="subscript"/>
      <sz val="10"/>
      <color theme="1"/>
      <name val="Calibri"/>
      <family val="2"/>
      <scheme val="minor"/>
    </font>
    <font>
      <sz val="9"/>
      <color theme="1" tint="0.34998626667073579"/>
      <name val="Calibri"/>
      <family val="2"/>
      <scheme val="minor"/>
    </font>
    <font>
      <sz val="10"/>
      <color theme="1" tint="0.499984740745262"/>
      <name val="Calibri"/>
      <family val="2"/>
      <scheme val="minor"/>
    </font>
    <font>
      <i/>
      <sz val="9"/>
      <color theme="1" tint="0.499984740745262"/>
      <name val="Calibri"/>
      <family val="2"/>
      <scheme val="minor"/>
    </font>
    <font>
      <sz val="9"/>
      <color theme="1" tint="0.499984740745262"/>
      <name val="Calibri"/>
      <family val="2"/>
      <scheme val="minor"/>
    </font>
    <font>
      <sz val="11"/>
      <color theme="1" tint="0.499984740745262"/>
      <name val="Calibri"/>
      <family val="2"/>
      <scheme val="minor"/>
    </font>
    <font>
      <b/>
      <sz val="10"/>
      <color theme="1" tint="0.499984740745262"/>
      <name val="Calibri"/>
      <family val="2"/>
      <scheme val="minor"/>
    </font>
    <font>
      <sz val="8"/>
      <color rgb="FF000000"/>
      <name val="Segoe UI"/>
      <family val="2"/>
    </font>
    <font>
      <sz val="8"/>
      <name val="Segoe UI"/>
      <family val="2"/>
    </font>
  </fonts>
  <fills count="9">
    <fill>
      <patternFill patternType="none"/>
    </fill>
    <fill>
      <patternFill patternType="gray125"/>
    </fill>
    <fill>
      <patternFill patternType="solid">
        <fgColor theme="4"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2CC"/>
        <bgColor indexed="64"/>
      </patternFill>
    </fill>
  </fills>
  <borders count="14">
    <border>
      <left/>
      <right/>
      <top/>
      <bottom/>
      <diagonal/>
    </border>
    <border>
      <left/>
      <right/>
      <top style="thin">
        <color indexed="64"/>
      </top>
      <bottom style="thin">
        <color indexed="64"/>
      </bottom>
      <diagonal/>
    </border>
    <border>
      <left/>
      <right/>
      <top style="medium">
        <color auto="1"/>
      </top>
      <bottom style="medium">
        <color auto="1"/>
      </bottom>
      <diagonal/>
    </border>
    <border>
      <left/>
      <right/>
      <top/>
      <bottom style="thin">
        <color indexed="64"/>
      </bottom>
      <diagonal/>
    </border>
    <border>
      <left/>
      <right/>
      <top style="thin">
        <color indexed="64"/>
      </top>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234">
    <xf numFmtId="0" fontId="0" fillId="0" borderId="0" xfId="0"/>
    <xf numFmtId="0" fontId="3" fillId="0" borderId="0" xfId="0" applyFont="1" applyAlignment="1">
      <alignment horizontal="left"/>
    </xf>
    <xf numFmtId="0" fontId="0" fillId="0" borderId="0" xfId="0" applyAlignment="1">
      <alignment horizontal="left"/>
    </xf>
    <xf numFmtId="0" fontId="4" fillId="0" borderId="0" xfId="0" applyFont="1"/>
    <xf numFmtId="0" fontId="0" fillId="0" borderId="0" xfId="0" applyAlignment="1">
      <alignment horizontal="center"/>
    </xf>
    <xf numFmtId="0" fontId="0" fillId="0" borderId="0" xfId="0" applyAlignment="1">
      <alignment horizontal="left" vertical="top"/>
    </xf>
    <xf numFmtId="0" fontId="0" fillId="0" borderId="0" xfId="0" applyAlignment="1">
      <alignment vertical="top"/>
    </xf>
    <xf numFmtId="0" fontId="0" fillId="0" borderId="0" xfId="0" applyAlignment="1">
      <alignment wrapText="1"/>
    </xf>
    <xf numFmtId="0" fontId="0" fillId="0" borderId="0" xfId="0" applyAlignment="1">
      <alignment vertical="top" wrapText="1"/>
    </xf>
    <xf numFmtId="0" fontId="0" fillId="0" borderId="0" xfId="0" applyAlignment="1">
      <alignment horizontal="center" vertical="top"/>
    </xf>
    <xf numFmtId="0" fontId="2" fillId="2" borderId="2" xfId="0" applyFont="1" applyFill="1" applyBorder="1" applyAlignment="1">
      <alignment horizontal="center" vertical="center" wrapText="1"/>
    </xf>
    <xf numFmtId="0" fontId="3" fillId="0" borderId="0" xfId="0" applyFont="1" applyAlignment="1">
      <alignment horizontal="left" indent="1"/>
    </xf>
    <xf numFmtId="0" fontId="0" fillId="0" borderId="0" xfId="0" applyAlignment="1">
      <alignment horizontal="left" indent="1"/>
    </xf>
    <xf numFmtId="0" fontId="0" fillId="0" borderId="0" xfId="0" applyAlignment="1">
      <alignment horizontal="left" vertical="top" indent="1"/>
    </xf>
    <xf numFmtId="0" fontId="0" fillId="0" borderId="1" xfId="0" applyBorder="1" applyAlignment="1">
      <alignment horizontal="left" vertical="top"/>
    </xf>
    <xf numFmtId="165" fontId="0" fillId="0" borderId="1" xfId="0" applyNumberFormat="1" applyBorder="1" applyAlignment="1">
      <alignment horizontal="left" vertical="top" indent="1"/>
    </xf>
    <xf numFmtId="0" fontId="0" fillId="0" borderId="1" xfId="0" applyBorder="1" applyAlignment="1">
      <alignment vertical="top" wrapText="1"/>
    </xf>
    <xf numFmtId="0" fontId="0" fillId="0" borderId="4" xfId="0" applyBorder="1" applyAlignment="1">
      <alignment horizontal="left" vertical="top"/>
    </xf>
    <xf numFmtId="166" fontId="0" fillId="0" borderId="4" xfId="0" applyNumberFormat="1" applyBorder="1" applyAlignment="1">
      <alignment horizontal="left" vertical="top" indent="1"/>
    </xf>
    <xf numFmtId="0" fontId="0" fillId="0" borderId="3" xfId="0" applyBorder="1" applyAlignment="1">
      <alignment horizontal="left" vertical="top"/>
    </xf>
    <xf numFmtId="168" fontId="0" fillId="0" borderId="1" xfId="0" applyNumberFormat="1" applyBorder="1" applyAlignment="1">
      <alignment horizontal="left" vertical="top" indent="1"/>
    </xf>
    <xf numFmtId="168" fontId="0" fillId="0" borderId="3" xfId="0" applyNumberFormat="1" applyBorder="1" applyAlignment="1">
      <alignment horizontal="left" vertical="top" indent="1"/>
    </xf>
    <xf numFmtId="0" fontId="0" fillId="0" borderId="3" xfId="0" applyBorder="1" applyAlignment="1">
      <alignment vertical="top" wrapText="1"/>
    </xf>
    <xf numFmtId="0" fontId="0" fillId="0" borderId="6" xfId="0" applyBorder="1" applyAlignment="1">
      <alignment horizontal="left" vertical="top"/>
    </xf>
    <xf numFmtId="167" fontId="0" fillId="0" borderId="6" xfId="0" applyNumberFormat="1" applyBorder="1" applyAlignment="1">
      <alignment horizontal="left" vertical="top" indent="1"/>
    </xf>
    <xf numFmtId="0" fontId="0" fillId="0" borderId="5" xfId="0" applyBorder="1" applyAlignment="1">
      <alignment horizontal="left" vertical="top"/>
    </xf>
    <xf numFmtId="168" fontId="0" fillId="0" borderId="5" xfId="0" applyNumberFormat="1" applyBorder="1" applyAlignment="1">
      <alignment horizontal="left" vertical="top" indent="1"/>
    </xf>
    <xf numFmtId="0" fontId="0" fillId="0" borderId="5" xfId="0" applyBorder="1" applyAlignment="1">
      <alignment vertical="top" wrapText="1"/>
    </xf>
    <xf numFmtId="0" fontId="0" fillId="0" borderId="7" xfId="0" applyBorder="1" applyAlignment="1">
      <alignment horizontal="left" vertical="top"/>
    </xf>
    <xf numFmtId="168" fontId="0" fillId="0" borderId="7" xfId="0" applyNumberFormat="1" applyBorder="1" applyAlignment="1">
      <alignment horizontal="left" vertical="top" indent="1"/>
    </xf>
    <xf numFmtId="0" fontId="0" fillId="0" borderId="7" xfId="0" applyBorder="1" applyAlignment="1">
      <alignment vertical="top" wrapText="1"/>
    </xf>
    <xf numFmtId="0" fontId="0" fillId="0" borderId="5"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8" xfId="0" applyBorder="1" applyAlignment="1">
      <alignment vertical="top" wrapText="1"/>
    </xf>
    <xf numFmtId="0" fontId="2" fillId="0" borderId="2" xfId="0" applyFont="1" applyBorder="1" applyAlignment="1">
      <alignment wrapText="1"/>
    </xf>
    <xf numFmtId="165" fontId="0" fillId="4" borderId="1" xfId="0" applyNumberFormat="1" applyFill="1" applyBorder="1" applyAlignment="1" applyProtection="1">
      <alignment horizontal="left" vertical="top" indent="1"/>
      <protection locked="0"/>
    </xf>
    <xf numFmtId="0" fontId="0" fillId="4" borderId="1" xfId="0" applyFill="1" applyBorder="1" applyAlignment="1" applyProtection="1">
      <alignment horizontal="left" vertical="top" indent="1"/>
      <protection locked="0"/>
    </xf>
    <xf numFmtId="0" fontId="0" fillId="4" borderId="1" xfId="0" applyFill="1" applyBorder="1" applyAlignment="1" applyProtection="1">
      <alignment horizontal="center" vertical="top"/>
      <protection locked="0"/>
    </xf>
    <xf numFmtId="166" fontId="0" fillId="4" borderId="4" xfId="0" applyNumberFormat="1" applyFill="1" applyBorder="1" applyAlignment="1" applyProtection="1">
      <alignment horizontal="left" vertical="top" indent="1"/>
      <protection locked="0"/>
    </xf>
    <xf numFmtId="167" fontId="0" fillId="4" borderId="6" xfId="0" applyNumberFormat="1" applyFill="1" applyBorder="1" applyAlignment="1" applyProtection="1">
      <alignment horizontal="left" vertical="top" indent="1"/>
      <protection locked="0"/>
    </xf>
    <xf numFmtId="168" fontId="0" fillId="4" borderId="3" xfId="0" applyNumberFormat="1" applyFill="1" applyBorder="1" applyAlignment="1" applyProtection="1">
      <alignment horizontal="left" vertical="top" indent="1"/>
      <protection locked="0"/>
    </xf>
    <xf numFmtId="0" fontId="0" fillId="4" borderId="3" xfId="0" applyFill="1" applyBorder="1" applyAlignment="1" applyProtection="1">
      <alignment horizontal="left" vertical="top" indent="1"/>
      <protection locked="0"/>
    </xf>
    <xf numFmtId="0" fontId="0" fillId="4" borderId="3" xfId="0" applyFill="1" applyBorder="1" applyAlignment="1" applyProtection="1">
      <alignment horizontal="center" vertical="top"/>
      <protection locked="0"/>
    </xf>
    <xf numFmtId="168" fontId="0" fillId="4" borderId="5" xfId="0" applyNumberFormat="1" applyFill="1" applyBorder="1" applyAlignment="1" applyProtection="1">
      <alignment horizontal="left" vertical="top" indent="1"/>
      <protection locked="0"/>
    </xf>
    <xf numFmtId="0" fontId="0" fillId="4" borderId="5" xfId="0" applyFill="1" applyBorder="1" applyAlignment="1" applyProtection="1">
      <alignment horizontal="left" vertical="top" indent="1"/>
      <protection locked="0"/>
    </xf>
    <xf numFmtId="0" fontId="0" fillId="4" borderId="5" xfId="0" applyFill="1" applyBorder="1" applyAlignment="1" applyProtection="1">
      <alignment horizontal="center" vertical="top"/>
      <protection locked="0"/>
    </xf>
    <xf numFmtId="168" fontId="0" fillId="4" borderId="7" xfId="0" applyNumberFormat="1" applyFill="1" applyBorder="1" applyAlignment="1" applyProtection="1">
      <alignment horizontal="left" vertical="top" indent="1"/>
      <protection locked="0"/>
    </xf>
    <xf numFmtId="0" fontId="0" fillId="4" borderId="7" xfId="0" applyFill="1" applyBorder="1" applyAlignment="1" applyProtection="1">
      <alignment horizontal="left" vertical="top" indent="1"/>
      <protection locked="0"/>
    </xf>
    <xf numFmtId="0" fontId="0" fillId="4" borderId="7" xfId="0" applyFill="1" applyBorder="1" applyAlignment="1" applyProtection="1">
      <alignment horizontal="center" vertical="top"/>
      <protection locked="0"/>
    </xf>
    <xf numFmtId="168" fontId="0" fillId="4" borderId="1" xfId="0" applyNumberFormat="1" applyFill="1" applyBorder="1" applyAlignment="1" applyProtection="1">
      <alignment horizontal="left" vertical="top" indent="1"/>
      <protection locked="0"/>
    </xf>
    <xf numFmtId="0" fontId="3" fillId="0" borderId="0" xfId="0" applyFont="1" applyAlignment="1" applyProtection="1">
      <alignment horizontal="left"/>
    </xf>
    <xf numFmtId="0" fontId="9" fillId="0" borderId="0" xfId="0" applyFont="1" applyAlignment="1" applyProtection="1">
      <alignment horizontal="left"/>
    </xf>
    <xf numFmtId="0" fontId="10" fillId="0" borderId="0" xfId="0" applyFont="1" applyFill="1" applyBorder="1" applyAlignment="1" applyProtection="1">
      <alignment horizontal="left"/>
    </xf>
    <xf numFmtId="44" fontId="9" fillId="0" borderId="0" xfId="0" applyNumberFormat="1" applyFont="1" applyAlignment="1" applyProtection="1">
      <alignment horizontal="left"/>
    </xf>
    <xf numFmtId="0" fontId="9" fillId="0" borderId="0" xfId="0" applyFont="1" applyAlignment="1" applyProtection="1">
      <alignment horizontal="left" vertical="top"/>
    </xf>
    <xf numFmtId="0" fontId="9" fillId="0" borderId="0" xfId="0" applyFont="1" applyBorder="1" applyAlignment="1" applyProtection="1">
      <alignment horizontal="left" vertical="top"/>
    </xf>
    <xf numFmtId="0" fontId="9" fillId="0" borderId="0" xfId="0" applyFont="1" applyFill="1" applyBorder="1" applyAlignment="1" applyProtection="1">
      <alignment horizontal="left"/>
    </xf>
    <xf numFmtId="0" fontId="0" fillId="0" borderId="0" xfId="0" applyFont="1" applyAlignment="1" applyProtection="1">
      <alignment horizontal="center"/>
    </xf>
    <xf numFmtId="0" fontId="11" fillId="0" borderId="0" xfId="0" applyFont="1" applyFill="1" applyBorder="1" applyAlignment="1" applyProtection="1">
      <alignment horizontal="left"/>
    </xf>
    <xf numFmtId="0" fontId="2" fillId="0" borderId="9" xfId="0" applyFont="1" applyBorder="1" applyAlignment="1" applyProtection="1">
      <alignment horizontal="left"/>
    </xf>
    <xf numFmtId="0" fontId="13" fillId="0" borderId="0" xfId="0" applyFont="1" applyFill="1" applyBorder="1" applyAlignment="1" applyProtection="1">
      <alignment horizontal="center" vertical="center" textRotation="90"/>
    </xf>
    <xf numFmtId="0" fontId="13" fillId="0" borderId="9" xfId="0" applyFont="1" applyFill="1" applyBorder="1" applyAlignment="1" applyProtection="1">
      <alignment horizontal="center" vertical="center" textRotation="90"/>
    </xf>
    <xf numFmtId="0" fontId="9" fillId="0" borderId="0" xfId="0" applyFont="1" applyFill="1" applyBorder="1" applyAlignment="1" applyProtection="1">
      <alignment horizontal="left" vertical="top"/>
    </xf>
    <xf numFmtId="44" fontId="9" fillId="0" borderId="0" xfId="1" applyFont="1" applyAlignment="1" applyProtection="1">
      <alignment horizontal="left"/>
    </xf>
    <xf numFmtId="164" fontId="9" fillId="0" borderId="0" xfId="1" applyNumberFormat="1" applyFont="1" applyAlignment="1" applyProtection="1">
      <alignment horizontal="left"/>
    </xf>
    <xf numFmtId="0" fontId="9" fillId="0" borderId="0" xfId="0" applyNumberFormat="1" applyFont="1" applyAlignment="1" applyProtection="1">
      <alignment horizontal="left"/>
    </xf>
    <xf numFmtId="0" fontId="4" fillId="0" borderId="0" xfId="0" applyFont="1" applyBorder="1" applyAlignment="1" applyProtection="1">
      <alignment horizontal="center"/>
    </xf>
    <xf numFmtId="0" fontId="9" fillId="0" borderId="0" xfId="0" applyFont="1" applyBorder="1" applyAlignment="1" applyProtection="1">
      <alignment horizontal="left"/>
    </xf>
    <xf numFmtId="0" fontId="13" fillId="0" borderId="13" xfId="0" applyFont="1" applyFill="1" applyBorder="1" applyAlignment="1" applyProtection="1">
      <alignment horizontal="center" vertical="center" textRotation="90"/>
    </xf>
    <xf numFmtId="0" fontId="2" fillId="0" borderId="13" xfId="0" applyFont="1" applyBorder="1" applyAlignment="1" applyProtection="1">
      <alignment horizontal="left"/>
    </xf>
    <xf numFmtId="0" fontId="11" fillId="0" borderId="0" xfId="0" applyFont="1" applyBorder="1" applyAlignment="1" applyProtection="1">
      <alignment horizontal="left"/>
    </xf>
    <xf numFmtId="0" fontId="10" fillId="0" borderId="0" xfId="0" applyFont="1" applyBorder="1" applyAlignment="1" applyProtection="1">
      <alignment horizontal="left"/>
    </xf>
    <xf numFmtId="0" fontId="0" fillId="0" borderId="0" xfId="0" applyFont="1" applyBorder="1" applyAlignment="1" applyProtection="1">
      <alignment horizontal="right"/>
    </xf>
    <xf numFmtId="0" fontId="9" fillId="0" borderId="0" xfId="0" applyFont="1" applyBorder="1" applyAlignment="1" applyProtection="1"/>
    <xf numFmtId="0" fontId="4" fillId="0" borderId="0" xfId="0" applyFont="1" applyBorder="1" applyAlignment="1" applyProtection="1">
      <alignment horizontal="left"/>
    </xf>
    <xf numFmtId="0" fontId="4" fillId="0" borderId="0" xfId="0" applyFont="1" applyBorder="1" applyProtection="1"/>
    <xf numFmtId="0" fontId="12" fillId="0" borderId="0" xfId="0" applyFont="1" applyAlignment="1" applyProtection="1">
      <alignment horizontal="center"/>
    </xf>
    <xf numFmtId="0" fontId="4" fillId="0" borderId="0" xfId="0" applyFont="1" applyBorder="1" applyAlignment="1" applyProtection="1">
      <alignment horizontal="left" indent="1"/>
    </xf>
    <xf numFmtId="0" fontId="18" fillId="0" borderId="0" xfId="0" applyFont="1" applyFill="1" applyBorder="1" applyAlignment="1" applyProtection="1">
      <alignment horizontal="center" vertical="center" textRotation="90"/>
    </xf>
    <xf numFmtId="2" fontId="0" fillId="4" borderId="3" xfId="0" applyNumberFormat="1" applyFont="1" applyFill="1" applyBorder="1" applyAlignment="1" applyProtection="1">
      <alignment horizontal="center"/>
      <protection locked="0"/>
    </xf>
    <xf numFmtId="0" fontId="0" fillId="4" borderId="3" xfId="0" applyFont="1" applyFill="1" applyBorder="1" applyAlignment="1" applyProtection="1">
      <alignment horizontal="center"/>
      <protection locked="0"/>
    </xf>
    <xf numFmtId="173" fontId="0" fillId="4" borderId="1" xfId="0" applyNumberFormat="1" applyFill="1" applyBorder="1" applyAlignment="1" applyProtection="1">
      <alignment horizontal="center" vertical="top"/>
      <protection locked="0"/>
    </xf>
    <xf numFmtId="173" fontId="0" fillId="4" borderId="4" xfId="0" applyNumberFormat="1" applyFill="1" applyBorder="1" applyAlignment="1" applyProtection="1">
      <alignment horizontal="center" vertical="center"/>
      <protection locked="0"/>
    </xf>
    <xf numFmtId="173" fontId="0" fillId="4" borderId="6" xfId="0" applyNumberFormat="1" applyFill="1" applyBorder="1" applyAlignment="1" applyProtection="1">
      <alignment horizontal="center" vertical="center"/>
      <protection locked="0"/>
    </xf>
    <xf numFmtId="173" fontId="0" fillId="4" borderId="3" xfId="0" applyNumberFormat="1" applyFill="1" applyBorder="1" applyAlignment="1" applyProtection="1">
      <alignment horizontal="center" vertical="top"/>
      <protection locked="0"/>
    </xf>
    <xf numFmtId="173" fontId="0" fillId="4" borderId="5" xfId="0" applyNumberFormat="1" applyFill="1" applyBorder="1" applyAlignment="1" applyProtection="1">
      <alignment horizontal="center" vertical="top"/>
      <protection locked="0"/>
    </xf>
    <xf numFmtId="173" fontId="0" fillId="4" borderId="7" xfId="0" applyNumberFormat="1" applyFill="1" applyBorder="1" applyAlignment="1" applyProtection="1">
      <alignment horizontal="center" vertical="top"/>
      <protection locked="0"/>
    </xf>
    <xf numFmtId="0" fontId="0" fillId="0" borderId="0" xfId="0" applyFont="1" applyBorder="1" applyAlignment="1" applyProtection="1">
      <alignment vertical="top" wrapText="1"/>
    </xf>
    <xf numFmtId="0" fontId="0" fillId="0" borderId="0" xfId="0" applyFont="1" applyBorder="1" applyAlignment="1" applyProtection="1">
      <alignment vertical="top"/>
    </xf>
    <xf numFmtId="0" fontId="9" fillId="0" borderId="0" xfId="0" quotePrefix="1" applyFont="1" applyAlignment="1" applyProtection="1">
      <alignment horizontal="left"/>
    </xf>
    <xf numFmtId="0" fontId="0" fillId="0" borderId="0" xfId="0" applyFont="1" applyBorder="1" applyAlignment="1" applyProtection="1">
      <alignment horizontal="left"/>
    </xf>
    <xf numFmtId="164" fontId="4" fillId="4" borderId="3" xfId="1" applyNumberFormat="1" applyFont="1" applyFill="1" applyBorder="1" applyAlignment="1" applyProtection="1">
      <alignment horizontal="left"/>
      <protection locked="0"/>
    </xf>
    <xf numFmtId="9" fontId="4" fillId="4" borderId="3" xfId="2" applyFont="1" applyFill="1" applyBorder="1" applyAlignment="1" applyProtection="1">
      <alignment horizontal="center"/>
      <protection locked="0"/>
    </xf>
    <xf numFmtId="169" fontId="4" fillId="4" borderId="3" xfId="2" applyNumberFormat="1" applyFont="1" applyFill="1" applyBorder="1" applyAlignment="1" applyProtection="1">
      <alignment horizontal="center"/>
      <protection locked="0"/>
    </xf>
    <xf numFmtId="173" fontId="4" fillId="0" borderId="3" xfId="2" applyNumberFormat="1" applyFont="1" applyBorder="1" applyAlignment="1" applyProtection="1">
      <alignment horizontal="center"/>
    </xf>
    <xf numFmtId="1" fontId="4" fillId="0" borderId="3" xfId="0" applyNumberFormat="1" applyFont="1" applyBorder="1" applyAlignment="1" applyProtection="1">
      <alignment horizontal="center"/>
    </xf>
    <xf numFmtId="44" fontId="4" fillId="0" borderId="3" xfId="1" applyFont="1" applyBorder="1" applyAlignment="1" applyProtection="1">
      <alignment horizontal="left"/>
    </xf>
    <xf numFmtId="44" fontId="4" fillId="0" borderId="3" xfId="1" applyNumberFormat="1" applyFont="1" applyBorder="1" applyAlignment="1" applyProtection="1">
      <alignment horizontal="left"/>
    </xf>
    <xf numFmtId="44" fontId="19" fillId="0" borderId="3" xfId="1" applyFont="1" applyBorder="1" applyAlignment="1" applyProtection="1">
      <alignment horizontal="left"/>
    </xf>
    <xf numFmtId="164" fontId="4" fillId="0" borderId="0" xfId="1" applyNumberFormat="1" applyFont="1" applyBorder="1" applyAlignment="1" applyProtection="1">
      <alignment horizontal="left"/>
    </xf>
    <xf numFmtId="44" fontId="0" fillId="0" borderId="0" xfId="0" applyNumberFormat="1" applyFont="1" applyBorder="1" applyProtection="1"/>
    <xf numFmtId="0" fontId="0" fillId="0" borderId="0" xfId="0" applyFont="1" applyBorder="1" applyProtection="1"/>
    <xf numFmtId="0" fontId="4" fillId="0" borderId="0" xfId="0" applyFont="1" applyBorder="1" applyAlignment="1" applyProtection="1">
      <alignment horizontal="right"/>
    </xf>
    <xf numFmtId="0" fontId="9" fillId="0" borderId="0" xfId="0" applyFont="1" applyFill="1" applyBorder="1" applyAlignment="1" applyProtection="1">
      <alignment horizontal="left" vertical="center"/>
    </xf>
    <xf numFmtId="0" fontId="9" fillId="0" borderId="0" xfId="0" applyFont="1" applyAlignment="1" applyProtection="1">
      <alignment horizontal="left" vertical="center"/>
    </xf>
    <xf numFmtId="0" fontId="4" fillId="0" borderId="0" xfId="0" applyFont="1" applyBorder="1" applyAlignment="1" applyProtection="1"/>
    <xf numFmtId="170" fontId="4" fillId="0" borderId="0" xfId="2" applyNumberFormat="1" applyFont="1" applyBorder="1" applyAlignment="1" applyProtection="1">
      <alignment horizontal="left" indent="1"/>
    </xf>
    <xf numFmtId="171" fontId="21" fillId="0" borderId="0" xfId="2" applyNumberFormat="1" applyFont="1" applyBorder="1" applyAlignment="1" applyProtection="1">
      <alignment horizontal="left" indent="1"/>
    </xf>
    <xf numFmtId="0" fontId="21" fillId="0" borderId="0" xfId="0" applyFont="1" applyBorder="1" applyAlignment="1" applyProtection="1">
      <alignment horizontal="left" indent="1"/>
    </xf>
    <xf numFmtId="44" fontId="1" fillId="0" borderId="0" xfId="1" applyFont="1" applyBorder="1" applyProtection="1"/>
    <xf numFmtId="44" fontId="0" fillId="0" borderId="3" xfId="0" applyNumberFormat="1" applyFont="1" applyBorder="1" applyProtection="1"/>
    <xf numFmtId="44" fontId="2" fillId="0" borderId="0" xfId="0" applyNumberFormat="1" applyFont="1" applyBorder="1" applyProtection="1"/>
    <xf numFmtId="0" fontId="22" fillId="0" borderId="0" xfId="0" applyFont="1" applyBorder="1" applyProtection="1"/>
    <xf numFmtId="9" fontId="4" fillId="0" borderId="3" xfId="2" applyFont="1" applyBorder="1" applyAlignment="1" applyProtection="1">
      <alignment horizontal="center"/>
    </xf>
    <xf numFmtId="174" fontId="4" fillId="0" borderId="3" xfId="0" applyNumberFormat="1" applyFont="1" applyBorder="1" applyAlignment="1" applyProtection="1">
      <alignment horizontal="center"/>
    </xf>
    <xf numFmtId="3" fontId="4" fillId="0" borderId="3" xfId="0" applyNumberFormat="1" applyFont="1" applyBorder="1" applyAlignment="1" applyProtection="1">
      <alignment horizontal="center"/>
    </xf>
    <xf numFmtId="44" fontId="4" fillId="0" borderId="3" xfId="1" applyFont="1" applyBorder="1" applyAlignment="1" applyProtection="1">
      <alignment horizontal="center"/>
    </xf>
    <xf numFmtId="0" fontId="19" fillId="0" borderId="0" xfId="0" applyFont="1" applyBorder="1" applyAlignment="1" applyProtection="1">
      <alignment horizontal="right"/>
    </xf>
    <xf numFmtId="0" fontId="0" fillId="0" borderId="0" xfId="0" applyFont="1" applyAlignment="1" applyProtection="1">
      <alignment horizontal="left"/>
    </xf>
    <xf numFmtId="0" fontId="0" fillId="0" borderId="0" xfId="0" applyFont="1" applyProtection="1"/>
    <xf numFmtId="0" fontId="4" fillId="4" borderId="3" xfId="0" applyFont="1" applyFill="1" applyBorder="1" applyAlignment="1" applyProtection="1">
      <alignment horizontal="center" vertical="center"/>
    </xf>
    <xf numFmtId="0" fontId="0" fillId="0" borderId="13" xfId="0" applyFont="1" applyBorder="1" applyProtection="1"/>
    <xf numFmtId="0" fontId="0" fillId="0" borderId="13" xfId="0" applyFont="1" applyBorder="1" applyAlignment="1" applyProtection="1">
      <alignment horizontal="left"/>
    </xf>
    <xf numFmtId="0" fontId="9" fillId="0" borderId="0" xfId="0" applyFont="1" applyAlignment="1" applyProtection="1">
      <alignment horizontal="center"/>
    </xf>
    <xf numFmtId="0" fontId="0" fillId="0" borderId="0" xfId="0" applyFont="1" applyFill="1" applyBorder="1" applyAlignment="1" applyProtection="1"/>
    <xf numFmtId="0" fontId="0" fillId="0" borderId="0" xfId="0" applyFont="1" applyFill="1" applyBorder="1" applyAlignment="1" applyProtection="1">
      <alignment horizontal="left"/>
    </xf>
    <xf numFmtId="0" fontId="0" fillId="0" borderId="0" xfId="0" applyFont="1" applyFill="1" applyBorder="1" applyAlignment="1" applyProtection="1">
      <alignment horizontal="center"/>
    </xf>
    <xf numFmtId="0" fontId="0" fillId="0" borderId="0" xfId="0" applyFont="1" applyFill="1" applyBorder="1" applyAlignment="1" applyProtection="1">
      <alignment horizontal="right"/>
    </xf>
    <xf numFmtId="0" fontId="0" fillId="0" borderId="0" xfId="0" applyFont="1" applyBorder="1" applyAlignment="1" applyProtection="1">
      <alignment horizontal="center"/>
    </xf>
    <xf numFmtId="0" fontId="0" fillId="0" borderId="0" xfId="0" applyFont="1" applyFill="1" applyBorder="1" applyProtection="1"/>
    <xf numFmtId="0" fontId="2" fillId="0" borderId="0" xfId="0" applyFont="1" applyFill="1" applyBorder="1" applyAlignment="1" applyProtection="1">
      <alignment horizontal="left"/>
    </xf>
    <xf numFmtId="0" fontId="0" fillId="0" borderId="3" xfId="0" applyFont="1" applyFill="1" applyBorder="1" applyAlignment="1" applyProtection="1">
      <alignment horizontal="center"/>
    </xf>
    <xf numFmtId="44" fontId="1" fillId="0" borderId="3" xfId="1" applyFont="1" applyFill="1" applyBorder="1" applyProtection="1"/>
    <xf numFmtId="7" fontId="1" fillId="0" borderId="3" xfId="1" applyNumberFormat="1" applyFont="1" applyFill="1" applyBorder="1" applyProtection="1"/>
    <xf numFmtId="0" fontId="9" fillId="0" borderId="0" xfId="0" applyFont="1" applyBorder="1" applyProtection="1"/>
    <xf numFmtId="0" fontId="9" fillId="0" borderId="0" xfId="0" applyFont="1" applyBorder="1" applyAlignment="1" applyProtection="1">
      <alignment vertical="top"/>
    </xf>
    <xf numFmtId="7" fontId="0" fillId="0" borderId="0" xfId="0" applyNumberFormat="1" applyFont="1" applyFill="1" applyBorder="1" applyProtection="1"/>
    <xf numFmtId="0" fontId="0" fillId="0" borderId="0" xfId="0" applyFont="1" applyBorder="1" applyAlignment="1" applyProtection="1"/>
    <xf numFmtId="170" fontId="1" fillId="0" borderId="0" xfId="2" applyNumberFormat="1" applyFont="1" applyBorder="1" applyAlignment="1" applyProtection="1"/>
    <xf numFmtId="171" fontId="24" fillId="0" borderId="0" xfId="2" applyNumberFormat="1" applyFont="1" applyBorder="1" applyAlignment="1" applyProtection="1"/>
    <xf numFmtId="171" fontId="2" fillId="0" borderId="0" xfId="2" applyNumberFormat="1" applyFont="1" applyBorder="1" applyAlignment="1" applyProtection="1"/>
    <xf numFmtId="0" fontId="2" fillId="0" borderId="0" xfId="0" applyFont="1" applyBorder="1" applyAlignment="1" applyProtection="1"/>
    <xf numFmtId="169" fontId="4" fillId="0" borderId="3" xfId="2" applyNumberFormat="1" applyFont="1" applyFill="1" applyBorder="1" applyAlignment="1" applyProtection="1">
      <alignment horizontal="left"/>
    </xf>
    <xf numFmtId="0" fontId="0" fillId="0" borderId="0" xfId="0" quotePrefix="1" applyFont="1" applyBorder="1" applyProtection="1"/>
    <xf numFmtId="0" fontId="0" fillId="0" borderId="0" xfId="0" applyFont="1" applyBorder="1" applyAlignment="1" applyProtection="1">
      <alignment horizontal="left" vertical="top"/>
    </xf>
    <xf numFmtId="0" fontId="0" fillId="0" borderId="0" xfId="0" applyFont="1" applyAlignment="1" applyProtection="1">
      <alignment horizontal="center" vertical="top"/>
    </xf>
    <xf numFmtId="0" fontId="0" fillId="0" borderId="9" xfId="0" applyFont="1" applyBorder="1" applyProtection="1"/>
    <xf numFmtId="0" fontId="0" fillId="0" borderId="9" xfId="0" applyFont="1" applyBorder="1" applyAlignment="1" applyProtection="1">
      <alignment horizontal="left"/>
    </xf>
    <xf numFmtId="0" fontId="0" fillId="0" borderId="13" xfId="0" applyFont="1" applyFill="1" applyBorder="1" applyProtection="1"/>
    <xf numFmtId="0" fontId="0" fillId="0" borderId="0" xfId="0" applyFont="1" applyFill="1" applyBorder="1" applyAlignment="1" applyProtection="1">
      <alignment vertical="top"/>
    </xf>
    <xf numFmtId="0" fontId="0" fillId="0" borderId="0" xfId="0" applyFont="1" applyBorder="1" applyAlignment="1" applyProtection="1">
      <alignment horizontal="center" vertical="top"/>
    </xf>
    <xf numFmtId="0" fontId="0" fillId="0" borderId="0" xfId="0" applyFont="1" applyBorder="1"/>
    <xf numFmtId="0" fontId="0" fillId="0" borderId="9" xfId="0" applyFont="1" applyFill="1" applyBorder="1" applyProtection="1"/>
    <xf numFmtId="1" fontId="4" fillId="0" borderId="0" xfId="0" applyNumberFormat="1" applyFont="1" applyBorder="1" applyAlignment="1" applyProtection="1">
      <alignment horizontal="center"/>
    </xf>
    <xf numFmtId="0" fontId="0" fillId="0" borderId="0" xfId="0" applyFont="1" applyFill="1" applyBorder="1" applyAlignment="1" applyProtection="1">
      <alignment vertical="center"/>
    </xf>
    <xf numFmtId="0" fontId="0" fillId="0" borderId="0" xfId="0" applyFont="1" applyAlignment="1" applyProtection="1">
      <alignment horizontal="center" vertical="center"/>
    </xf>
    <xf numFmtId="0" fontId="0" fillId="0" borderId="0" xfId="0" applyFont="1" applyFill="1" applyProtection="1"/>
    <xf numFmtId="0" fontId="4" fillId="0" borderId="0" xfId="0" applyFont="1" applyBorder="1" applyAlignment="1" applyProtection="1">
      <alignment horizontal="center" vertical="center"/>
    </xf>
    <xf numFmtId="0" fontId="9" fillId="0" borderId="0" xfId="0" applyFont="1" applyBorder="1" applyAlignment="1" applyProtection="1">
      <alignment horizontal="left" vertical="center"/>
    </xf>
    <xf numFmtId="0" fontId="26" fillId="0" borderId="0" xfId="0" applyFont="1" applyBorder="1" applyAlignment="1" applyProtection="1">
      <alignment vertical="top"/>
    </xf>
    <xf numFmtId="0" fontId="26" fillId="0" borderId="0" xfId="0" applyFont="1" applyBorder="1" applyAlignment="1" applyProtection="1">
      <alignment vertical="top" wrapText="1"/>
    </xf>
    <xf numFmtId="0" fontId="0" fillId="0" borderId="0" xfId="0" applyFont="1" applyBorder="1" applyAlignment="1" applyProtection="1">
      <alignment horizontal="left"/>
    </xf>
    <xf numFmtId="0" fontId="0" fillId="0" borderId="0" xfId="0" applyFont="1" applyBorder="1" applyAlignment="1" applyProtection="1">
      <alignment horizontal="center"/>
    </xf>
    <xf numFmtId="0" fontId="27" fillId="0" borderId="0" xfId="0" applyFont="1" applyBorder="1" applyProtection="1"/>
    <xf numFmtId="0" fontId="28" fillId="0" borderId="0" xfId="0" applyFont="1" applyFill="1" applyBorder="1" applyAlignment="1" applyProtection="1">
      <alignment horizontal="left" vertical="top"/>
    </xf>
    <xf numFmtId="0" fontId="28" fillId="0" borderId="0" xfId="0" applyFont="1" applyFill="1" applyBorder="1" applyAlignment="1" applyProtection="1">
      <alignment vertical="top"/>
    </xf>
    <xf numFmtId="0" fontId="28" fillId="0" borderId="0" xfId="0" applyFont="1" applyBorder="1" applyAlignment="1" applyProtection="1">
      <alignment vertical="top"/>
    </xf>
    <xf numFmtId="0" fontId="28" fillId="0" borderId="0" xfId="0" applyFont="1" applyBorder="1" applyAlignment="1" applyProtection="1">
      <alignment horizontal="left" vertical="top"/>
    </xf>
    <xf numFmtId="0" fontId="28" fillId="0" borderId="0" xfId="0" applyFont="1" applyBorder="1" applyAlignment="1" applyProtection="1">
      <alignment vertical="top" wrapText="1"/>
    </xf>
    <xf numFmtId="0" fontId="27" fillId="0" borderId="0" xfId="0" applyFont="1" applyBorder="1"/>
    <xf numFmtId="0" fontId="4" fillId="4" borderId="0" xfId="0" applyFont="1" applyFill="1" applyBorder="1" applyAlignment="1" applyProtection="1">
      <alignment horizontal="right"/>
      <protection locked="0"/>
    </xf>
    <xf numFmtId="0" fontId="27" fillId="0" borderId="0" xfId="0" applyFont="1" applyBorder="1" applyAlignment="1" applyProtection="1">
      <alignment horizontal="left"/>
    </xf>
    <xf numFmtId="0" fontId="30" fillId="0" borderId="0" xfId="0" applyFont="1" applyBorder="1" applyAlignment="1" applyProtection="1">
      <alignment horizontal="left"/>
    </xf>
    <xf numFmtId="0" fontId="27" fillId="0" borderId="0" xfId="0" applyFont="1" applyBorder="1" applyAlignment="1" applyProtection="1">
      <alignment horizontal="left" indent="6"/>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0" fillId="0" borderId="0" xfId="0" applyFont="1" applyBorder="1" applyAlignment="1" applyProtection="1">
      <alignment horizontal="left"/>
    </xf>
    <xf numFmtId="0" fontId="0" fillId="0" borderId="0" xfId="0" applyFont="1" applyBorder="1" applyAlignment="1" applyProtection="1">
      <alignment horizontal="center"/>
    </xf>
    <xf numFmtId="2" fontId="7" fillId="0" borderId="3" xfId="0" applyNumberFormat="1" applyFont="1" applyBorder="1" applyAlignment="1" applyProtection="1">
      <alignment horizontal="center"/>
    </xf>
    <xf numFmtId="0" fontId="27" fillId="0" borderId="0" xfId="0" quotePrefix="1" applyFont="1" applyBorder="1" applyProtection="1"/>
    <xf numFmtId="0" fontId="30" fillId="0" borderId="0" xfId="0" applyFont="1" applyBorder="1"/>
    <xf numFmtId="0" fontId="30" fillId="0" borderId="0" xfId="0" applyFont="1" applyBorder="1" applyProtection="1"/>
    <xf numFmtId="0" fontId="29" fillId="0" borderId="0" xfId="3" applyFont="1" applyBorder="1" applyProtection="1"/>
    <xf numFmtId="0" fontId="0" fillId="0" borderId="0" xfId="0" applyFont="1" applyBorder="1" applyAlignment="1" applyProtection="1">
      <alignment horizontal="left"/>
    </xf>
    <xf numFmtId="0" fontId="0" fillId="0" borderId="0" xfId="0" applyFont="1" applyBorder="1" applyAlignment="1" applyProtection="1">
      <alignment horizontal="center"/>
    </xf>
    <xf numFmtId="169" fontId="0" fillId="0" borderId="5" xfId="2" applyNumberFormat="1" applyFont="1" applyFill="1" applyBorder="1" applyAlignment="1" applyProtection="1">
      <alignment horizontal="center" vertical="top" wrapText="1"/>
    </xf>
    <xf numFmtId="169" fontId="0" fillId="0" borderId="7" xfId="2" applyNumberFormat="1" applyFont="1" applyFill="1" applyBorder="1" applyAlignment="1" applyProtection="1">
      <alignment horizontal="center" vertical="top" wrapText="1"/>
    </xf>
    <xf numFmtId="169" fontId="0" fillId="0" borderId="8" xfId="2" applyNumberFormat="1" applyFont="1" applyFill="1" applyBorder="1" applyAlignment="1" applyProtection="1">
      <alignment horizontal="center" vertical="top" wrapText="1"/>
    </xf>
    <xf numFmtId="0" fontId="3" fillId="0" borderId="0" xfId="0" applyFont="1" applyAlignment="1" applyProtection="1">
      <alignment horizontal="left"/>
    </xf>
    <xf numFmtId="0" fontId="9" fillId="0" borderId="4"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wrapText="1"/>
    </xf>
    <xf numFmtId="0" fontId="9" fillId="0" borderId="3" xfId="0" applyFont="1" applyBorder="1" applyAlignment="1" applyProtection="1">
      <alignment horizontal="center" vertical="center" wrapText="1"/>
    </xf>
    <xf numFmtId="2" fontId="17" fillId="0" borderId="0" xfId="0" applyNumberFormat="1" applyFont="1" applyBorder="1" applyAlignment="1" applyProtection="1">
      <alignment horizontal="left"/>
    </xf>
    <xf numFmtId="0" fontId="14" fillId="5" borderId="10" xfId="0" applyFont="1" applyFill="1" applyBorder="1" applyAlignment="1" applyProtection="1">
      <alignment horizontal="center" vertical="center" textRotation="90"/>
    </xf>
    <xf numFmtId="0" fontId="14" fillId="5" borderId="11" xfId="0" applyFont="1" applyFill="1" applyBorder="1" applyAlignment="1" applyProtection="1">
      <alignment horizontal="center" vertical="center" textRotation="90"/>
    </xf>
    <xf numFmtId="0" fontId="14" fillId="5" borderId="12" xfId="0" applyFont="1" applyFill="1" applyBorder="1" applyAlignment="1" applyProtection="1">
      <alignment horizontal="center" vertical="center" textRotation="90"/>
    </xf>
    <xf numFmtId="176" fontId="4" fillId="4" borderId="0" xfId="2" applyNumberFormat="1" applyFont="1" applyFill="1" applyBorder="1" applyAlignment="1" applyProtection="1">
      <alignment horizontal="left" indent="1"/>
      <protection locked="0"/>
    </xf>
    <xf numFmtId="175" fontId="4" fillId="4" borderId="0" xfId="2" applyNumberFormat="1" applyFont="1" applyFill="1" applyBorder="1" applyAlignment="1" applyProtection="1">
      <alignment horizontal="left" indent="1"/>
      <protection locked="0"/>
    </xf>
    <xf numFmtId="0" fontId="0" fillId="0" borderId="0" xfId="0" applyFont="1" applyBorder="1" applyAlignment="1" applyProtection="1">
      <alignment horizontal="center"/>
    </xf>
    <xf numFmtId="0" fontId="4" fillId="4" borderId="3" xfId="0" applyFont="1" applyFill="1" applyBorder="1" applyAlignment="1" applyProtection="1">
      <alignment horizontal="center"/>
      <protection locked="0"/>
    </xf>
    <xf numFmtId="0" fontId="28" fillId="0" borderId="4" xfId="0" applyFont="1" applyFill="1" applyBorder="1" applyAlignment="1" applyProtection="1">
      <alignment horizontal="left" vertical="top"/>
    </xf>
    <xf numFmtId="172" fontId="0" fillId="4" borderId="3" xfId="0" applyNumberFormat="1" applyFont="1" applyFill="1" applyBorder="1" applyAlignment="1" applyProtection="1">
      <alignment horizontal="center" vertical="top" wrapText="1"/>
      <protection locked="0"/>
    </xf>
    <xf numFmtId="0" fontId="14" fillId="7" borderId="10" xfId="0" applyFont="1" applyFill="1" applyBorder="1" applyAlignment="1" applyProtection="1">
      <alignment horizontal="center" vertical="center" textRotation="90" wrapText="1"/>
    </xf>
    <xf numFmtId="0" fontId="14" fillId="7" borderId="11" xfId="0" applyFont="1" applyFill="1" applyBorder="1" applyAlignment="1" applyProtection="1">
      <alignment horizontal="center" vertical="center" textRotation="90" wrapText="1"/>
    </xf>
    <xf numFmtId="0" fontId="14" fillId="7" borderId="12" xfId="0" applyFont="1" applyFill="1" applyBorder="1" applyAlignment="1" applyProtection="1">
      <alignment horizontal="center" vertical="center" textRotation="90" wrapText="1"/>
    </xf>
    <xf numFmtId="0" fontId="19" fillId="0" borderId="0" xfId="0" applyFont="1" applyBorder="1" applyAlignment="1" applyProtection="1">
      <alignment horizontal="left" vertical="top" wrapText="1"/>
    </xf>
    <xf numFmtId="0" fontId="0" fillId="0" borderId="0" xfId="0" applyFont="1" applyBorder="1" applyAlignment="1" applyProtection="1">
      <alignment horizontal="left" vertical="center"/>
    </xf>
    <xf numFmtId="0" fontId="14" fillId="3" borderId="10" xfId="0" applyFont="1" applyFill="1" applyBorder="1" applyAlignment="1" applyProtection="1">
      <alignment horizontal="center" vertical="center" textRotation="90" wrapText="1"/>
    </xf>
    <xf numFmtId="0" fontId="14" fillId="3" borderId="11" xfId="0" applyFont="1" applyFill="1" applyBorder="1" applyAlignment="1" applyProtection="1">
      <alignment horizontal="center" vertical="center" textRotation="90" wrapText="1"/>
    </xf>
    <xf numFmtId="0" fontId="14" fillId="3" borderId="12" xfId="0" applyFont="1" applyFill="1" applyBorder="1" applyAlignment="1" applyProtection="1">
      <alignment horizontal="center" vertical="center" textRotation="90" wrapText="1"/>
    </xf>
    <xf numFmtId="0" fontId="0" fillId="0" borderId="0" xfId="0" applyFont="1" applyBorder="1" applyAlignment="1" applyProtection="1">
      <alignment horizontal="left"/>
    </xf>
    <xf numFmtId="0" fontId="14" fillId="6" borderId="10" xfId="0" applyFont="1" applyFill="1" applyBorder="1" applyAlignment="1" applyProtection="1">
      <alignment horizontal="center" vertical="center" textRotation="90" wrapText="1"/>
    </xf>
    <xf numFmtId="0" fontId="14" fillId="6" borderId="11" xfId="0" applyFont="1" applyFill="1" applyBorder="1" applyAlignment="1" applyProtection="1">
      <alignment horizontal="center" vertical="center" textRotation="90" wrapText="1"/>
    </xf>
    <xf numFmtId="0" fontId="14" fillId="6" borderId="12" xfId="0" applyFont="1" applyFill="1" applyBorder="1" applyAlignment="1" applyProtection="1">
      <alignment horizontal="center" vertical="center" textRotation="90" wrapText="1"/>
    </xf>
    <xf numFmtId="0" fontId="19" fillId="0" borderId="9" xfId="0" applyFont="1" applyBorder="1" applyAlignment="1" applyProtection="1">
      <alignment horizontal="justify" vertical="center" wrapText="1"/>
    </xf>
    <xf numFmtId="0" fontId="0" fillId="0" borderId="0" xfId="0" applyFont="1" applyFill="1" applyBorder="1" applyAlignment="1" applyProtection="1">
      <alignment horizontal="right"/>
    </xf>
    <xf numFmtId="0" fontId="12" fillId="4" borderId="3" xfId="0" applyFont="1" applyFill="1" applyBorder="1" applyAlignment="1" applyProtection="1">
      <alignment horizontal="left"/>
      <protection locked="0"/>
    </xf>
    <xf numFmtId="0" fontId="0" fillId="0" borderId="0" xfId="0" applyFont="1" applyFill="1" applyBorder="1" applyAlignment="1" applyProtection="1">
      <alignment horizontal="center"/>
    </xf>
    <xf numFmtId="0" fontId="0" fillId="8" borderId="3" xfId="0" applyFont="1" applyFill="1" applyBorder="1" applyAlignment="1" applyProtection="1">
      <alignment horizontal="left"/>
      <protection locked="0"/>
    </xf>
    <xf numFmtId="172" fontId="0" fillId="4" borderId="3" xfId="0" applyNumberFormat="1" applyFont="1" applyFill="1" applyBorder="1" applyAlignment="1" applyProtection="1">
      <alignment horizontal="center"/>
      <protection locked="0"/>
    </xf>
    <xf numFmtId="0" fontId="9" fillId="0" borderId="4" xfId="0" applyFont="1" applyBorder="1" applyAlignment="1" applyProtection="1">
      <alignment horizontal="left" vertical="center"/>
    </xf>
    <xf numFmtId="0" fontId="9" fillId="0" borderId="3" xfId="0" applyFont="1" applyBorder="1" applyAlignment="1" applyProtection="1">
      <alignment horizontal="left" vertical="center"/>
    </xf>
    <xf numFmtId="0" fontId="5" fillId="3" borderId="1" xfId="0" applyFont="1" applyFill="1" applyBorder="1" applyAlignment="1">
      <alignment horizontal="left" vertical="center"/>
    </xf>
    <xf numFmtId="0" fontId="0" fillId="4" borderId="4" xfId="0" applyFill="1" applyBorder="1" applyAlignment="1" applyProtection="1">
      <alignment horizontal="left" vertical="top" indent="1"/>
      <protection locked="0"/>
    </xf>
    <xf numFmtId="0" fontId="0" fillId="4" borderId="6" xfId="0" applyFill="1" applyBorder="1" applyAlignment="1" applyProtection="1">
      <alignment horizontal="left" vertical="top" indent="1"/>
      <protection locked="0"/>
    </xf>
    <xf numFmtId="0" fontId="0" fillId="4" borderId="4" xfId="0" applyFill="1" applyBorder="1" applyAlignment="1" applyProtection="1">
      <alignment horizontal="center" vertical="center"/>
      <protection locked="0"/>
    </xf>
    <xf numFmtId="0" fontId="0" fillId="4" borderId="6" xfId="0" applyFill="1" applyBorder="1" applyAlignment="1" applyProtection="1">
      <alignment horizontal="center" vertical="center"/>
      <protection locked="0"/>
    </xf>
    <xf numFmtId="0" fontId="0" fillId="0" borderId="4" xfId="0" applyBorder="1" applyAlignment="1">
      <alignment horizontal="left" vertical="top" wrapText="1"/>
    </xf>
    <xf numFmtId="0" fontId="0" fillId="0" borderId="6" xfId="0" applyBorder="1" applyAlignment="1">
      <alignment horizontal="left" vertical="top" wrapText="1"/>
    </xf>
    <xf numFmtId="0" fontId="6" fillId="0" borderId="0" xfId="0" applyFont="1" applyAlignment="1">
      <alignment horizontal="left" vertical="top" wrapText="1"/>
    </xf>
  </cellXfs>
  <cellStyles count="4">
    <cellStyle name="Currency" xfId="1" builtinId="4"/>
    <cellStyle name="Hyperlink" xfId="3" builtinId="8"/>
    <cellStyle name="Normal" xfId="0" builtinId="0"/>
    <cellStyle name="Percent" xfId="2" builtinId="5"/>
  </cellStyles>
  <dxfs count="1">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8</xdr:row>
      <xdr:rowOff>28575</xdr:rowOff>
    </xdr:from>
    <xdr:to>
      <xdr:col>7</xdr:col>
      <xdr:colOff>144640</xdr:colOff>
      <xdr:row>8</xdr:row>
      <xdr:rowOff>217147</xdr:rowOff>
    </xdr:to>
    <xdr:pic macro="[0]!AddFence">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800000">
          <a:off x="2762250" y="1781175"/>
          <a:ext cx="287515" cy="18857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7</xdr:col>
      <xdr:colOff>141483</xdr:colOff>
      <xdr:row>8</xdr:row>
      <xdr:rowOff>28575</xdr:rowOff>
    </xdr:from>
    <xdr:to>
      <xdr:col>7</xdr:col>
      <xdr:colOff>421064</xdr:colOff>
      <xdr:row>8</xdr:row>
      <xdr:rowOff>211529</xdr:rowOff>
    </xdr:to>
    <xdr:pic macro="[0]!RemoveFence">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046608" y="1781175"/>
          <a:ext cx="279581" cy="1829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5</xdr:col>
      <xdr:colOff>9525</xdr:colOff>
      <xdr:row>4</xdr:row>
      <xdr:rowOff>38100</xdr:rowOff>
    </xdr:from>
    <xdr:to>
      <xdr:col>5</xdr:col>
      <xdr:colOff>297040</xdr:colOff>
      <xdr:row>4</xdr:row>
      <xdr:rowOff>226672</xdr:rowOff>
    </xdr:to>
    <xdr:pic macro="[0]!AddLocation">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800000">
          <a:off x="2400300" y="1209675"/>
          <a:ext cx="287515" cy="18857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5</xdr:col>
      <xdr:colOff>293883</xdr:colOff>
      <xdr:row>4</xdr:row>
      <xdr:rowOff>38100</xdr:rowOff>
    </xdr:from>
    <xdr:to>
      <xdr:col>5</xdr:col>
      <xdr:colOff>573464</xdr:colOff>
      <xdr:row>4</xdr:row>
      <xdr:rowOff>221054</xdr:rowOff>
    </xdr:to>
    <xdr:pic macro="[0]!RemoveLocation">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684658" y="1209675"/>
          <a:ext cx="279581" cy="1829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5</xdr:col>
      <xdr:colOff>657225</xdr:colOff>
      <xdr:row>44</xdr:row>
      <xdr:rowOff>104775</xdr:rowOff>
    </xdr:from>
    <xdr:to>
      <xdr:col>5</xdr:col>
      <xdr:colOff>944740</xdr:colOff>
      <xdr:row>44</xdr:row>
      <xdr:rowOff>293347</xdr:rowOff>
    </xdr:to>
    <xdr:pic macro="[0]!AddWildAnimal">
      <xdr:nvPicPr>
        <xdr:cNvPr id="49" name="Pictur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800000">
          <a:off x="3171825" y="7534275"/>
          <a:ext cx="287515" cy="188572"/>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editAs="oneCell">
    <xdr:from>
      <xdr:col>5</xdr:col>
      <xdr:colOff>941583</xdr:colOff>
      <xdr:row>44</xdr:row>
      <xdr:rowOff>104775</xdr:rowOff>
    </xdr:from>
    <xdr:to>
      <xdr:col>6</xdr:col>
      <xdr:colOff>40064</xdr:colOff>
      <xdr:row>44</xdr:row>
      <xdr:rowOff>287729</xdr:rowOff>
    </xdr:to>
    <xdr:pic macro="[0]!RemoveWildAnimal">
      <xdr:nvPicPr>
        <xdr:cNvPr id="50" name="Picture 49">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2">
          <a:duotone>
            <a:schemeClr val="accent5">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3456183" y="7534275"/>
          <a:ext cx="279581" cy="182954"/>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9</xdr:col>
      <xdr:colOff>27333</xdr:colOff>
      <xdr:row>70</xdr:row>
      <xdr:rowOff>143293</xdr:rowOff>
    </xdr:from>
    <xdr:to>
      <xdr:col>11</xdr:col>
      <xdr:colOff>445176</xdr:colOff>
      <xdr:row>72</xdr:row>
      <xdr:rowOff>149092</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261942" y="11225423"/>
              <a:ext cx="1776191" cy="386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𝑖</m:t>
                            </m: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𝑆𝑒𝑟𝑣𝑖𝑐𝑒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𝐿𝑖𝑓𝑒</m:t>
                                    </m:r>
                                  </m:e>
                                </m:d>
                              </m:e>
                              <m:sub>
                                <m:r>
                                  <a:rPr lang="en-US" sz="1050" b="0" i="1">
                                    <a:solidFill>
                                      <a:schemeClr val="bg1">
                                        <a:lumMod val="50000"/>
                                      </a:schemeClr>
                                    </a:solidFill>
                                    <a:latin typeface="Cambria Math" panose="02040503050406030204" pitchFamily="18" charset="0"/>
                                  </a:rPr>
                                  <m:t>𝑖</m:t>
                                </m:r>
                              </m:sub>
                            </m:sSub>
                          </m:e>
                        </m:nary>
                        <m:r>
                          <a:rPr lang="en-US" sz="1050" b="0" i="1">
                            <a:solidFill>
                              <a:schemeClr val="bg1">
                                <a:lumMod val="50000"/>
                              </a:schemeClr>
                            </a:solidFill>
                            <a:latin typeface="Cambria Math" panose="02040503050406030204" pitchFamily="18" charset="0"/>
                            <a:ea typeface="Cambria Math" panose="02040503050406030204" pitchFamily="18" charset="0"/>
                          </a:rPr>
                          <m:t>×</m:t>
                        </m:r>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r>
                                  <a:rPr lang="en-US" sz="1050" b="0" i="1">
                                    <a:solidFill>
                                      <a:schemeClr val="bg1">
                                        <a:lumMod val="50000"/>
                                      </a:schemeClr>
                                    </a:solidFill>
                                    <a:latin typeface="Cambria Math" panose="02040503050406030204" pitchFamily="18" charset="0"/>
                                    <a:ea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ea typeface="Cambria Math" panose="02040503050406030204" pitchFamily="18" charset="0"/>
                              </a:rPr>
                              <m:t>𝑖</m:t>
                            </m:r>
                          </m:sub>
                        </m:sSub>
                      </m:num>
                      <m:den>
                        <m:nary>
                          <m:naryPr>
                            <m:chr m:val="∑"/>
                            <m:subHide m:val="on"/>
                            <m:supHide m:val="on"/>
                            <m:ctrlPr>
                              <a:rPr lang="en-US" sz="1050" b="0" i="1">
                                <a:solidFill>
                                  <a:schemeClr val="bg1">
                                    <a:lumMod val="50000"/>
                                  </a:schemeClr>
                                </a:solidFill>
                                <a:latin typeface="Cambria Math" panose="02040503050406030204" pitchFamily="18" charset="0"/>
                              </a:rPr>
                            </m:ctrlPr>
                          </m:naryP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rPr>
                                  <m:t>𝑇𝑜𝑡𝑎𝑙</m:t>
                                </m:r>
                              </m:sub>
                            </m:sSub>
                          </m:e>
                        </m:nary>
                      </m:den>
                    </m:f>
                  </m:oMath>
                </m:oMathPara>
              </a14:m>
              <a:endParaRPr lang="en-US" sz="1050">
                <a:solidFill>
                  <a:schemeClr val="bg1">
                    <a:lumMod val="50000"/>
                  </a:schemeClr>
                </a:solidFill>
              </a:endParaRPr>
            </a:p>
          </xdr:txBody>
        </xdr:sp>
      </mc:Choice>
      <mc:Fallback xmlns="">
        <xdr:sp macro="" textlink="">
          <xdr:nvSpPr>
            <xdr:cNvPr id="2" name="TextBox 1">
              <a:extLst>
                <a:ext uri="{FF2B5EF4-FFF2-40B4-BE49-F238E27FC236}">
                  <a16:creationId xmlns:a16="http://schemas.microsoft.com/office/drawing/2014/main" id="{E7BF0E0F-2017-40A8-82BB-D346F246C517}"/>
                </a:ext>
              </a:extLst>
            </xdr:cNvPr>
            <xdr:cNvSpPr txBox="1"/>
          </xdr:nvSpPr>
          <xdr:spPr>
            <a:xfrm>
              <a:off x="5261942" y="11225423"/>
              <a:ext cx="1776191" cy="3867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=(∑10_𝑖▒(𝑆𝑒𝑟𝑣𝑖𝑐𝑒 𝐿𝑖𝑓𝑒)_𝑖 </a:t>
              </a:r>
              <a:r>
                <a:rPr lang="en-US" sz="1050" b="0" i="0">
                  <a:solidFill>
                    <a:schemeClr val="bg1">
                      <a:lumMod val="50000"/>
                    </a:schemeClr>
                  </a:solidFill>
                  <a:latin typeface="Cambria Math" panose="02040503050406030204" pitchFamily="18" charset="0"/>
                  <a:ea typeface="Cambria Math" panose="02040503050406030204" pitchFamily="18" charset="0"/>
                </a:rPr>
                <a:t>×(𝐶𝑜𝑠𝑡)_𝑖)/(∑▒(</a:t>
              </a:r>
              <a:r>
                <a:rPr lang="en-US" sz="1050" b="0" i="0">
                  <a:solidFill>
                    <a:schemeClr val="bg1">
                      <a:lumMod val="50000"/>
                    </a:schemeClr>
                  </a:solidFill>
                  <a:latin typeface="Cambria Math" panose="02040503050406030204" pitchFamily="18" charset="0"/>
                </a:rPr>
                <a:t>𝐶𝑜𝑠𝑡)_𝑇𝑜𝑡𝑎𝑙 )</a:t>
              </a:r>
              <a:endParaRPr lang="en-US" sz="1050">
                <a:solidFill>
                  <a:schemeClr val="bg1">
                    <a:lumMod val="50000"/>
                  </a:schemeClr>
                </a:solidFill>
              </a:endParaRPr>
            </a:p>
          </xdr:txBody>
        </xdr:sp>
      </mc:Fallback>
    </mc:AlternateContent>
    <xdr:clientData/>
  </xdr:twoCellAnchor>
  <xdr:twoCellAnchor>
    <xdr:from>
      <xdr:col>9</xdr:col>
      <xdr:colOff>2484</xdr:colOff>
      <xdr:row>114</xdr:row>
      <xdr:rowOff>43897</xdr:rowOff>
    </xdr:from>
    <xdr:to>
      <xdr:col>11</xdr:col>
      <xdr:colOff>420327</xdr:colOff>
      <xdr:row>116</xdr:row>
      <xdr:rowOff>147845</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5237093" y="17926049"/>
              <a:ext cx="1776191" cy="368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𝑖</m:t>
                            </m: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𝑆𝑒𝑟𝑣𝑖𝑐𝑒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𝐿𝑖𝑓𝑒</m:t>
                                    </m:r>
                                  </m:e>
                                </m:d>
                              </m:e>
                              <m:sub>
                                <m:r>
                                  <a:rPr lang="en-US" sz="1050" b="0" i="1">
                                    <a:solidFill>
                                      <a:schemeClr val="bg1">
                                        <a:lumMod val="50000"/>
                                      </a:schemeClr>
                                    </a:solidFill>
                                    <a:latin typeface="Cambria Math" panose="02040503050406030204" pitchFamily="18" charset="0"/>
                                  </a:rPr>
                                  <m:t>𝑖</m:t>
                                </m:r>
                              </m:sub>
                            </m:sSub>
                          </m:e>
                        </m:nary>
                        <m:r>
                          <a:rPr lang="en-US" sz="1050" b="0" i="1">
                            <a:solidFill>
                              <a:schemeClr val="bg1">
                                <a:lumMod val="50000"/>
                              </a:schemeClr>
                            </a:solidFill>
                            <a:latin typeface="Cambria Math" panose="02040503050406030204" pitchFamily="18" charset="0"/>
                            <a:ea typeface="Cambria Math" panose="02040503050406030204" pitchFamily="18" charset="0"/>
                          </a:rPr>
                          <m:t>×</m:t>
                        </m:r>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r>
                                  <a:rPr lang="en-US" sz="1050" b="0" i="1">
                                    <a:solidFill>
                                      <a:schemeClr val="bg1">
                                        <a:lumMod val="50000"/>
                                      </a:schemeClr>
                                    </a:solidFill>
                                    <a:latin typeface="Cambria Math" panose="02040503050406030204" pitchFamily="18" charset="0"/>
                                    <a:ea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ea typeface="Cambria Math" panose="02040503050406030204" pitchFamily="18" charset="0"/>
                              </a:rPr>
                              <m:t>𝑖</m:t>
                            </m:r>
                          </m:sub>
                        </m:sSub>
                      </m:num>
                      <m:den>
                        <m:nary>
                          <m:naryPr>
                            <m:chr m:val="∑"/>
                            <m:subHide m:val="on"/>
                            <m:supHide m:val="on"/>
                            <m:ctrlPr>
                              <a:rPr lang="en-US" sz="1050" b="0" i="1">
                                <a:solidFill>
                                  <a:schemeClr val="bg1">
                                    <a:lumMod val="50000"/>
                                  </a:schemeClr>
                                </a:solidFill>
                                <a:latin typeface="Cambria Math" panose="02040503050406030204" pitchFamily="18" charset="0"/>
                              </a:rPr>
                            </m:ctrlPr>
                          </m:naryP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rPr>
                                  <m:t>𝑇𝑜𝑡𝑎𝑙</m:t>
                                </m:r>
                              </m:sub>
                            </m:sSub>
                          </m:e>
                        </m:nary>
                      </m:den>
                    </m:f>
                  </m:oMath>
                </m:oMathPara>
              </a14:m>
              <a:endParaRPr lang="en-US" sz="1050">
                <a:solidFill>
                  <a:schemeClr val="bg1">
                    <a:lumMod val="50000"/>
                  </a:schemeClr>
                </a:solidFill>
              </a:endParaRPr>
            </a:p>
          </xdr:txBody>
        </xdr:sp>
      </mc:Choice>
      <mc:Fallback xmlns="">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5237093" y="17926049"/>
              <a:ext cx="1776191" cy="3689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=(∑2_𝑖▒(𝑆𝑒𝑟𝑣𝑖𝑐𝑒 𝐿𝑖𝑓𝑒)_𝑖 </a:t>
              </a:r>
              <a:r>
                <a:rPr lang="en-US" sz="1050" b="0" i="0">
                  <a:solidFill>
                    <a:schemeClr val="bg1">
                      <a:lumMod val="50000"/>
                    </a:schemeClr>
                  </a:solidFill>
                  <a:latin typeface="Cambria Math" panose="02040503050406030204" pitchFamily="18" charset="0"/>
                  <a:ea typeface="Cambria Math" panose="02040503050406030204" pitchFamily="18" charset="0"/>
                </a:rPr>
                <a:t>×(𝐶𝑜𝑠𝑡)_𝑖)/(∑▒(</a:t>
              </a:r>
              <a:r>
                <a:rPr lang="en-US" sz="1050" b="0" i="0">
                  <a:solidFill>
                    <a:schemeClr val="bg1">
                      <a:lumMod val="50000"/>
                    </a:schemeClr>
                  </a:solidFill>
                  <a:latin typeface="Cambria Math" panose="02040503050406030204" pitchFamily="18" charset="0"/>
                </a:rPr>
                <a:t>𝐶𝑜𝑠𝑡)_𝑇𝑜𝑡𝑎𝑙 )</a:t>
              </a:r>
              <a:endParaRPr lang="en-US" sz="1050">
                <a:solidFill>
                  <a:schemeClr val="bg1">
                    <a:lumMod val="50000"/>
                  </a:schemeClr>
                </a:solidFill>
              </a:endParaRPr>
            </a:p>
          </xdr:txBody>
        </xdr:sp>
      </mc:Fallback>
    </mc:AlternateContent>
    <xdr:clientData/>
  </xdr:twoCellAnchor>
  <xdr:twoCellAnchor>
    <xdr:from>
      <xdr:col>9</xdr:col>
      <xdr:colOff>30645</xdr:colOff>
      <xdr:row>74</xdr:row>
      <xdr:rowOff>74545</xdr:rowOff>
    </xdr:from>
    <xdr:to>
      <xdr:col>11</xdr:col>
      <xdr:colOff>448488</xdr:colOff>
      <xdr:row>76</xdr:row>
      <xdr:rowOff>119275</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5265254" y="11918675"/>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r>
                          <a:rPr lang="en-US" sz="1050" b="0" i="1">
                            <a:solidFill>
                              <a:schemeClr val="bg1">
                                <a:lumMod val="50000"/>
                              </a:schemeClr>
                            </a:solidFill>
                            <a:latin typeface="Cambria Math" panose="02040503050406030204" pitchFamily="18" charset="0"/>
                          </a:rPr>
                          <m:t>𝑖</m:t>
                        </m:r>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𝐿</m:t>
                            </m:r>
                          </m:sup>
                        </m:sSup>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𝐿</m:t>
                            </m:r>
                          </m:sup>
                        </m:sSup>
                        <m:r>
                          <a:rPr lang="en-US" sz="1050" b="0" i="1">
                            <a:solidFill>
                              <a:schemeClr val="bg1">
                                <a:lumMod val="50000"/>
                              </a:schemeClr>
                            </a:solidFill>
                            <a:latin typeface="Cambria Math" panose="02040503050406030204" pitchFamily="18" charset="0"/>
                          </a:rPr>
                          <m:t>−1</m:t>
                        </m:r>
                      </m:den>
                    </m:f>
                  </m:oMath>
                </m:oMathPara>
              </a14:m>
              <a:endParaRPr lang="en-US" sz="1050">
                <a:solidFill>
                  <a:schemeClr val="bg1">
                    <a:lumMod val="50000"/>
                  </a:schemeClr>
                </a:solidFill>
              </a:endParaRPr>
            </a:p>
          </xdr:txBody>
        </xdr:sp>
      </mc:Choice>
      <mc:Fallback xmlns="">
        <xdr:sp macro="" textlink="">
          <xdr:nvSpPr>
            <xdr:cNvPr id="61" name="TextBox 60">
              <a:extLst>
                <a:ext uri="{FF2B5EF4-FFF2-40B4-BE49-F238E27FC236}">
                  <a16:creationId xmlns:a16="http://schemas.microsoft.com/office/drawing/2014/main" id="{F425A0B4-6C91-4CDA-A2B9-70CAA7DBDB03}"/>
                </a:ext>
              </a:extLst>
            </xdr:cNvPr>
            <xdr:cNvSpPr txBox="1"/>
          </xdr:nvSpPr>
          <xdr:spPr>
            <a:xfrm>
              <a:off x="5265254" y="11918675"/>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=(𝑖(1+𝑖)^𝐿)/((1+𝑖)^𝐿−1)</a:t>
              </a:r>
              <a:endParaRPr lang="en-US" sz="1050">
                <a:solidFill>
                  <a:schemeClr val="bg1">
                    <a:lumMod val="50000"/>
                  </a:schemeClr>
                </a:solidFill>
              </a:endParaRPr>
            </a:p>
          </xdr:txBody>
        </xdr:sp>
      </mc:Fallback>
    </mc:AlternateContent>
    <xdr:clientData/>
  </xdr:twoCellAnchor>
  <xdr:twoCellAnchor>
    <xdr:from>
      <xdr:col>9</xdr:col>
      <xdr:colOff>30645</xdr:colOff>
      <xdr:row>76</xdr:row>
      <xdr:rowOff>115958</xdr:rowOff>
    </xdr:from>
    <xdr:to>
      <xdr:col>11</xdr:col>
      <xdr:colOff>448488</xdr:colOff>
      <xdr:row>78</xdr:row>
      <xdr:rowOff>160688</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5265254" y="12365936"/>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𝐹𝑎𝑡𝑎𝑙</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r>
                              <a:rPr lang="en-US" sz="1050" b="0" i="1">
                                <a:solidFill>
                                  <a:schemeClr val="bg1">
                                    <a:lumMod val="50000"/>
                                  </a:schemeClr>
                                </a:solidFill>
                                <a:latin typeface="Cambria Math" panose="02040503050406030204" pitchFamily="18" charset="0"/>
                              </a:rPr>
                              <m:t>𝐿</m:t>
                            </m:r>
                            <m:r>
                              <a:rPr lang="en-US" sz="1050" b="0" i="1">
                                <a:solidFill>
                                  <a:schemeClr val="bg1">
                                    <a:lumMod val="50000"/>
                                  </a:schemeClr>
                                </a:solidFill>
                                <a:latin typeface="Cambria Math" panose="02040503050406030204" pitchFamily="18" charset="0"/>
                              </a:rPr>
                              <m:t>/2</m:t>
                            </m:r>
                          </m:sup>
                        </m:sSup>
                      </m:num>
                      <m:den>
                        <m:r>
                          <a:rPr lang="en-US" sz="1050" b="0" i="1">
                            <a:solidFill>
                              <a:schemeClr val="bg1">
                                <a:lumMod val="50000"/>
                              </a:schemeClr>
                            </a:solidFill>
                            <a:latin typeface="Cambria Math" panose="02040503050406030204" pitchFamily="18" charset="0"/>
                          </a:rPr>
                          <m:t>𝑁</m:t>
                        </m:r>
                      </m:den>
                    </m:f>
                  </m:oMath>
                </m:oMathPara>
              </a14:m>
              <a:endParaRPr lang="en-US" sz="1050">
                <a:solidFill>
                  <a:schemeClr val="bg1">
                    <a:lumMod val="50000"/>
                  </a:schemeClr>
                </a:solidFill>
              </a:endParaRPr>
            </a:p>
          </xdr:txBody>
        </xdr:sp>
      </mc:Choice>
      <mc:Fallback xmlns="">
        <xdr:sp macro="" textlink="">
          <xdr:nvSpPr>
            <xdr:cNvPr id="63" name="TextBox 62">
              <a:extLst>
                <a:ext uri="{FF2B5EF4-FFF2-40B4-BE49-F238E27FC236}">
                  <a16:creationId xmlns:a16="http://schemas.microsoft.com/office/drawing/2014/main" id="{23D9A55B-36EE-45A7-B54E-E4A98DE7A8D0}"/>
                </a:ext>
              </a:extLst>
            </xdr:cNvPr>
            <xdr:cNvSpPr txBox="1"/>
          </xdr:nvSpPr>
          <xdr:spPr>
            <a:xfrm>
              <a:off x="5265254" y="12365936"/>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=((𝐹𝑎𝑡𝑎𝑙) (1+𝑎)^(𝐿/2))/𝑁</a:t>
              </a:r>
              <a:endParaRPr lang="en-US" sz="1050">
                <a:solidFill>
                  <a:schemeClr val="bg1">
                    <a:lumMod val="50000"/>
                  </a:schemeClr>
                </a:solidFill>
              </a:endParaRPr>
            </a:p>
          </xdr:txBody>
        </xdr:sp>
      </mc:Fallback>
    </mc:AlternateContent>
    <xdr:clientData/>
  </xdr:twoCellAnchor>
  <xdr:twoCellAnchor>
    <xdr:from>
      <xdr:col>9</xdr:col>
      <xdr:colOff>33957</xdr:colOff>
      <xdr:row>78</xdr:row>
      <xdr:rowOff>127553</xdr:rowOff>
    </xdr:from>
    <xdr:to>
      <xdr:col>11</xdr:col>
      <xdr:colOff>451800</xdr:colOff>
      <xdr:row>80</xdr:row>
      <xdr:rowOff>172283</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5268566" y="12758531"/>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𝐼𝑛𝑗𝑢𝑟𝑦</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r>
                              <a:rPr lang="en-US" sz="1050" b="0" i="1">
                                <a:solidFill>
                                  <a:schemeClr val="bg1">
                                    <a:lumMod val="50000"/>
                                  </a:schemeClr>
                                </a:solidFill>
                                <a:latin typeface="Cambria Math" panose="02040503050406030204" pitchFamily="18" charset="0"/>
                              </a:rPr>
                              <m:t>𝐿</m:t>
                            </m:r>
                            <m:r>
                              <a:rPr lang="en-US" sz="1050" b="0" i="1">
                                <a:solidFill>
                                  <a:schemeClr val="bg1">
                                    <a:lumMod val="50000"/>
                                  </a:schemeClr>
                                </a:solidFill>
                                <a:latin typeface="Cambria Math" panose="02040503050406030204" pitchFamily="18" charset="0"/>
                              </a:rPr>
                              <m:t>/2</m:t>
                            </m:r>
                          </m:sup>
                        </m:sSup>
                      </m:num>
                      <m:den>
                        <m:r>
                          <a:rPr lang="en-US" sz="1050" b="0" i="1">
                            <a:solidFill>
                              <a:schemeClr val="bg1">
                                <a:lumMod val="50000"/>
                              </a:schemeClr>
                            </a:solidFill>
                            <a:latin typeface="Cambria Math" panose="02040503050406030204" pitchFamily="18" charset="0"/>
                          </a:rPr>
                          <m:t>𝑁</m:t>
                        </m:r>
                      </m:den>
                    </m:f>
                  </m:oMath>
                </m:oMathPara>
              </a14:m>
              <a:endParaRPr lang="en-US" sz="1050">
                <a:solidFill>
                  <a:schemeClr val="bg1">
                    <a:lumMod val="50000"/>
                  </a:schemeClr>
                </a:solidFill>
              </a:endParaRPr>
            </a:p>
          </xdr:txBody>
        </xdr:sp>
      </mc:Choice>
      <mc:Fallback xmlns="">
        <xdr:sp macro="" textlink="">
          <xdr:nvSpPr>
            <xdr:cNvPr id="59" name="TextBox 58">
              <a:extLst>
                <a:ext uri="{FF2B5EF4-FFF2-40B4-BE49-F238E27FC236}">
                  <a16:creationId xmlns:a16="http://schemas.microsoft.com/office/drawing/2014/main" id="{3F270D0A-F888-424F-99AB-85C8BB6FA72E}"/>
                </a:ext>
              </a:extLst>
            </xdr:cNvPr>
            <xdr:cNvSpPr txBox="1"/>
          </xdr:nvSpPr>
          <xdr:spPr>
            <a:xfrm>
              <a:off x="5268566" y="12758531"/>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=((𝐼𝑛𝑗𝑢𝑟𝑦) (1+𝑎)^(𝐿/2))/𝑁</a:t>
              </a:r>
              <a:endParaRPr lang="en-US" sz="1050">
                <a:solidFill>
                  <a:schemeClr val="bg1">
                    <a:lumMod val="50000"/>
                  </a:schemeClr>
                </a:solidFill>
              </a:endParaRPr>
            </a:p>
          </xdr:txBody>
        </xdr:sp>
      </mc:Fallback>
    </mc:AlternateContent>
    <xdr:clientData/>
  </xdr:twoCellAnchor>
  <xdr:twoCellAnchor>
    <xdr:from>
      <xdr:col>9</xdr:col>
      <xdr:colOff>37270</xdr:colOff>
      <xdr:row>80</xdr:row>
      <xdr:rowOff>130866</xdr:rowOff>
    </xdr:from>
    <xdr:to>
      <xdr:col>11</xdr:col>
      <xdr:colOff>455113</xdr:colOff>
      <xdr:row>82</xdr:row>
      <xdr:rowOff>175596</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5271879" y="13142844"/>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𝑃𝐷𝑂</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r>
                              <a:rPr lang="en-US" sz="1050" b="0" i="1">
                                <a:solidFill>
                                  <a:schemeClr val="bg1">
                                    <a:lumMod val="50000"/>
                                  </a:schemeClr>
                                </a:solidFill>
                                <a:latin typeface="Cambria Math" panose="02040503050406030204" pitchFamily="18" charset="0"/>
                              </a:rPr>
                              <m:t>𝐿</m:t>
                            </m:r>
                            <m:r>
                              <a:rPr lang="en-US" sz="1050" b="0" i="1">
                                <a:solidFill>
                                  <a:schemeClr val="bg1">
                                    <a:lumMod val="50000"/>
                                  </a:schemeClr>
                                </a:solidFill>
                                <a:latin typeface="Cambria Math" panose="02040503050406030204" pitchFamily="18" charset="0"/>
                              </a:rPr>
                              <m:t>/2</m:t>
                            </m:r>
                          </m:sup>
                        </m:sSup>
                      </m:num>
                      <m:den>
                        <m:r>
                          <a:rPr lang="en-US" sz="1050" b="0" i="1">
                            <a:solidFill>
                              <a:schemeClr val="bg1">
                                <a:lumMod val="50000"/>
                              </a:schemeClr>
                            </a:solidFill>
                            <a:latin typeface="Cambria Math" panose="02040503050406030204" pitchFamily="18" charset="0"/>
                          </a:rPr>
                          <m:t>𝑁</m:t>
                        </m:r>
                      </m:den>
                    </m:f>
                  </m:oMath>
                </m:oMathPara>
              </a14:m>
              <a:endParaRPr lang="en-US" sz="1050">
                <a:solidFill>
                  <a:schemeClr val="bg1">
                    <a:lumMod val="50000"/>
                  </a:schemeClr>
                </a:solidFill>
              </a:endParaRPr>
            </a:p>
          </xdr:txBody>
        </xdr:sp>
      </mc:Choice>
      <mc:Fallback xmlns="">
        <xdr:sp macro="" textlink="">
          <xdr:nvSpPr>
            <xdr:cNvPr id="64" name="TextBox 63">
              <a:extLst>
                <a:ext uri="{FF2B5EF4-FFF2-40B4-BE49-F238E27FC236}">
                  <a16:creationId xmlns:a16="http://schemas.microsoft.com/office/drawing/2014/main" id="{DD12569C-6D1B-467C-B841-425195E4B3E2}"/>
                </a:ext>
              </a:extLst>
            </xdr:cNvPr>
            <xdr:cNvSpPr txBox="1"/>
          </xdr:nvSpPr>
          <xdr:spPr>
            <a:xfrm>
              <a:off x="5271879" y="13142844"/>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=((𝑃𝐷𝑂) (1+𝑎)^(𝐿/2))/𝑁</a:t>
              </a:r>
              <a:endParaRPr lang="en-US" sz="1050">
                <a:solidFill>
                  <a:schemeClr val="bg1">
                    <a:lumMod val="50000"/>
                  </a:schemeClr>
                </a:solidFill>
              </a:endParaRPr>
            </a:p>
          </xdr:txBody>
        </xdr:sp>
      </mc:Fallback>
    </mc:AlternateContent>
    <xdr:clientData/>
  </xdr:twoCellAnchor>
  <xdr:twoCellAnchor>
    <xdr:from>
      <xdr:col>9</xdr:col>
      <xdr:colOff>32300</xdr:colOff>
      <xdr:row>82</xdr:row>
      <xdr:rowOff>134179</xdr:rowOff>
    </xdr:from>
    <xdr:to>
      <xdr:col>11</xdr:col>
      <xdr:colOff>450143</xdr:colOff>
      <xdr:row>84</xdr:row>
      <xdr:rowOff>178909</xdr:rowOff>
    </xdr:to>
    <mc:AlternateContent xmlns:mc="http://schemas.openxmlformats.org/markup-compatibility/2006" xmlns:a14="http://schemas.microsoft.com/office/drawing/2010/main">
      <mc:Choice Requires="a14">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5266909" y="13527157"/>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subHide m:val="on"/>
                        <m:supHide m:val="on"/>
                        <m:ctrlPr>
                          <a:rPr lang="en-US" sz="1050" b="0" i="1">
                            <a:solidFill>
                              <a:schemeClr val="bg1">
                                <a:lumMod val="50000"/>
                              </a:schemeClr>
                            </a:solidFill>
                            <a:latin typeface="Cambria Math" panose="02040503050406030204" pitchFamily="18" charset="0"/>
                          </a:rPr>
                        </m:ctrlPr>
                      </m:naryPr>
                      <m:sub/>
                      <m:sup/>
                      <m:e>
                        <m:f>
                          <m:fPr>
                            <m:ctrlPr>
                              <a:rPr lang="en-US" sz="1050" b="0" i="1">
                                <a:solidFill>
                                  <a:schemeClr val="bg1">
                                    <a:lumMod val="50000"/>
                                  </a:schemeClr>
                                </a:solidFill>
                                <a:latin typeface="Cambria Math" panose="02040503050406030204" pitchFamily="18" charset="0"/>
                              </a:rPr>
                            </m:ctrlPr>
                          </m:fPr>
                          <m:num>
                            <m:r>
                              <a:rPr lang="en-US" sz="1050" b="0" i="1">
                                <a:solidFill>
                                  <a:schemeClr val="bg1">
                                    <a:lumMod val="50000"/>
                                  </a:schemeClr>
                                </a:solidFill>
                                <a:latin typeface="Cambria Math" panose="02040503050406030204" pitchFamily="18" charset="0"/>
                              </a:rPr>
                              <m:t>𝑀𝑎𝑖𝑛𝑡𝑒𝑛𝑎𝑛𝑐𝑒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𝐶𝑜𝑠𝑡</m:t>
                            </m:r>
                          </m:num>
                          <m:den>
                            <m:r>
                              <a:rPr lang="en-US" sz="1050" b="0" i="1">
                                <a:solidFill>
                                  <a:schemeClr val="bg1">
                                    <a:lumMod val="50000"/>
                                  </a:schemeClr>
                                </a:solidFill>
                                <a:latin typeface="Cambria Math" panose="02040503050406030204" pitchFamily="18" charset="0"/>
                              </a:rPr>
                              <m:t>𝑆𝑒𝑟𝑣𝑖𝑐𝑒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𝐿𝐼𝑓𝑒</m:t>
                            </m:r>
                          </m:den>
                        </m:f>
                      </m:e>
                    </m:nary>
                  </m:oMath>
                </m:oMathPara>
              </a14:m>
              <a:endParaRPr lang="en-US" sz="1050">
                <a:solidFill>
                  <a:schemeClr val="bg1">
                    <a:lumMod val="50000"/>
                  </a:schemeClr>
                </a:solidFill>
              </a:endParaRPr>
            </a:p>
          </xdr:txBody>
        </xdr:sp>
      </mc:Choice>
      <mc:Fallback xmlns="">
        <xdr:sp macro="" textlink="">
          <xdr:nvSpPr>
            <xdr:cNvPr id="66" name="TextBox 65">
              <a:extLst>
                <a:ext uri="{FF2B5EF4-FFF2-40B4-BE49-F238E27FC236}">
                  <a16:creationId xmlns:a16="http://schemas.microsoft.com/office/drawing/2014/main" id="{C56B0FDC-F487-4666-AD2D-890697BDB4AB}"/>
                </a:ext>
              </a:extLst>
            </xdr:cNvPr>
            <xdr:cNvSpPr txBox="1"/>
          </xdr:nvSpPr>
          <xdr:spPr>
            <a:xfrm>
              <a:off x="5266909" y="13527157"/>
              <a:ext cx="1776191"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=∑▒(𝑀𝑎𝑖𝑛𝑡𝑒𝑛𝑎𝑛𝑐𝑒 𝐶𝑜𝑠𝑡)/(𝑆𝑒𝑟𝑣𝑖𝑐𝑒 𝐿𝐼𝑓𝑒)</a:t>
              </a:r>
              <a:endParaRPr lang="en-US" sz="1050">
                <a:solidFill>
                  <a:schemeClr val="bg1">
                    <a:lumMod val="50000"/>
                  </a:schemeClr>
                </a:solidFill>
              </a:endParaRPr>
            </a:p>
          </xdr:txBody>
        </xdr:sp>
      </mc:Fallback>
    </mc:AlternateContent>
    <xdr:clientData/>
  </xdr:twoCellAnchor>
  <xdr:twoCellAnchor>
    <xdr:from>
      <xdr:col>9</xdr:col>
      <xdr:colOff>24017</xdr:colOff>
      <xdr:row>84</xdr:row>
      <xdr:rowOff>134179</xdr:rowOff>
    </xdr:from>
    <xdr:to>
      <xdr:col>16</xdr:col>
      <xdr:colOff>33130</xdr:colOff>
      <xdr:row>86</xdr:row>
      <xdr:rowOff>178909</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5258626" y="13908157"/>
              <a:ext cx="5268569"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m:t>
                            </m:r>
                            <m:r>
                              <a:rPr lang="en-US" sz="1050" b="0" i="1">
                                <a:solidFill>
                                  <a:schemeClr val="bg1">
                                    <a:lumMod val="50000"/>
                                  </a:schemeClr>
                                </a:solidFill>
                                <a:latin typeface="Cambria Math" panose="02040503050406030204" pitchFamily="18" charset="0"/>
                              </a:rPr>
                              <m:t>𝑃𝐷𝑂</m:t>
                            </m:r>
                          </m:e>
                        </m:d>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𝑃</m:t>
                            </m:r>
                          </m:e>
                        </m:d>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𝑃𝐷𝑂</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𝐶𝑅𝐹</m:t>
                            </m:r>
                          </m:e>
                        </m:d>
                        <m:r>
                          <a:rPr lang="en-US" sz="1050" b="0" i="1">
                            <a:solidFill>
                              <a:schemeClr val="bg1">
                                <a:lumMod val="50000"/>
                              </a:schemeClr>
                            </a:solidFill>
                            <a:latin typeface="Cambria Math" panose="02040503050406030204" pitchFamily="18" charset="0"/>
                          </a:rPr>
                          <m:t>+</m:t>
                        </m:r>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m:t>
                            </m:r>
                            <m:r>
                              <a:rPr lang="en-US" sz="1100" b="0" i="1">
                                <a:solidFill>
                                  <a:schemeClr val="bg1">
                                    <a:lumMod val="50000"/>
                                  </a:schemeClr>
                                </a:solidFill>
                                <a:effectLst/>
                                <a:latin typeface="Cambria Math" panose="02040503050406030204" pitchFamily="18" charset="0"/>
                                <a:ea typeface="+mn-ea"/>
                                <a:cs typeface="+mn-cs"/>
                              </a:rPr>
                              <m:t>𝐼𝑛𝑗𝑢𝑟𝑦</m:t>
                            </m:r>
                          </m:e>
                        </m:d>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𝐼</m:t>
                            </m:r>
                          </m:e>
                        </m:d>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𝐼𝑛𝑗𝑢𝑟𝑦</m:t>
                            </m:r>
                            <m:r>
                              <a:rPr lang="en-US" sz="1100" b="0" i="1">
                                <a:solidFill>
                                  <a:schemeClr val="bg1">
                                    <a:lumMod val="50000"/>
                                  </a:schemeClr>
                                </a:solidFill>
                                <a:effectLst/>
                                <a:latin typeface="Cambria Math" panose="02040503050406030204" pitchFamily="18" charset="0"/>
                                <a:ea typeface="+mn-ea"/>
                                <a:cs typeface="+mn-cs"/>
                              </a:rPr>
                              <m:t> </m:t>
                            </m:r>
                            <m:r>
                              <a:rPr lang="en-US" sz="1100" b="0" i="1">
                                <a:solidFill>
                                  <a:schemeClr val="bg1">
                                    <a:lumMod val="50000"/>
                                  </a:schemeClr>
                                </a:solidFill>
                                <a:effectLst/>
                                <a:latin typeface="Cambria Math" panose="02040503050406030204" pitchFamily="18" charset="0"/>
                                <a:ea typeface="+mn-ea"/>
                                <a:cs typeface="+mn-cs"/>
                              </a:rPr>
                              <m:t>𝐶𝑅𝐹</m:t>
                            </m:r>
                          </m:e>
                        </m:d>
                        <m:r>
                          <a:rPr lang="en-US" sz="1100" b="0" i="1">
                            <a:solidFill>
                              <a:schemeClr val="bg1">
                                <a:lumMod val="50000"/>
                              </a:schemeClr>
                            </a:solidFill>
                            <a:effectLst/>
                            <a:latin typeface="Cambria Math" panose="02040503050406030204" pitchFamily="18" charset="0"/>
                            <a:ea typeface="+mn-ea"/>
                            <a:cs typeface="+mn-cs"/>
                          </a:rPr>
                          <m:t>+</m:t>
                        </m:r>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m:t>
                            </m:r>
                            <m:r>
                              <a:rPr lang="en-US" sz="1100" b="0" i="1">
                                <a:solidFill>
                                  <a:schemeClr val="bg1">
                                    <a:lumMod val="50000"/>
                                  </a:schemeClr>
                                </a:solidFill>
                                <a:effectLst/>
                                <a:latin typeface="Cambria Math" panose="02040503050406030204" pitchFamily="18" charset="0"/>
                                <a:ea typeface="+mn-ea"/>
                                <a:cs typeface="+mn-cs"/>
                              </a:rPr>
                              <m:t>𝐹𝑎𝑡𝑎𝑙</m:t>
                            </m:r>
                          </m:e>
                        </m:d>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𝐹</m:t>
                            </m:r>
                          </m:e>
                        </m:d>
                        <m:d>
                          <m:dPr>
                            <m:ctrlPr>
                              <a:rPr lang="en-US" sz="1100" b="0" i="1">
                                <a:solidFill>
                                  <a:schemeClr val="bg1">
                                    <a:lumMod val="50000"/>
                                  </a:schemeClr>
                                </a:solidFill>
                                <a:effectLst/>
                                <a:latin typeface="Cambria Math" panose="02040503050406030204" pitchFamily="18" charset="0"/>
                                <a:ea typeface="+mn-ea"/>
                                <a:cs typeface="+mn-cs"/>
                              </a:rPr>
                            </m:ctrlPr>
                          </m:dPr>
                          <m:e>
                            <m:r>
                              <a:rPr lang="en-US" sz="1100" b="0" i="1">
                                <a:solidFill>
                                  <a:schemeClr val="bg1">
                                    <a:lumMod val="50000"/>
                                  </a:schemeClr>
                                </a:solidFill>
                                <a:effectLst/>
                                <a:latin typeface="Cambria Math" panose="02040503050406030204" pitchFamily="18" charset="0"/>
                                <a:ea typeface="+mn-ea"/>
                                <a:cs typeface="+mn-cs"/>
                              </a:rPr>
                              <m:t>𝐹𝑎𝑡𝑎𝑙</m:t>
                            </m:r>
                            <m:r>
                              <a:rPr lang="en-US" sz="1100" b="0" i="1">
                                <a:solidFill>
                                  <a:schemeClr val="bg1">
                                    <a:lumMod val="50000"/>
                                  </a:schemeClr>
                                </a:solidFill>
                                <a:effectLst/>
                                <a:latin typeface="Cambria Math" panose="02040503050406030204" pitchFamily="18" charset="0"/>
                                <a:ea typeface="+mn-ea"/>
                                <a:cs typeface="+mn-cs"/>
                              </a:rPr>
                              <m:t> </m:t>
                            </m:r>
                            <m:r>
                              <a:rPr lang="en-US" sz="1100" b="0" i="1">
                                <a:solidFill>
                                  <a:schemeClr val="bg1">
                                    <a:lumMod val="50000"/>
                                  </a:schemeClr>
                                </a:solidFill>
                                <a:effectLst/>
                                <a:latin typeface="Cambria Math" panose="02040503050406030204" pitchFamily="18" charset="0"/>
                                <a:ea typeface="+mn-ea"/>
                                <a:cs typeface="+mn-cs"/>
                              </a:rPr>
                              <m:t>𝐶𝑅𝐹</m:t>
                            </m:r>
                          </m:e>
                        </m:d>
                      </m:num>
                      <m:den>
                        <m:r>
                          <a:rPr lang="en-US" sz="1050" b="0" i="1">
                            <a:solidFill>
                              <a:schemeClr val="bg1">
                                <a:lumMod val="50000"/>
                              </a:schemeClr>
                            </a:solidFill>
                            <a:latin typeface="Cambria Math" panose="02040503050406030204" pitchFamily="18" charset="0"/>
                            <a:ea typeface="Cambria Math" panose="02040503050406030204" pitchFamily="18" charset="0"/>
                          </a:rPr>
                          <m:t>𝛽</m:t>
                        </m:r>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r>
                              <a:rPr lang="en-US" sz="1050" b="0" i="1">
                                <a:solidFill>
                                  <a:schemeClr val="bg1">
                                    <a:lumMod val="50000"/>
                                  </a:schemeClr>
                                </a:solidFill>
                                <a:latin typeface="Cambria Math" panose="02040503050406030204" pitchFamily="18" charset="0"/>
                                <a:ea typeface="Cambria Math" panose="02040503050406030204" pitchFamily="18" charset="0"/>
                              </a:rPr>
                              <m:t>𝐶𝑜𝑠𝑡</m:t>
                            </m:r>
                          </m:e>
                        </m:d>
                        <m:r>
                          <a:rPr lang="en-US" sz="1050" b="0" i="1">
                            <a:solidFill>
                              <a:schemeClr val="bg1">
                                <a:lumMod val="50000"/>
                              </a:schemeClr>
                            </a:solidFill>
                            <a:latin typeface="Cambria Math" panose="02040503050406030204" pitchFamily="18" charset="0"/>
                            <a:ea typeface="Cambria Math" panose="02040503050406030204" pitchFamily="18" charset="0"/>
                          </a:rPr>
                          <m:t>+</m:t>
                        </m:r>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r>
                              <a:rPr lang="en-US" sz="1050" b="0" i="1">
                                <a:solidFill>
                                  <a:schemeClr val="bg1">
                                    <a:lumMod val="50000"/>
                                  </a:schemeClr>
                                </a:solidFill>
                                <a:latin typeface="Cambria Math" panose="02040503050406030204" pitchFamily="18" charset="0"/>
                                <a:ea typeface="Cambria Math" panose="02040503050406030204" pitchFamily="18" charset="0"/>
                              </a:rPr>
                              <m:t>𝐴𝑛𝑛𝑢𝑎𝑙</m:t>
                            </m:r>
                            <m:r>
                              <a:rPr lang="en-US" sz="1050" b="0" i="1">
                                <a:solidFill>
                                  <a:schemeClr val="bg1">
                                    <a:lumMod val="50000"/>
                                  </a:schemeClr>
                                </a:solidFill>
                                <a:latin typeface="Cambria Math" panose="02040503050406030204" pitchFamily="18" charset="0"/>
                                <a:ea typeface="Cambria Math" panose="02040503050406030204" pitchFamily="18" charset="0"/>
                              </a:rPr>
                              <m:t> </m:t>
                            </m:r>
                            <m:r>
                              <a:rPr lang="en-US" sz="1050" b="0" i="1">
                                <a:solidFill>
                                  <a:schemeClr val="bg1">
                                    <a:lumMod val="50000"/>
                                  </a:schemeClr>
                                </a:solidFill>
                                <a:latin typeface="Cambria Math" panose="02040503050406030204" pitchFamily="18" charset="0"/>
                                <a:ea typeface="Cambria Math" panose="02040503050406030204" pitchFamily="18" charset="0"/>
                              </a:rPr>
                              <m:t>𝑀𝑎𝑖𝑛𝑡𝑒𝑛𝑎𝑛𝑐𝑒</m:t>
                            </m:r>
                            <m:r>
                              <a:rPr lang="en-US" sz="1050" b="0" i="1">
                                <a:solidFill>
                                  <a:schemeClr val="bg1">
                                    <a:lumMod val="50000"/>
                                  </a:schemeClr>
                                </a:solidFill>
                                <a:latin typeface="Cambria Math" panose="02040503050406030204" pitchFamily="18" charset="0"/>
                                <a:ea typeface="Cambria Math" panose="02040503050406030204" pitchFamily="18" charset="0"/>
                              </a:rPr>
                              <m:t> </m:t>
                            </m:r>
                            <m:r>
                              <a:rPr lang="en-US" sz="1050" b="0" i="1">
                                <a:solidFill>
                                  <a:schemeClr val="bg1">
                                    <a:lumMod val="50000"/>
                                  </a:schemeClr>
                                </a:solidFill>
                                <a:latin typeface="Cambria Math" panose="02040503050406030204" pitchFamily="18" charset="0"/>
                                <a:ea typeface="Cambria Math" panose="02040503050406030204" pitchFamily="18" charset="0"/>
                              </a:rPr>
                              <m:t>𝐶𝑜𝑠𝑡</m:t>
                            </m:r>
                          </m:e>
                        </m:d>
                      </m:den>
                    </m:f>
                  </m:oMath>
                </m:oMathPara>
              </a14:m>
              <a:endParaRPr lang="en-US" sz="1050">
                <a:solidFill>
                  <a:schemeClr val="bg1">
                    <a:lumMod val="50000"/>
                  </a:schemeClr>
                </a:solidFill>
              </a:endParaRPr>
            </a:p>
          </xdr:txBody>
        </xdr:sp>
      </mc:Choice>
      <mc:Fallback xmlns="">
        <xdr:sp macro="" textlink="">
          <xdr:nvSpPr>
            <xdr:cNvPr id="70" name="TextBox 69">
              <a:extLst>
                <a:ext uri="{FF2B5EF4-FFF2-40B4-BE49-F238E27FC236}">
                  <a16:creationId xmlns:a16="http://schemas.microsoft.com/office/drawing/2014/main" id="{A4C65586-A0FD-4B4E-81F6-4897DBA3CA54}"/>
                </a:ext>
              </a:extLst>
            </xdr:cNvPr>
            <xdr:cNvSpPr txBox="1"/>
          </xdr:nvSpPr>
          <xdr:spPr>
            <a:xfrm>
              <a:off x="5258626" y="13908157"/>
              <a:ext cx="5268569" cy="4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=(($𝑃𝐷𝑂)(𝑃)(𝑃𝐷𝑂 𝐶𝑅𝐹)+</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𝐼𝑛𝑗𝑢𝑟𝑦</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𝐼</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𝐼𝑛𝑗𝑢𝑟𝑦</a:t>
              </a:r>
              <a:r>
                <a:rPr lang="en-US" sz="1100" b="0" i="0">
                  <a:solidFill>
                    <a:schemeClr val="bg1">
                      <a:lumMod val="50000"/>
                    </a:schemeClr>
                  </a:solidFill>
                  <a:effectLst/>
                  <a:latin typeface="+mn-lt"/>
                  <a:ea typeface="+mn-ea"/>
                  <a:cs typeface="+mn-cs"/>
                </a:rPr>
                <a:t> 𝐶𝑅𝐹)</a:t>
              </a:r>
              <a:r>
                <a:rPr lang="en-US" sz="1100" b="0" i="0">
                  <a:solidFill>
                    <a:schemeClr val="bg1">
                      <a:lumMod val="50000"/>
                    </a:schemeClr>
                  </a:solidFill>
                  <a:effectLst/>
                  <a:latin typeface="Cambria Math" panose="02040503050406030204" pitchFamily="18" charset="0"/>
                  <a:ea typeface="+mn-ea"/>
                  <a:cs typeface="+mn-cs"/>
                </a:rPr>
                <a:t>+</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𝐹𝑎𝑡𝑎𝑙</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𝐹</a:t>
              </a:r>
              <a:r>
                <a:rPr lang="en-US" sz="1100" b="0" i="0">
                  <a:solidFill>
                    <a:schemeClr val="bg1">
                      <a:lumMod val="50000"/>
                    </a:schemeClr>
                  </a:solidFill>
                  <a:effectLst/>
                  <a:latin typeface="+mn-lt"/>
                  <a:ea typeface="+mn-ea"/>
                  <a:cs typeface="+mn-cs"/>
                </a:rPr>
                <a:t>)(</a:t>
              </a:r>
              <a:r>
                <a:rPr lang="en-US" sz="1100" b="0" i="0">
                  <a:solidFill>
                    <a:schemeClr val="bg1">
                      <a:lumMod val="50000"/>
                    </a:schemeClr>
                  </a:solidFill>
                  <a:effectLst/>
                  <a:latin typeface="Cambria Math" panose="02040503050406030204" pitchFamily="18" charset="0"/>
                  <a:ea typeface="+mn-ea"/>
                  <a:cs typeface="+mn-cs"/>
                </a:rPr>
                <a:t>𝐹𝑎𝑡𝑎𝑙</a:t>
              </a:r>
              <a:r>
                <a:rPr lang="en-US" sz="1100" b="0" i="0">
                  <a:solidFill>
                    <a:schemeClr val="bg1">
                      <a:lumMod val="50000"/>
                    </a:schemeClr>
                  </a:solidFill>
                  <a:effectLst/>
                  <a:latin typeface="+mn-lt"/>
                  <a:ea typeface="+mn-ea"/>
                  <a:cs typeface="+mn-cs"/>
                </a:rPr>
                <a:t> 𝐶𝑅𝐹)</a:t>
              </a:r>
              <a:r>
                <a:rPr lang="en-US" sz="1050" b="0" i="0">
                  <a:solidFill>
                    <a:schemeClr val="bg1">
                      <a:lumMod val="50000"/>
                    </a:schemeClr>
                  </a:solidFill>
                  <a:effectLst/>
                  <a:latin typeface="Cambria Math" panose="02040503050406030204" pitchFamily="18" charset="0"/>
                  <a:ea typeface="+mn-ea"/>
                  <a:cs typeface="+mn-cs"/>
                </a:rPr>
                <a:t>)/(</a:t>
              </a:r>
              <a:r>
                <a:rPr lang="en-US" sz="1050" b="0" i="0">
                  <a:solidFill>
                    <a:schemeClr val="bg1">
                      <a:lumMod val="50000"/>
                    </a:schemeClr>
                  </a:solidFill>
                  <a:latin typeface="Cambria Math" panose="02040503050406030204" pitchFamily="18" charset="0"/>
                  <a:ea typeface="Cambria Math" panose="02040503050406030204" pitchFamily="18" charset="0"/>
                </a:rPr>
                <a:t>𝛽(𝐶𝑜𝑠𝑡)+(𝐴𝑛𝑛𝑢𝑎𝑙 𝑀𝑎𝑖𝑛𝑡𝑒𝑛𝑎𝑛𝑐𝑒 𝐶𝑜𝑠𝑡) )</a:t>
              </a:r>
              <a:endParaRPr lang="en-US" sz="1050">
                <a:solidFill>
                  <a:schemeClr val="bg1">
                    <a:lumMod val="50000"/>
                  </a:schemeClr>
                </a:solidFill>
              </a:endParaRPr>
            </a:p>
          </xdr:txBody>
        </xdr:sp>
      </mc:Fallback>
    </mc:AlternateContent>
    <xdr:clientData/>
  </xdr:twoCellAnchor>
  <xdr:twoCellAnchor>
    <xdr:from>
      <xdr:col>9</xdr:col>
      <xdr:colOff>33130</xdr:colOff>
      <xdr:row>121</xdr:row>
      <xdr:rowOff>8283</xdr:rowOff>
    </xdr:from>
    <xdr:to>
      <xdr:col>14</xdr:col>
      <xdr:colOff>115957</xdr:colOff>
      <xdr:row>122</xdr:row>
      <xdr:rowOff>66261</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5267739" y="18876066"/>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𝐹𝑎𝑡𝑎𝑙</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78" name="TextBox 77">
              <a:extLst>
                <a:ext uri="{FF2B5EF4-FFF2-40B4-BE49-F238E27FC236}">
                  <a16:creationId xmlns:a16="http://schemas.microsoft.com/office/drawing/2014/main" id="{B58B6EF4-D314-4353-8239-6BB4097EE463}"/>
                </a:ext>
              </a:extLst>
            </xdr:cNvPr>
            <xdr:cNvSpPr txBox="1"/>
          </xdr:nvSpPr>
          <xdr:spPr>
            <a:xfrm>
              <a:off x="5267739" y="18876066"/>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=(𝐹𝑎𝑡𝑎𝑙)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36443</xdr:colOff>
      <xdr:row>123</xdr:row>
      <xdr:rowOff>3314</xdr:rowOff>
    </xdr:from>
    <xdr:to>
      <xdr:col>14</xdr:col>
      <xdr:colOff>119270</xdr:colOff>
      <xdr:row>124</xdr:row>
      <xdr:rowOff>61292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5271052" y="19252097"/>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𝐼𝑛𝑗𝑢𝑟𝑦</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79" name="TextBox 78">
              <a:extLst>
                <a:ext uri="{FF2B5EF4-FFF2-40B4-BE49-F238E27FC236}">
                  <a16:creationId xmlns:a16="http://schemas.microsoft.com/office/drawing/2014/main" id="{2899F3FA-5FFD-41B0-8522-E70818FA4E76}"/>
                </a:ext>
              </a:extLst>
            </xdr:cNvPr>
            <xdr:cNvSpPr txBox="1"/>
          </xdr:nvSpPr>
          <xdr:spPr>
            <a:xfrm>
              <a:off x="5271052" y="19252097"/>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=(𝐼𝑛𝑗𝑢𝑟𝑦)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39756</xdr:colOff>
      <xdr:row>125</xdr:row>
      <xdr:rowOff>6627</xdr:rowOff>
    </xdr:from>
    <xdr:to>
      <xdr:col>14</xdr:col>
      <xdr:colOff>122583</xdr:colOff>
      <xdr:row>126</xdr:row>
      <xdr:rowOff>64605</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5274365" y="19636410"/>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𝑃𝐷𝑂</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80" name="TextBox 79">
              <a:extLst>
                <a:ext uri="{FF2B5EF4-FFF2-40B4-BE49-F238E27FC236}">
                  <a16:creationId xmlns:a16="http://schemas.microsoft.com/office/drawing/2014/main" id="{B79A98D0-C6EC-40A8-99F0-69DFE68DF2B8}"/>
                </a:ext>
              </a:extLst>
            </xdr:cNvPr>
            <xdr:cNvSpPr txBox="1"/>
          </xdr:nvSpPr>
          <xdr:spPr>
            <a:xfrm>
              <a:off x="5274365" y="19636410"/>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=(𝑃𝐷𝑂)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43069</xdr:colOff>
      <xdr:row>127</xdr:row>
      <xdr:rowOff>1657</xdr:rowOff>
    </xdr:from>
    <xdr:to>
      <xdr:col>17</xdr:col>
      <xdr:colOff>847724</xdr:colOff>
      <xdr:row>128</xdr:row>
      <xdr:rowOff>59635</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5262769" y="16689457"/>
              <a:ext cx="621485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𝑃𝑟𝑒𝑑𝑖𝑐𝑡𝑒𝑑</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𝑊𝑖𝑙𝑑𝑙𝑖𝑓𝑒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𝐷𝑒𝑎𝑡h𝑠</m:t>
                    </m:r>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𝑊𝑖𝑙𝑑𝑙𝑖𝑓𝑒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𝐷𝑒𝑎𝑡h𝑠</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81" name="TextBox 80">
              <a:extLst>
                <a:ext uri="{FF2B5EF4-FFF2-40B4-BE49-F238E27FC236}">
                  <a16:creationId xmlns:a16="http://schemas.microsoft.com/office/drawing/2014/main" id="{C25F8740-D67D-4103-AE60-6036D8CA12AC}"/>
                </a:ext>
              </a:extLst>
            </xdr:cNvPr>
            <xdr:cNvSpPr txBox="1"/>
          </xdr:nvSpPr>
          <xdr:spPr>
            <a:xfrm>
              <a:off x="5262769" y="16689457"/>
              <a:ext cx="621485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𝑃𝑟𝑒𝑑𝑖𝑐𝑡𝑒𝑑 𝑊𝑖𝑙𝑑𝑙𝑖𝑓𝑒 𝐷𝑒𝑎𝑡ℎ𝑠=(𝑊𝑖𝑙𝑑𝑙𝑖𝑓𝑒 𝐷𝑒𝑎𝑡ℎ𝑠)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46383</xdr:colOff>
      <xdr:row>137</xdr:row>
      <xdr:rowOff>96079</xdr:rowOff>
    </xdr:from>
    <xdr:to>
      <xdr:col>15</xdr:col>
      <xdr:colOff>823291</xdr:colOff>
      <xdr:row>139</xdr:row>
      <xdr:rowOff>94421</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5280992" y="21142188"/>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r>
                              <a:rPr lang="en-US" sz="1050" b="0" i="1">
                                <a:solidFill>
                                  <a:schemeClr val="bg1">
                                    <a:lumMod val="50000"/>
                                  </a:schemeClr>
                                </a:solidFill>
                                <a:latin typeface="Cambria Math" panose="02040503050406030204" pitchFamily="18" charset="0"/>
                              </a:rPr>
                              <m:t>𝐿</m:t>
                            </m:r>
                          </m:sup>
                        </m:sSup>
                        <m:r>
                          <a:rPr lang="en-US" sz="1050" b="0" i="1">
                            <a:solidFill>
                              <a:schemeClr val="bg1">
                                <a:lumMod val="50000"/>
                              </a:schemeClr>
                            </a:solidFill>
                            <a:latin typeface="Cambria Math" panose="02040503050406030204" pitchFamily="18" charset="0"/>
                          </a:rPr>
                          <m:t>−1</m:t>
                        </m:r>
                      </m:num>
                      <m:den>
                        <m:r>
                          <a:rPr lang="en-US" sz="1050" b="0" i="1">
                            <a:solidFill>
                              <a:schemeClr val="bg1">
                                <a:lumMod val="50000"/>
                              </a:schemeClr>
                            </a:solidFill>
                            <a:latin typeface="Cambria Math" panose="02040503050406030204" pitchFamily="18" charset="0"/>
                          </a:rPr>
                          <m:t>𝑎</m:t>
                        </m:r>
                      </m:den>
                    </m:f>
                    <m:r>
                      <a:rPr lang="en-US" sz="1050" b="0" i="1">
                        <a:solidFill>
                          <a:schemeClr val="bg1">
                            <a:lumMod val="50000"/>
                          </a:schemeClr>
                        </a:solidFill>
                        <a:latin typeface="Cambria Math" panose="02040503050406030204" pitchFamily="18" charset="0"/>
                        <a:ea typeface="Cambria Math" panose="02040503050406030204" pitchFamily="18" charset="0"/>
                      </a:rPr>
                      <m:t>×</m:t>
                    </m:r>
                    <m:f>
                      <m:fPr>
                        <m:ctrlPr>
                          <a:rPr lang="en-US" sz="1050" b="0" i="1">
                            <a:solidFill>
                              <a:schemeClr val="bg1">
                                <a:lumMod val="50000"/>
                              </a:schemeClr>
                            </a:solidFill>
                            <a:latin typeface="Cambria Math" panose="02040503050406030204" pitchFamily="18" charset="0"/>
                            <a:ea typeface="Cambria Math" panose="02040503050406030204" pitchFamily="18" charset="0"/>
                          </a:rPr>
                        </m:ctrlPr>
                      </m:fPr>
                      <m:num>
                        <m:nary>
                          <m:naryPr>
                            <m:chr m:val="∑"/>
                            <m:limLoc m:val="subSup"/>
                            <m:supHide m:val="on"/>
                            <m:ctrlPr>
                              <a:rPr lang="en-US" sz="1050" b="0" i="1">
                                <a:solidFill>
                                  <a:schemeClr val="bg1">
                                    <a:lumMod val="50000"/>
                                  </a:schemeClr>
                                </a:solidFill>
                                <a:latin typeface="Cambria Math" panose="02040503050406030204" pitchFamily="18" charset="0"/>
                                <a:ea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ea typeface="Cambria Math" panose="02040503050406030204" pitchFamily="18" charset="0"/>
                              </a:rPr>
                              <m:t>𝑛</m:t>
                            </m:r>
                          </m:sub>
                          <m:sup/>
                          <m:e>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𝑊</m:t>
                                    </m:r>
                                  </m:e>
                                  <m:sub>
                                    <m:r>
                                      <a:rPr lang="en-US" sz="1050" b="0" i="1">
                                        <a:solidFill>
                                          <a:schemeClr val="bg1">
                                            <a:lumMod val="50000"/>
                                          </a:schemeClr>
                                        </a:solidFill>
                                        <a:latin typeface="Cambria Math" panose="02040503050406030204" pitchFamily="18" charset="0"/>
                                        <a:ea typeface="Cambria Math" panose="02040503050406030204" pitchFamily="18" charset="0"/>
                                      </a:rPr>
                                      <m:t>𝑛</m:t>
                                    </m:r>
                                  </m:sub>
                                </m:sSub>
                              </m:e>
                            </m:d>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m:t>
                                    </m:r>
                                    <m:r>
                                      <a:rPr lang="en-US" sz="1050" b="0" i="1">
                                        <a:solidFill>
                                          <a:schemeClr val="bg1">
                                            <a:lumMod val="50000"/>
                                          </a:schemeClr>
                                        </a:solidFill>
                                        <a:latin typeface="Cambria Math" panose="02040503050406030204" pitchFamily="18" charset="0"/>
                                        <a:ea typeface="Cambria Math" panose="02040503050406030204" pitchFamily="18" charset="0"/>
                                      </a:rPr>
                                      <m:t>𝑊</m:t>
                                    </m:r>
                                  </m:e>
                                  <m:sub>
                                    <m:r>
                                      <a:rPr lang="en-US" sz="1050" b="0" i="1">
                                        <a:solidFill>
                                          <a:schemeClr val="bg1">
                                            <a:lumMod val="50000"/>
                                          </a:schemeClr>
                                        </a:solidFill>
                                        <a:latin typeface="Cambria Math" panose="02040503050406030204" pitchFamily="18" charset="0"/>
                                        <a:ea typeface="Cambria Math" panose="02040503050406030204" pitchFamily="18" charset="0"/>
                                      </a:rPr>
                                      <m:t>𝑛</m:t>
                                    </m:r>
                                  </m:sub>
                                </m:sSub>
                              </m:e>
                            </m:d>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𝐶𝑅𝐹</m:t>
                                    </m:r>
                                  </m:e>
                                  <m:sub>
                                    <m:r>
                                      <a:rPr lang="en-US" sz="1050" b="0" i="1">
                                        <a:solidFill>
                                          <a:schemeClr val="bg1">
                                            <a:lumMod val="50000"/>
                                          </a:schemeClr>
                                        </a:solidFill>
                                        <a:latin typeface="Cambria Math" panose="02040503050406030204" pitchFamily="18" charset="0"/>
                                        <a:ea typeface="Cambria Math" panose="02040503050406030204" pitchFamily="18" charset="0"/>
                                      </a:rPr>
                                      <m:t>𝑃𝐷𝑂</m:t>
                                    </m:r>
                                  </m:sub>
                                </m:sSub>
                              </m:e>
                            </m:d>
                          </m:e>
                        </m:nary>
                      </m:num>
                      <m:den>
                        <m:r>
                          <a:rPr lang="en-US" sz="1050" b="0" i="1">
                            <a:solidFill>
                              <a:schemeClr val="bg1">
                                <a:lumMod val="50000"/>
                              </a:schemeClr>
                            </a:solidFill>
                            <a:latin typeface="Cambria Math" panose="02040503050406030204" pitchFamily="18" charset="0"/>
                            <a:ea typeface="Cambria Math" panose="02040503050406030204" pitchFamily="18" charset="0"/>
                          </a:rPr>
                          <m:t>𝑁</m:t>
                        </m:r>
                      </m:den>
                    </m:f>
                  </m:oMath>
                </m:oMathPara>
              </a14:m>
              <a:endParaRPr lang="en-US" sz="1050">
                <a:solidFill>
                  <a:schemeClr val="bg1">
                    <a:lumMod val="50000"/>
                  </a:schemeClr>
                </a:solidFill>
              </a:endParaRPr>
            </a:p>
          </xdr:txBody>
        </xdr:sp>
      </mc:Choice>
      <mc:Fallback xmlns="">
        <xdr:sp macro="" textlink="">
          <xdr:nvSpPr>
            <xdr:cNvPr id="84" name="TextBox 83">
              <a:extLst>
                <a:ext uri="{FF2B5EF4-FFF2-40B4-BE49-F238E27FC236}">
                  <a16:creationId xmlns:a16="http://schemas.microsoft.com/office/drawing/2014/main" id="{7E44B02B-F747-4551-850B-A225E9070013}"/>
                </a:ext>
              </a:extLst>
            </xdr:cNvPr>
            <xdr:cNvSpPr txBox="1"/>
          </xdr:nvSpPr>
          <xdr:spPr>
            <a:xfrm>
              <a:off x="5280992" y="21142188"/>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=((1+𝑎)^𝐿−1)/𝑎</a:t>
              </a:r>
              <a:r>
                <a:rPr lang="en-US" sz="1050" b="0" i="0">
                  <a:solidFill>
                    <a:schemeClr val="bg1">
                      <a:lumMod val="50000"/>
                    </a:schemeClr>
                  </a:solidFill>
                  <a:latin typeface="Cambria Math" panose="02040503050406030204" pitchFamily="18" charset="0"/>
                  <a:ea typeface="Cambria Math" panose="02040503050406030204" pitchFamily="18" charset="0"/>
                </a:rPr>
                <a:t>×(∑10_𝑛▒(𝑊_𝑛 )(〖$𝑊〗_𝑛 )(〖𝐶𝑅𝐹〗_𝑃𝐷𝑂 ) )/𝑁</a:t>
              </a:r>
              <a:endParaRPr lang="en-US" sz="1050">
                <a:solidFill>
                  <a:schemeClr val="bg1">
                    <a:lumMod val="50000"/>
                  </a:schemeClr>
                </a:solidFill>
              </a:endParaRPr>
            </a:p>
          </xdr:txBody>
        </xdr:sp>
      </mc:Fallback>
    </mc:AlternateContent>
    <xdr:clientData/>
  </xdr:twoCellAnchor>
  <xdr:twoCellAnchor>
    <xdr:from>
      <xdr:col>9</xdr:col>
      <xdr:colOff>49696</xdr:colOff>
      <xdr:row>139</xdr:row>
      <xdr:rowOff>107675</xdr:rowOff>
    </xdr:from>
    <xdr:to>
      <xdr:col>15</xdr:col>
      <xdr:colOff>826604</xdr:colOff>
      <xdr:row>141</xdr:row>
      <xdr:rowOff>106017</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5284305" y="21534784"/>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𝑈𝐵</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85" name="TextBox 84">
              <a:extLst>
                <a:ext uri="{FF2B5EF4-FFF2-40B4-BE49-F238E27FC236}">
                  <a16:creationId xmlns:a16="http://schemas.microsoft.com/office/drawing/2014/main" id="{5091C3A7-0CC8-4E6C-865B-F074A90BC3C8}"/>
                </a:ext>
              </a:extLst>
            </xdr:cNvPr>
            <xdr:cNvSpPr txBox="1"/>
          </xdr:nvSpPr>
          <xdr:spPr>
            <a:xfrm>
              <a:off x="5284305" y="21534784"/>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=∑10_𝑛▒〖𝑈𝐵〗_𝑛/(1+𝑖)^𝑛 </a:t>
              </a:r>
              <a:endParaRPr lang="en-US" sz="1050">
                <a:solidFill>
                  <a:schemeClr val="bg1">
                    <a:lumMod val="50000"/>
                  </a:schemeClr>
                </a:solidFill>
              </a:endParaRPr>
            </a:p>
          </xdr:txBody>
        </xdr:sp>
      </mc:Fallback>
    </mc:AlternateContent>
    <xdr:clientData/>
  </xdr:twoCellAnchor>
  <xdr:twoCellAnchor>
    <xdr:from>
      <xdr:col>9</xdr:col>
      <xdr:colOff>53009</xdr:colOff>
      <xdr:row>141</xdr:row>
      <xdr:rowOff>127554</xdr:rowOff>
    </xdr:from>
    <xdr:to>
      <xdr:col>15</xdr:col>
      <xdr:colOff>829917</xdr:colOff>
      <xdr:row>143</xdr:row>
      <xdr:rowOff>125896</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5287618" y="21935663"/>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𝑈𝐵</m:t>
                                </m:r>
                              </m:e>
                              <m:sub>
                                <m:r>
                                  <a:rPr lang="en-US" sz="1050" b="0" i="1">
                                    <a:solidFill>
                                      <a:schemeClr val="bg1">
                                        <a:lumMod val="50000"/>
                                      </a:schemeClr>
                                    </a:solidFill>
                                    <a:latin typeface="Cambria Math" panose="02040503050406030204" pitchFamily="18" charset="0"/>
                                  </a:rPr>
                                  <m:t>𝑊</m:t>
                                </m:r>
                                <m:r>
                                  <a:rPr lang="en-US" sz="1050" b="0" i="1">
                                    <a:solidFill>
                                      <a:schemeClr val="bg1">
                                        <a:lumMod val="50000"/>
                                      </a:schemeClr>
                                    </a:solidFill>
                                    <a:latin typeface="Cambria Math" panose="02040503050406030204" pitchFamily="18" charset="0"/>
                                  </a:rPr>
                                  <m:t>,</m:t>
                                </m:r>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86" name="TextBox 85">
              <a:extLst>
                <a:ext uri="{FF2B5EF4-FFF2-40B4-BE49-F238E27FC236}">
                  <a16:creationId xmlns:a16="http://schemas.microsoft.com/office/drawing/2014/main" id="{96A8BBCF-C695-4871-A564-884596C75512}"/>
                </a:ext>
              </a:extLst>
            </xdr:cNvPr>
            <xdr:cNvSpPr txBox="1"/>
          </xdr:nvSpPr>
          <xdr:spPr>
            <a:xfrm>
              <a:off x="5287618" y="21935663"/>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=∑10_𝑛▒〖𝑈𝐵〗_(𝑊,𝑛)/(1+𝑖)^𝑛 </a:t>
              </a:r>
              <a:endParaRPr lang="en-US" sz="1050">
                <a:solidFill>
                  <a:schemeClr val="bg1">
                    <a:lumMod val="50000"/>
                  </a:schemeClr>
                </a:solidFill>
              </a:endParaRPr>
            </a:p>
          </xdr:txBody>
        </xdr:sp>
      </mc:Fallback>
    </mc:AlternateContent>
    <xdr:clientData/>
  </xdr:twoCellAnchor>
  <xdr:twoCellAnchor>
    <xdr:from>
      <xdr:col>9</xdr:col>
      <xdr:colOff>66261</xdr:colOff>
      <xdr:row>151</xdr:row>
      <xdr:rowOff>124239</xdr:rowOff>
    </xdr:from>
    <xdr:to>
      <xdr:col>15</xdr:col>
      <xdr:colOff>843169</xdr:colOff>
      <xdr:row>153</xdr:row>
      <xdr:rowOff>122581</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5300870" y="23688261"/>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𝑈𝐶</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87" name="TextBox 86">
              <a:extLst>
                <a:ext uri="{FF2B5EF4-FFF2-40B4-BE49-F238E27FC236}">
                  <a16:creationId xmlns:a16="http://schemas.microsoft.com/office/drawing/2014/main" id="{7245143F-ADDB-4786-B61D-A148DD1672FF}"/>
                </a:ext>
              </a:extLst>
            </xdr:cNvPr>
            <xdr:cNvSpPr txBox="1"/>
          </xdr:nvSpPr>
          <xdr:spPr>
            <a:xfrm>
              <a:off x="5300870" y="23688261"/>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=∑10_𝑛▒〖𝑈𝐶〗_𝑛/(1+𝑖)^𝑛 </a:t>
              </a:r>
              <a:endParaRPr lang="en-US" sz="1050">
                <a:solidFill>
                  <a:schemeClr val="bg1">
                    <a:lumMod val="50000"/>
                  </a:schemeClr>
                </a:solidFill>
              </a:endParaRPr>
            </a:p>
          </xdr:txBody>
        </xdr:sp>
      </mc:Fallback>
    </mc:AlternateContent>
    <xdr:clientData/>
  </xdr:twoCellAnchor>
  <xdr:twoCellAnchor>
    <xdr:from>
      <xdr:col>9</xdr:col>
      <xdr:colOff>70815</xdr:colOff>
      <xdr:row>153</xdr:row>
      <xdr:rowOff>121340</xdr:rowOff>
    </xdr:from>
    <xdr:to>
      <xdr:col>15</xdr:col>
      <xdr:colOff>847723</xdr:colOff>
      <xdr:row>156</xdr:row>
      <xdr:rowOff>3726</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5305424" y="24066362"/>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𝑈𝑀</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88" name="TextBox 87">
              <a:extLst>
                <a:ext uri="{FF2B5EF4-FFF2-40B4-BE49-F238E27FC236}">
                  <a16:creationId xmlns:a16="http://schemas.microsoft.com/office/drawing/2014/main" id="{75E2603D-6066-4C62-98F3-EA89F1FC2B5B}"/>
                </a:ext>
              </a:extLst>
            </xdr:cNvPr>
            <xdr:cNvSpPr txBox="1"/>
          </xdr:nvSpPr>
          <xdr:spPr>
            <a:xfrm>
              <a:off x="5305424" y="24066362"/>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=∑10_𝑛▒〖𝑈𝑀〗_𝑛/(1+𝑖)^𝑛 </a:t>
              </a:r>
              <a:endParaRPr lang="en-US" sz="1050">
                <a:solidFill>
                  <a:schemeClr val="bg1">
                    <a:lumMod val="50000"/>
                  </a:schemeClr>
                </a:solidFill>
              </a:endParaRPr>
            </a:p>
          </xdr:txBody>
        </xdr:sp>
      </mc:Fallback>
    </mc:AlternateContent>
    <xdr:clientData/>
  </xdr:twoCellAnchor>
  <xdr:twoCellAnchor>
    <xdr:from>
      <xdr:col>9</xdr:col>
      <xdr:colOff>74543</xdr:colOff>
      <xdr:row>157</xdr:row>
      <xdr:rowOff>99392</xdr:rowOff>
    </xdr:from>
    <xdr:to>
      <xdr:col>15</xdr:col>
      <xdr:colOff>851451</xdr:colOff>
      <xdr:row>159</xdr:row>
      <xdr:rowOff>97734</xdr:rowOff>
    </xdr:to>
    <mc:AlternateContent xmlns:mc="http://schemas.openxmlformats.org/markup-compatibility/2006" xmlns:a14="http://schemas.microsoft.com/office/drawing/2010/main">
      <mc:Choice Requires="a14">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5309152" y="24731870"/>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r>
                          <a:rPr lang="en-US" sz="1050" b="0" i="1">
                            <a:solidFill>
                              <a:schemeClr val="bg1">
                                <a:lumMod val="50000"/>
                              </a:schemeClr>
                            </a:solidFill>
                            <a:latin typeface="Cambria Math" panose="02040503050406030204" pitchFamily="18" charset="0"/>
                          </a:rPr>
                          <m:t>𝑇𝑜𝑡𝑎𝑙</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𝐷𝑖𝑠𝑐𝑜𝑢𝑛𝑡𝑒𝑑</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𝐵𝑒𝑛𝑒𝑓𝑖𝑡𝑠</m:t>
                        </m:r>
                      </m:num>
                      <m:den>
                        <m:r>
                          <a:rPr lang="en-US" sz="1050" b="0" i="1">
                            <a:solidFill>
                              <a:schemeClr val="bg1">
                                <a:lumMod val="50000"/>
                              </a:schemeClr>
                            </a:solidFill>
                            <a:latin typeface="Cambria Math" panose="02040503050406030204" pitchFamily="18" charset="0"/>
                          </a:rPr>
                          <m:t>𝑇𝑜𝑡𝑎𝑙</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𝐷𝑖𝑠𝑐𝑜𝑢𝑛𝑡𝑒𝑑</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𝐶𝑜𝑠𝑡𝑠</m:t>
                        </m:r>
                      </m:den>
                    </m:f>
                  </m:oMath>
                </m:oMathPara>
              </a14:m>
              <a:endParaRPr lang="en-US" sz="1050">
                <a:solidFill>
                  <a:schemeClr val="bg1">
                    <a:lumMod val="50000"/>
                  </a:schemeClr>
                </a:solidFill>
              </a:endParaRPr>
            </a:p>
          </xdr:txBody>
        </xdr:sp>
      </mc:Choice>
      <mc:Fallback xmlns="">
        <xdr:sp macro="" textlink="">
          <xdr:nvSpPr>
            <xdr:cNvPr id="89" name="TextBox 88">
              <a:extLst>
                <a:ext uri="{FF2B5EF4-FFF2-40B4-BE49-F238E27FC236}">
                  <a16:creationId xmlns:a16="http://schemas.microsoft.com/office/drawing/2014/main" id="{A98023C5-1658-445A-A138-4B6B64B34690}"/>
                </a:ext>
              </a:extLst>
            </xdr:cNvPr>
            <xdr:cNvSpPr txBox="1"/>
          </xdr:nvSpPr>
          <xdr:spPr>
            <a:xfrm>
              <a:off x="5309152" y="24731870"/>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=(𝑇𝑜𝑡𝑎𝑙 𝐷𝑖𝑠𝑐𝑜𝑢𝑛𝑡𝑒𝑑 𝐵𝑒𝑛𝑒𝑓𝑖𝑡𝑠)/(𝑇𝑜𝑡𝑎𝑙 𝐷𝑖𝑠𝑐𝑜𝑢𝑛𝑡𝑒𝑑 𝐶𝑜𝑠𝑡𝑠)</a:t>
              </a:r>
              <a:endParaRPr lang="en-US" sz="1050">
                <a:solidFill>
                  <a:schemeClr val="bg1">
                    <a:lumMod val="50000"/>
                  </a:schemeClr>
                </a:solidFill>
              </a:endParaRPr>
            </a:p>
          </xdr:txBody>
        </xdr:sp>
      </mc:Fallback>
    </mc:AlternateContent>
    <xdr:clientData/>
  </xdr:twoCellAnchor>
  <xdr:twoCellAnchor>
    <xdr:from>
      <xdr:col>9</xdr:col>
      <xdr:colOff>2484</xdr:colOff>
      <xdr:row>185</xdr:row>
      <xdr:rowOff>43897</xdr:rowOff>
    </xdr:from>
    <xdr:to>
      <xdr:col>11</xdr:col>
      <xdr:colOff>420327</xdr:colOff>
      <xdr:row>187</xdr:row>
      <xdr:rowOff>147845</xdr:rowOff>
    </xdr:to>
    <mc:AlternateContent xmlns:mc="http://schemas.openxmlformats.org/markup-compatibility/2006" xmlns:a14="http://schemas.microsoft.com/office/drawing/2010/main">
      <mc:Choice Requires="a14">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5237093" y="17926049"/>
              <a:ext cx="1776191" cy="330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𝑖</m:t>
                            </m: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𝑆𝑒𝑟𝑣𝑖𝑐𝑒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𝐿𝑖𝑓𝑒</m:t>
                                    </m:r>
                                  </m:e>
                                </m:d>
                              </m:e>
                              <m:sub>
                                <m:r>
                                  <a:rPr lang="en-US" sz="1050" b="0" i="1">
                                    <a:solidFill>
                                      <a:schemeClr val="bg1">
                                        <a:lumMod val="50000"/>
                                      </a:schemeClr>
                                    </a:solidFill>
                                    <a:latin typeface="Cambria Math" panose="02040503050406030204" pitchFamily="18" charset="0"/>
                                  </a:rPr>
                                  <m:t>𝑖</m:t>
                                </m:r>
                              </m:sub>
                            </m:sSub>
                          </m:e>
                        </m:nary>
                        <m:r>
                          <a:rPr lang="en-US" sz="1050" b="0" i="1">
                            <a:solidFill>
                              <a:schemeClr val="bg1">
                                <a:lumMod val="50000"/>
                              </a:schemeClr>
                            </a:solidFill>
                            <a:latin typeface="Cambria Math" panose="02040503050406030204" pitchFamily="18" charset="0"/>
                            <a:ea typeface="Cambria Math" panose="02040503050406030204" pitchFamily="18" charset="0"/>
                          </a:rPr>
                          <m:t>×</m:t>
                        </m:r>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r>
                                  <a:rPr lang="en-US" sz="1050" b="0" i="1">
                                    <a:solidFill>
                                      <a:schemeClr val="bg1">
                                        <a:lumMod val="50000"/>
                                      </a:schemeClr>
                                    </a:solidFill>
                                    <a:latin typeface="Cambria Math" panose="02040503050406030204" pitchFamily="18" charset="0"/>
                                    <a:ea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ea typeface="Cambria Math" panose="02040503050406030204" pitchFamily="18" charset="0"/>
                              </a:rPr>
                              <m:t>𝑖</m:t>
                            </m:r>
                          </m:sub>
                        </m:sSub>
                      </m:num>
                      <m:den>
                        <m:nary>
                          <m:naryPr>
                            <m:chr m:val="∑"/>
                            <m:subHide m:val="on"/>
                            <m:supHide m:val="on"/>
                            <m:ctrlPr>
                              <a:rPr lang="en-US" sz="1050" b="0" i="1">
                                <a:solidFill>
                                  <a:schemeClr val="bg1">
                                    <a:lumMod val="50000"/>
                                  </a:schemeClr>
                                </a:solidFill>
                                <a:latin typeface="Cambria Math" panose="02040503050406030204" pitchFamily="18" charset="0"/>
                              </a:rPr>
                            </m:ctrlPr>
                          </m:naryPr>
                          <m:sub/>
                          <m:sup/>
                          <m:e>
                            <m:sSub>
                              <m:sSubPr>
                                <m:ctrlPr>
                                  <a:rPr lang="en-US" sz="1050" b="0" i="1">
                                    <a:solidFill>
                                      <a:schemeClr val="bg1">
                                        <a:lumMod val="50000"/>
                                      </a:schemeClr>
                                    </a:solidFill>
                                    <a:latin typeface="Cambria Math" panose="02040503050406030204" pitchFamily="18" charset="0"/>
                                  </a:rPr>
                                </m:ctrlPr>
                              </m:sSub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𝐶𝑜𝑠𝑡</m:t>
                                    </m:r>
                                  </m:e>
                                </m:d>
                              </m:e>
                              <m:sub>
                                <m:r>
                                  <a:rPr lang="en-US" sz="1050" b="0" i="1">
                                    <a:solidFill>
                                      <a:schemeClr val="bg1">
                                        <a:lumMod val="50000"/>
                                      </a:schemeClr>
                                    </a:solidFill>
                                    <a:latin typeface="Cambria Math" panose="02040503050406030204" pitchFamily="18" charset="0"/>
                                  </a:rPr>
                                  <m:t>𝑇𝑜𝑡𝑎𝑙</m:t>
                                </m:r>
                              </m:sub>
                            </m:sSub>
                          </m:e>
                        </m:nary>
                      </m:den>
                    </m:f>
                  </m:oMath>
                </m:oMathPara>
              </a14:m>
              <a:endParaRPr lang="en-US" sz="1050">
                <a:solidFill>
                  <a:schemeClr val="bg1">
                    <a:lumMod val="50000"/>
                  </a:schemeClr>
                </a:solidFill>
              </a:endParaRPr>
            </a:p>
          </xdr:txBody>
        </xdr:sp>
      </mc:Choice>
      <mc:Fallback xmlns="">
        <xdr:sp macro="" textlink="">
          <xdr:nvSpPr>
            <xdr:cNvPr id="90" name="TextBox 89">
              <a:extLst>
                <a:ext uri="{FF2B5EF4-FFF2-40B4-BE49-F238E27FC236}">
                  <a16:creationId xmlns:a16="http://schemas.microsoft.com/office/drawing/2014/main" id="{AE15A46D-7A87-4C62-A3FF-2F069917DE59}"/>
                </a:ext>
              </a:extLst>
            </xdr:cNvPr>
            <xdr:cNvSpPr txBox="1"/>
          </xdr:nvSpPr>
          <xdr:spPr>
            <a:xfrm>
              <a:off x="5237093" y="17926049"/>
              <a:ext cx="1776191" cy="330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=(∑2_𝑖▒(𝑆𝑒𝑟𝑣𝑖𝑐𝑒 𝐿𝑖𝑓𝑒)_𝑖 </a:t>
              </a:r>
              <a:r>
                <a:rPr lang="en-US" sz="1050" b="0" i="0">
                  <a:solidFill>
                    <a:schemeClr val="bg1">
                      <a:lumMod val="50000"/>
                    </a:schemeClr>
                  </a:solidFill>
                  <a:latin typeface="Cambria Math" panose="02040503050406030204" pitchFamily="18" charset="0"/>
                  <a:ea typeface="Cambria Math" panose="02040503050406030204" pitchFamily="18" charset="0"/>
                </a:rPr>
                <a:t>×(𝐶𝑜𝑠𝑡)_𝑖)/(∑▒(</a:t>
              </a:r>
              <a:r>
                <a:rPr lang="en-US" sz="1050" b="0" i="0">
                  <a:solidFill>
                    <a:schemeClr val="bg1">
                      <a:lumMod val="50000"/>
                    </a:schemeClr>
                  </a:solidFill>
                  <a:latin typeface="Cambria Math" panose="02040503050406030204" pitchFamily="18" charset="0"/>
                </a:rPr>
                <a:t>𝐶𝑜𝑠𝑡)_𝑇𝑜𝑡𝑎𝑙 )</a:t>
              </a:r>
              <a:endParaRPr lang="en-US" sz="1050">
                <a:solidFill>
                  <a:schemeClr val="bg1">
                    <a:lumMod val="50000"/>
                  </a:schemeClr>
                </a:solidFill>
              </a:endParaRPr>
            </a:p>
          </xdr:txBody>
        </xdr:sp>
      </mc:Fallback>
    </mc:AlternateContent>
    <xdr:clientData/>
  </xdr:twoCellAnchor>
  <xdr:twoCellAnchor>
    <xdr:from>
      <xdr:col>9</xdr:col>
      <xdr:colOff>33130</xdr:colOff>
      <xdr:row>192</xdr:row>
      <xdr:rowOff>8283</xdr:rowOff>
    </xdr:from>
    <xdr:to>
      <xdr:col>14</xdr:col>
      <xdr:colOff>115957</xdr:colOff>
      <xdr:row>193</xdr:row>
      <xdr:rowOff>66261</xdr:rowOff>
    </xdr:to>
    <mc:AlternateContent xmlns:mc="http://schemas.openxmlformats.org/markup-compatibility/2006" xmlns:a14="http://schemas.microsoft.com/office/drawing/2010/main">
      <mc:Choice Requires="a14">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5267739" y="18958892"/>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𝐹𝑎𝑡𝑎𝑙</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103" name="TextBox 102">
              <a:extLst>
                <a:ext uri="{FF2B5EF4-FFF2-40B4-BE49-F238E27FC236}">
                  <a16:creationId xmlns:a16="http://schemas.microsoft.com/office/drawing/2014/main" id="{E52230C0-784D-4AB0-8CF2-D4EC64B74517}"/>
                </a:ext>
              </a:extLst>
            </xdr:cNvPr>
            <xdr:cNvSpPr txBox="1"/>
          </xdr:nvSpPr>
          <xdr:spPr>
            <a:xfrm>
              <a:off x="5267739" y="18958892"/>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=(𝐹𝑎𝑡𝑎𝑙)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36443</xdr:colOff>
      <xdr:row>194</xdr:row>
      <xdr:rowOff>3314</xdr:rowOff>
    </xdr:from>
    <xdr:to>
      <xdr:col>14</xdr:col>
      <xdr:colOff>119270</xdr:colOff>
      <xdr:row>195</xdr:row>
      <xdr:rowOff>61292</xdr:rowOff>
    </xdr:to>
    <mc:AlternateContent xmlns:mc="http://schemas.openxmlformats.org/markup-compatibility/2006" xmlns:a14="http://schemas.microsoft.com/office/drawing/2010/main">
      <mc:Choice Requires="a14">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5271052" y="19334923"/>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𝐼𝑛𝑗𝑢𝑟𝑦</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104" name="TextBox 103">
              <a:extLst>
                <a:ext uri="{FF2B5EF4-FFF2-40B4-BE49-F238E27FC236}">
                  <a16:creationId xmlns:a16="http://schemas.microsoft.com/office/drawing/2014/main" id="{DB55260C-FA38-43FE-A9B9-C62E623CDBCF}"/>
                </a:ext>
              </a:extLst>
            </xdr:cNvPr>
            <xdr:cNvSpPr txBox="1"/>
          </xdr:nvSpPr>
          <xdr:spPr>
            <a:xfrm>
              <a:off x="5271052" y="19334923"/>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=(𝐼𝑛𝑗𝑢𝑟𝑦)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39756</xdr:colOff>
      <xdr:row>196</xdr:row>
      <xdr:rowOff>6627</xdr:rowOff>
    </xdr:from>
    <xdr:to>
      <xdr:col>14</xdr:col>
      <xdr:colOff>122583</xdr:colOff>
      <xdr:row>197</xdr:row>
      <xdr:rowOff>64605</xdr:rowOff>
    </xdr:to>
    <mc:AlternateContent xmlns:mc="http://schemas.openxmlformats.org/markup-compatibility/2006" xmlns:a14="http://schemas.microsoft.com/office/drawing/2010/main">
      <mc:Choice Requires="a14">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5274365" y="19719236"/>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𝑃𝐷𝑂</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105" name="TextBox 104">
              <a:extLst>
                <a:ext uri="{FF2B5EF4-FFF2-40B4-BE49-F238E27FC236}">
                  <a16:creationId xmlns:a16="http://schemas.microsoft.com/office/drawing/2014/main" id="{531C9366-8DCC-4F38-A7AB-1677ADFE78D3}"/>
                </a:ext>
              </a:extLst>
            </xdr:cNvPr>
            <xdr:cNvSpPr txBox="1"/>
          </xdr:nvSpPr>
          <xdr:spPr>
            <a:xfrm>
              <a:off x="5274365" y="19719236"/>
              <a:ext cx="3983935"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=(𝑃𝐷𝑂)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43070</xdr:colOff>
      <xdr:row>198</xdr:row>
      <xdr:rowOff>1657</xdr:rowOff>
    </xdr:from>
    <xdr:to>
      <xdr:col>15</xdr:col>
      <xdr:colOff>629478</xdr:colOff>
      <xdr:row>199</xdr:row>
      <xdr:rowOff>59635</xdr:rowOff>
    </xdr:to>
    <mc:AlternateContent xmlns:mc="http://schemas.openxmlformats.org/markup-compatibility/2006" xmlns:a14="http://schemas.microsoft.com/office/drawing/2010/main">
      <mc:Choice Requires="a14">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5277679" y="20095266"/>
              <a:ext cx="4661451"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𝑊𝑖𝑙𝑑𝑙𝑖𝑓𝑒</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𝐷𝑒𝑎𝑡h𝑠</m:t>
                        </m:r>
                      </m:e>
                    </m:d>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𝐶𝑜𝑛𝑠𝑡𝑟𝑢𝑐𝑡𝑖𝑜𝑛</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𝐸𝑛𝑑𝑠</m:t>
                            </m:r>
                          </m:e>
                        </m:d>
                        <m:r>
                          <a:rPr lang="en-US" sz="1050" b="0" i="1">
                            <a:solidFill>
                              <a:schemeClr val="bg1">
                                <a:lumMod val="50000"/>
                              </a:schemeClr>
                            </a:solidFill>
                            <a:latin typeface="Cambria Math" panose="02040503050406030204" pitchFamily="18" charset="0"/>
                          </a:rPr>
                          <m:t>+1−</m:t>
                        </m:r>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𝐿𝑎𝑠𝑡</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𝑌𝑒𝑎𝑟</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𝑜𝑓</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𝐶𝑟𝑎𝑠h</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𝐻𝑖𝑠𝑡𝑜𝑟𝑦</m:t>
                            </m:r>
                          </m:e>
                        </m:d>
                      </m:sup>
                    </m:sSup>
                  </m:oMath>
                </m:oMathPara>
              </a14:m>
              <a:endParaRPr lang="en-US" sz="1050">
                <a:solidFill>
                  <a:schemeClr val="bg1">
                    <a:lumMod val="50000"/>
                  </a:schemeClr>
                </a:solidFill>
              </a:endParaRPr>
            </a:p>
          </xdr:txBody>
        </xdr:sp>
      </mc:Choice>
      <mc:Fallback xmlns="">
        <xdr:sp macro="" textlink="">
          <xdr:nvSpPr>
            <xdr:cNvPr id="106" name="TextBox 105">
              <a:extLst>
                <a:ext uri="{FF2B5EF4-FFF2-40B4-BE49-F238E27FC236}">
                  <a16:creationId xmlns:a16="http://schemas.microsoft.com/office/drawing/2014/main" id="{42261C9A-C5E1-472E-8476-BF1131A44216}"/>
                </a:ext>
              </a:extLst>
            </xdr:cNvPr>
            <xdr:cNvSpPr txBox="1"/>
          </xdr:nvSpPr>
          <xdr:spPr>
            <a:xfrm>
              <a:off x="5277679" y="20095266"/>
              <a:ext cx="4661451" cy="2484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=(𝑊𝑖𝑙𝑑𝑙𝑖𝑓𝑒 𝐷𝑒𝑎𝑡ℎ𝑠) (1+𝑎)^((𝑌𝑒𝑎𝑟 𝐶𝑜𝑛𝑠𝑡𝑟𝑢𝑐𝑡𝑖𝑜𝑛 𝐸𝑛𝑑𝑠)+1−(𝐿𝑎𝑠𝑡 𝑌𝑒𝑎𝑟 𝑜𝑓 𝐶𝑟𝑎𝑠ℎ 𝐻𝑖𝑠𝑡𝑜𝑟𝑦) )</a:t>
              </a:r>
              <a:endParaRPr lang="en-US" sz="1050">
                <a:solidFill>
                  <a:schemeClr val="bg1">
                    <a:lumMod val="50000"/>
                  </a:schemeClr>
                </a:solidFill>
              </a:endParaRPr>
            </a:p>
          </xdr:txBody>
        </xdr:sp>
      </mc:Fallback>
    </mc:AlternateContent>
    <xdr:clientData/>
  </xdr:twoCellAnchor>
  <xdr:twoCellAnchor>
    <xdr:from>
      <xdr:col>9</xdr:col>
      <xdr:colOff>46383</xdr:colOff>
      <xdr:row>208</xdr:row>
      <xdr:rowOff>96079</xdr:rowOff>
    </xdr:from>
    <xdr:to>
      <xdr:col>15</xdr:col>
      <xdr:colOff>823291</xdr:colOff>
      <xdr:row>210</xdr:row>
      <xdr:rowOff>94421</xdr:rowOff>
    </xdr:to>
    <mc:AlternateContent xmlns:mc="http://schemas.openxmlformats.org/markup-compatibility/2006" xmlns:a14="http://schemas.microsoft.com/office/drawing/2010/main">
      <mc:Choice Requires="a14">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5280992" y="21142188"/>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𝑎</m:t>
                                </m:r>
                              </m:e>
                            </m:d>
                          </m:e>
                          <m:sup>
                            <m:r>
                              <a:rPr lang="en-US" sz="1050" b="0" i="1">
                                <a:solidFill>
                                  <a:schemeClr val="bg1">
                                    <a:lumMod val="50000"/>
                                  </a:schemeClr>
                                </a:solidFill>
                                <a:latin typeface="Cambria Math" panose="02040503050406030204" pitchFamily="18" charset="0"/>
                              </a:rPr>
                              <m:t>𝐿</m:t>
                            </m:r>
                          </m:sup>
                        </m:sSup>
                        <m:r>
                          <a:rPr lang="en-US" sz="1050" b="0" i="1">
                            <a:solidFill>
                              <a:schemeClr val="bg1">
                                <a:lumMod val="50000"/>
                              </a:schemeClr>
                            </a:solidFill>
                            <a:latin typeface="Cambria Math" panose="02040503050406030204" pitchFamily="18" charset="0"/>
                          </a:rPr>
                          <m:t>−1</m:t>
                        </m:r>
                      </m:num>
                      <m:den>
                        <m:r>
                          <a:rPr lang="en-US" sz="1050" b="0" i="1">
                            <a:solidFill>
                              <a:schemeClr val="bg1">
                                <a:lumMod val="50000"/>
                              </a:schemeClr>
                            </a:solidFill>
                            <a:latin typeface="Cambria Math" panose="02040503050406030204" pitchFamily="18" charset="0"/>
                          </a:rPr>
                          <m:t>𝑎</m:t>
                        </m:r>
                      </m:den>
                    </m:f>
                    <m:r>
                      <a:rPr lang="en-US" sz="1050" b="0" i="1">
                        <a:solidFill>
                          <a:schemeClr val="bg1">
                            <a:lumMod val="50000"/>
                          </a:schemeClr>
                        </a:solidFill>
                        <a:latin typeface="Cambria Math" panose="02040503050406030204" pitchFamily="18" charset="0"/>
                        <a:ea typeface="Cambria Math" panose="02040503050406030204" pitchFamily="18" charset="0"/>
                      </a:rPr>
                      <m:t>×</m:t>
                    </m:r>
                    <m:f>
                      <m:fPr>
                        <m:ctrlPr>
                          <a:rPr lang="en-US" sz="1050" b="0" i="1">
                            <a:solidFill>
                              <a:schemeClr val="bg1">
                                <a:lumMod val="50000"/>
                              </a:schemeClr>
                            </a:solidFill>
                            <a:latin typeface="Cambria Math" panose="02040503050406030204" pitchFamily="18" charset="0"/>
                            <a:ea typeface="Cambria Math" panose="02040503050406030204" pitchFamily="18" charset="0"/>
                          </a:rPr>
                        </m:ctrlPr>
                      </m:fPr>
                      <m:num>
                        <m:nary>
                          <m:naryPr>
                            <m:chr m:val="∑"/>
                            <m:limLoc m:val="subSup"/>
                            <m:supHide m:val="on"/>
                            <m:ctrlPr>
                              <a:rPr lang="en-US" sz="1050" b="0" i="1">
                                <a:solidFill>
                                  <a:schemeClr val="bg1">
                                    <a:lumMod val="50000"/>
                                  </a:schemeClr>
                                </a:solidFill>
                                <a:latin typeface="Cambria Math" panose="02040503050406030204" pitchFamily="18" charset="0"/>
                                <a:ea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ea typeface="Cambria Math" panose="02040503050406030204" pitchFamily="18" charset="0"/>
                              </a:rPr>
                              <m:t>𝑛</m:t>
                            </m:r>
                          </m:sub>
                          <m:sup/>
                          <m:e>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𝑊</m:t>
                                    </m:r>
                                  </m:e>
                                  <m:sub>
                                    <m:r>
                                      <a:rPr lang="en-US" sz="1050" b="0" i="1">
                                        <a:solidFill>
                                          <a:schemeClr val="bg1">
                                            <a:lumMod val="50000"/>
                                          </a:schemeClr>
                                        </a:solidFill>
                                        <a:latin typeface="Cambria Math" panose="02040503050406030204" pitchFamily="18" charset="0"/>
                                        <a:ea typeface="Cambria Math" panose="02040503050406030204" pitchFamily="18" charset="0"/>
                                      </a:rPr>
                                      <m:t>𝑛</m:t>
                                    </m:r>
                                  </m:sub>
                                </m:sSub>
                              </m:e>
                            </m:d>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m:t>
                                    </m:r>
                                    <m:r>
                                      <a:rPr lang="en-US" sz="1050" b="0" i="1">
                                        <a:solidFill>
                                          <a:schemeClr val="bg1">
                                            <a:lumMod val="50000"/>
                                          </a:schemeClr>
                                        </a:solidFill>
                                        <a:latin typeface="Cambria Math" panose="02040503050406030204" pitchFamily="18" charset="0"/>
                                        <a:ea typeface="Cambria Math" panose="02040503050406030204" pitchFamily="18" charset="0"/>
                                      </a:rPr>
                                      <m:t>𝑊</m:t>
                                    </m:r>
                                  </m:e>
                                  <m:sub>
                                    <m:r>
                                      <a:rPr lang="en-US" sz="1050" b="0" i="1">
                                        <a:solidFill>
                                          <a:schemeClr val="bg1">
                                            <a:lumMod val="50000"/>
                                          </a:schemeClr>
                                        </a:solidFill>
                                        <a:latin typeface="Cambria Math" panose="02040503050406030204" pitchFamily="18" charset="0"/>
                                        <a:ea typeface="Cambria Math" panose="02040503050406030204" pitchFamily="18" charset="0"/>
                                      </a:rPr>
                                      <m:t>𝑛</m:t>
                                    </m:r>
                                  </m:sub>
                                </m:sSub>
                              </m:e>
                            </m:d>
                            <m:d>
                              <m:dPr>
                                <m:ctrlPr>
                                  <a:rPr lang="en-US" sz="1050" b="0" i="1">
                                    <a:solidFill>
                                      <a:schemeClr val="bg1">
                                        <a:lumMod val="50000"/>
                                      </a:schemeClr>
                                    </a:solidFill>
                                    <a:latin typeface="Cambria Math" panose="02040503050406030204" pitchFamily="18" charset="0"/>
                                    <a:ea typeface="Cambria Math" panose="02040503050406030204" pitchFamily="18" charset="0"/>
                                  </a:rPr>
                                </m:ctrlPr>
                              </m:dPr>
                              <m:e>
                                <m:sSub>
                                  <m:sSubPr>
                                    <m:ctrlPr>
                                      <a:rPr lang="en-US" sz="1050" b="0" i="1">
                                        <a:solidFill>
                                          <a:schemeClr val="bg1">
                                            <a:lumMod val="50000"/>
                                          </a:schemeClr>
                                        </a:solidFill>
                                        <a:latin typeface="Cambria Math" panose="02040503050406030204" pitchFamily="18" charset="0"/>
                                        <a:ea typeface="Cambria Math" panose="02040503050406030204" pitchFamily="18" charset="0"/>
                                      </a:rPr>
                                    </m:ctrlPr>
                                  </m:sSubPr>
                                  <m:e>
                                    <m:r>
                                      <a:rPr lang="en-US" sz="1050" b="0" i="1">
                                        <a:solidFill>
                                          <a:schemeClr val="bg1">
                                            <a:lumMod val="50000"/>
                                          </a:schemeClr>
                                        </a:solidFill>
                                        <a:latin typeface="Cambria Math" panose="02040503050406030204" pitchFamily="18" charset="0"/>
                                        <a:ea typeface="Cambria Math" panose="02040503050406030204" pitchFamily="18" charset="0"/>
                                      </a:rPr>
                                      <m:t>𝐶𝑅𝐹</m:t>
                                    </m:r>
                                  </m:e>
                                  <m:sub>
                                    <m:r>
                                      <a:rPr lang="en-US" sz="1050" b="0" i="1">
                                        <a:solidFill>
                                          <a:schemeClr val="bg1">
                                            <a:lumMod val="50000"/>
                                          </a:schemeClr>
                                        </a:solidFill>
                                        <a:latin typeface="Cambria Math" panose="02040503050406030204" pitchFamily="18" charset="0"/>
                                        <a:ea typeface="Cambria Math" panose="02040503050406030204" pitchFamily="18" charset="0"/>
                                      </a:rPr>
                                      <m:t>𝑃𝐷𝑂</m:t>
                                    </m:r>
                                  </m:sub>
                                </m:sSub>
                              </m:e>
                            </m:d>
                          </m:e>
                        </m:nary>
                      </m:num>
                      <m:den>
                        <m:r>
                          <a:rPr lang="en-US" sz="1050" b="0" i="1">
                            <a:solidFill>
                              <a:schemeClr val="bg1">
                                <a:lumMod val="50000"/>
                              </a:schemeClr>
                            </a:solidFill>
                            <a:latin typeface="Cambria Math" panose="02040503050406030204" pitchFamily="18" charset="0"/>
                            <a:ea typeface="Cambria Math" panose="02040503050406030204" pitchFamily="18" charset="0"/>
                          </a:rPr>
                          <m:t>𝑁</m:t>
                        </m:r>
                      </m:den>
                    </m:f>
                  </m:oMath>
                </m:oMathPara>
              </a14:m>
              <a:endParaRPr lang="en-US" sz="1050">
                <a:solidFill>
                  <a:schemeClr val="bg1">
                    <a:lumMod val="50000"/>
                  </a:schemeClr>
                </a:solidFill>
              </a:endParaRPr>
            </a:p>
          </xdr:txBody>
        </xdr:sp>
      </mc:Choice>
      <mc:Fallback xmlns="">
        <xdr:sp macro="" textlink="">
          <xdr:nvSpPr>
            <xdr:cNvPr id="109" name="TextBox 108">
              <a:extLst>
                <a:ext uri="{FF2B5EF4-FFF2-40B4-BE49-F238E27FC236}">
                  <a16:creationId xmlns:a16="http://schemas.microsoft.com/office/drawing/2014/main" id="{64D219CA-0802-4512-A943-736CFBAF4728}"/>
                </a:ext>
              </a:extLst>
            </xdr:cNvPr>
            <xdr:cNvSpPr txBox="1"/>
          </xdr:nvSpPr>
          <xdr:spPr>
            <a:xfrm>
              <a:off x="5280992" y="21142188"/>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=((1+𝑎)^𝐿−1)/𝑎</a:t>
              </a:r>
              <a:r>
                <a:rPr lang="en-US" sz="1050" b="0" i="0">
                  <a:solidFill>
                    <a:schemeClr val="bg1">
                      <a:lumMod val="50000"/>
                    </a:schemeClr>
                  </a:solidFill>
                  <a:latin typeface="Cambria Math" panose="02040503050406030204" pitchFamily="18" charset="0"/>
                  <a:ea typeface="Cambria Math" panose="02040503050406030204" pitchFamily="18" charset="0"/>
                </a:rPr>
                <a:t>×(∑10_𝑛▒(𝑊_𝑛 )(〖$𝑊〗_𝑛 )(〖𝐶𝑅𝐹〗_𝑃𝐷𝑂 ) )/𝑁</a:t>
              </a:r>
              <a:endParaRPr lang="en-US" sz="1050">
                <a:solidFill>
                  <a:schemeClr val="bg1">
                    <a:lumMod val="50000"/>
                  </a:schemeClr>
                </a:solidFill>
              </a:endParaRPr>
            </a:p>
          </xdr:txBody>
        </xdr:sp>
      </mc:Fallback>
    </mc:AlternateContent>
    <xdr:clientData/>
  </xdr:twoCellAnchor>
  <xdr:twoCellAnchor>
    <xdr:from>
      <xdr:col>9</xdr:col>
      <xdr:colOff>49696</xdr:colOff>
      <xdr:row>210</xdr:row>
      <xdr:rowOff>107675</xdr:rowOff>
    </xdr:from>
    <xdr:to>
      <xdr:col>15</xdr:col>
      <xdr:colOff>826604</xdr:colOff>
      <xdr:row>212</xdr:row>
      <xdr:rowOff>106017</xdr:rowOff>
    </xdr:to>
    <mc:AlternateContent xmlns:mc="http://schemas.openxmlformats.org/markup-compatibility/2006" xmlns:a14="http://schemas.microsoft.com/office/drawing/2010/main">
      <mc:Choice Requires="a14">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5284305" y="21534784"/>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𝑈𝐵</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110" name="TextBox 109">
              <a:extLst>
                <a:ext uri="{FF2B5EF4-FFF2-40B4-BE49-F238E27FC236}">
                  <a16:creationId xmlns:a16="http://schemas.microsoft.com/office/drawing/2014/main" id="{8AD7F40C-9642-4B2A-A119-18170F413E0C}"/>
                </a:ext>
              </a:extLst>
            </xdr:cNvPr>
            <xdr:cNvSpPr txBox="1"/>
          </xdr:nvSpPr>
          <xdr:spPr>
            <a:xfrm>
              <a:off x="5284305" y="21534784"/>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=∑10_𝑛▒〖𝑈𝐵〗_𝑛/(1+𝑖)^𝑛 </a:t>
              </a:r>
              <a:endParaRPr lang="en-US" sz="1050">
                <a:solidFill>
                  <a:schemeClr val="bg1">
                    <a:lumMod val="50000"/>
                  </a:schemeClr>
                </a:solidFill>
              </a:endParaRPr>
            </a:p>
          </xdr:txBody>
        </xdr:sp>
      </mc:Fallback>
    </mc:AlternateContent>
    <xdr:clientData/>
  </xdr:twoCellAnchor>
  <xdr:twoCellAnchor>
    <xdr:from>
      <xdr:col>9</xdr:col>
      <xdr:colOff>53009</xdr:colOff>
      <xdr:row>212</xdr:row>
      <xdr:rowOff>127554</xdr:rowOff>
    </xdr:from>
    <xdr:to>
      <xdr:col>15</xdr:col>
      <xdr:colOff>829917</xdr:colOff>
      <xdr:row>214</xdr:row>
      <xdr:rowOff>125896</xdr:rowOff>
    </xdr:to>
    <mc:AlternateContent xmlns:mc="http://schemas.openxmlformats.org/markup-compatibility/2006" xmlns:a14="http://schemas.microsoft.com/office/drawing/2010/main">
      <mc:Choice Requires="a14">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5287618" y="21935663"/>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𝑈𝐵</m:t>
                                </m:r>
                              </m:e>
                              <m:sub>
                                <m:r>
                                  <a:rPr lang="en-US" sz="1050" b="0" i="1">
                                    <a:solidFill>
                                      <a:schemeClr val="bg1">
                                        <a:lumMod val="50000"/>
                                      </a:schemeClr>
                                    </a:solidFill>
                                    <a:latin typeface="Cambria Math" panose="02040503050406030204" pitchFamily="18" charset="0"/>
                                  </a:rPr>
                                  <m:t>𝑊</m:t>
                                </m:r>
                                <m:r>
                                  <a:rPr lang="en-US" sz="1050" b="0" i="1">
                                    <a:solidFill>
                                      <a:schemeClr val="bg1">
                                        <a:lumMod val="50000"/>
                                      </a:schemeClr>
                                    </a:solidFill>
                                    <a:latin typeface="Cambria Math" panose="02040503050406030204" pitchFamily="18" charset="0"/>
                                  </a:rPr>
                                  <m:t>,</m:t>
                                </m:r>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111" name="TextBox 110">
              <a:extLst>
                <a:ext uri="{FF2B5EF4-FFF2-40B4-BE49-F238E27FC236}">
                  <a16:creationId xmlns:a16="http://schemas.microsoft.com/office/drawing/2014/main" id="{132981CD-8F27-42FC-AB50-7A1AEC95DCC4}"/>
                </a:ext>
              </a:extLst>
            </xdr:cNvPr>
            <xdr:cNvSpPr txBox="1"/>
          </xdr:nvSpPr>
          <xdr:spPr>
            <a:xfrm>
              <a:off x="5287618" y="21935663"/>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=∑10_𝑛▒〖𝑈𝐵〗_(𝑊,𝑛)/(1+𝑖)^𝑛 </a:t>
              </a:r>
              <a:endParaRPr lang="en-US" sz="1050">
                <a:solidFill>
                  <a:schemeClr val="bg1">
                    <a:lumMod val="50000"/>
                  </a:schemeClr>
                </a:solidFill>
              </a:endParaRPr>
            </a:p>
          </xdr:txBody>
        </xdr:sp>
      </mc:Fallback>
    </mc:AlternateContent>
    <xdr:clientData/>
  </xdr:twoCellAnchor>
  <xdr:twoCellAnchor>
    <xdr:from>
      <xdr:col>9</xdr:col>
      <xdr:colOff>66261</xdr:colOff>
      <xdr:row>222</xdr:row>
      <xdr:rowOff>124239</xdr:rowOff>
    </xdr:from>
    <xdr:to>
      <xdr:col>15</xdr:col>
      <xdr:colOff>843169</xdr:colOff>
      <xdr:row>224</xdr:row>
      <xdr:rowOff>122581</xdr:rowOff>
    </xdr:to>
    <mc:AlternateContent xmlns:mc="http://schemas.openxmlformats.org/markup-compatibility/2006" xmlns:a14="http://schemas.microsoft.com/office/drawing/2010/main">
      <mc:Choice Requires="a14">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5300870" y="23688261"/>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𝑈𝐶</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112" name="TextBox 111">
              <a:extLst>
                <a:ext uri="{FF2B5EF4-FFF2-40B4-BE49-F238E27FC236}">
                  <a16:creationId xmlns:a16="http://schemas.microsoft.com/office/drawing/2014/main" id="{CF110ADA-6DB1-4A47-95EB-882498CEDFF8}"/>
                </a:ext>
              </a:extLst>
            </xdr:cNvPr>
            <xdr:cNvSpPr txBox="1"/>
          </xdr:nvSpPr>
          <xdr:spPr>
            <a:xfrm>
              <a:off x="5300870" y="23688261"/>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=∑10_𝑛▒〖𝑈𝐶〗_𝑛/(1+𝑖)^𝑛 </a:t>
              </a:r>
              <a:endParaRPr lang="en-US" sz="1050">
                <a:solidFill>
                  <a:schemeClr val="bg1">
                    <a:lumMod val="50000"/>
                  </a:schemeClr>
                </a:solidFill>
              </a:endParaRPr>
            </a:p>
          </xdr:txBody>
        </xdr:sp>
      </mc:Fallback>
    </mc:AlternateContent>
    <xdr:clientData/>
  </xdr:twoCellAnchor>
  <xdr:twoCellAnchor>
    <xdr:from>
      <xdr:col>9</xdr:col>
      <xdr:colOff>70815</xdr:colOff>
      <xdr:row>224</xdr:row>
      <xdr:rowOff>121340</xdr:rowOff>
    </xdr:from>
    <xdr:to>
      <xdr:col>15</xdr:col>
      <xdr:colOff>847723</xdr:colOff>
      <xdr:row>227</xdr:row>
      <xdr:rowOff>3726</xdr:rowOff>
    </xdr:to>
    <mc:AlternateContent xmlns:mc="http://schemas.openxmlformats.org/markup-compatibility/2006" xmlns:a14="http://schemas.microsoft.com/office/drawing/2010/main">
      <mc:Choice Requires="a14">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5305424" y="24066362"/>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nary>
                      <m:naryPr>
                        <m:chr m:val="∑"/>
                        <m:limLoc m:val="subSup"/>
                        <m:supHide m:val="on"/>
                        <m:ctrlPr>
                          <a:rPr lang="en-US" sz="1050" b="0" i="1">
                            <a:solidFill>
                              <a:schemeClr val="bg1">
                                <a:lumMod val="50000"/>
                              </a:schemeClr>
                            </a:solidFill>
                            <a:latin typeface="Cambria Math" panose="02040503050406030204" pitchFamily="18" charset="0"/>
                          </a:rPr>
                        </m:ctrlPr>
                      </m:naryPr>
                      <m:sub>
                        <m:r>
                          <m:rPr>
                            <m:brk m:alnAt="9"/>
                          </m:rPr>
                          <a:rPr lang="en-US" sz="1050" b="0" i="1">
                            <a:solidFill>
                              <a:schemeClr val="bg1">
                                <a:lumMod val="50000"/>
                              </a:schemeClr>
                            </a:solidFill>
                            <a:latin typeface="Cambria Math" panose="02040503050406030204" pitchFamily="18" charset="0"/>
                          </a:rPr>
                          <m:t>𝑛</m:t>
                        </m:r>
                      </m:sub>
                      <m:sup/>
                      <m:e>
                        <m:f>
                          <m:fPr>
                            <m:ctrlPr>
                              <a:rPr lang="en-US" sz="1050" b="0" i="1">
                                <a:solidFill>
                                  <a:schemeClr val="bg1">
                                    <a:lumMod val="50000"/>
                                  </a:schemeClr>
                                </a:solidFill>
                                <a:latin typeface="Cambria Math" panose="02040503050406030204" pitchFamily="18" charset="0"/>
                              </a:rPr>
                            </m:ctrlPr>
                          </m:fPr>
                          <m:num>
                            <m:sSub>
                              <m:sSubPr>
                                <m:ctrlPr>
                                  <a:rPr lang="en-US" sz="1050" b="0" i="1">
                                    <a:solidFill>
                                      <a:schemeClr val="bg1">
                                        <a:lumMod val="50000"/>
                                      </a:schemeClr>
                                    </a:solidFill>
                                    <a:latin typeface="Cambria Math" panose="02040503050406030204" pitchFamily="18" charset="0"/>
                                  </a:rPr>
                                </m:ctrlPr>
                              </m:sSubPr>
                              <m:e>
                                <m:r>
                                  <a:rPr lang="en-US" sz="1050" b="0" i="1">
                                    <a:solidFill>
                                      <a:schemeClr val="bg1">
                                        <a:lumMod val="50000"/>
                                      </a:schemeClr>
                                    </a:solidFill>
                                    <a:latin typeface="Cambria Math" panose="02040503050406030204" pitchFamily="18" charset="0"/>
                                  </a:rPr>
                                  <m:t>𝑈𝑀</m:t>
                                </m:r>
                              </m:e>
                              <m:sub>
                                <m:r>
                                  <a:rPr lang="en-US" sz="1050" b="0" i="1">
                                    <a:solidFill>
                                      <a:schemeClr val="bg1">
                                        <a:lumMod val="50000"/>
                                      </a:schemeClr>
                                    </a:solidFill>
                                    <a:latin typeface="Cambria Math" panose="02040503050406030204" pitchFamily="18" charset="0"/>
                                  </a:rPr>
                                  <m:t>𝑛</m:t>
                                </m:r>
                              </m:sub>
                            </m:sSub>
                          </m:num>
                          <m:den>
                            <m:sSup>
                              <m:sSupPr>
                                <m:ctrlPr>
                                  <a:rPr lang="en-US" sz="1050" b="0" i="1">
                                    <a:solidFill>
                                      <a:schemeClr val="bg1">
                                        <a:lumMod val="50000"/>
                                      </a:schemeClr>
                                    </a:solidFill>
                                    <a:latin typeface="Cambria Math" panose="02040503050406030204" pitchFamily="18" charset="0"/>
                                  </a:rPr>
                                </m:ctrlPr>
                              </m:sSupPr>
                              <m:e>
                                <m:d>
                                  <m:dPr>
                                    <m:ctrlPr>
                                      <a:rPr lang="en-US" sz="1050" b="0" i="1">
                                        <a:solidFill>
                                          <a:schemeClr val="bg1">
                                            <a:lumMod val="50000"/>
                                          </a:schemeClr>
                                        </a:solidFill>
                                        <a:latin typeface="Cambria Math" panose="02040503050406030204" pitchFamily="18" charset="0"/>
                                      </a:rPr>
                                    </m:ctrlPr>
                                  </m:dPr>
                                  <m:e>
                                    <m:r>
                                      <a:rPr lang="en-US" sz="1050" b="0" i="1">
                                        <a:solidFill>
                                          <a:schemeClr val="bg1">
                                            <a:lumMod val="50000"/>
                                          </a:schemeClr>
                                        </a:solidFill>
                                        <a:latin typeface="Cambria Math" panose="02040503050406030204" pitchFamily="18" charset="0"/>
                                      </a:rPr>
                                      <m:t>1+</m:t>
                                    </m:r>
                                    <m:r>
                                      <a:rPr lang="en-US" sz="1050" b="0" i="1">
                                        <a:solidFill>
                                          <a:schemeClr val="bg1">
                                            <a:lumMod val="50000"/>
                                          </a:schemeClr>
                                        </a:solidFill>
                                        <a:latin typeface="Cambria Math" panose="02040503050406030204" pitchFamily="18" charset="0"/>
                                      </a:rPr>
                                      <m:t>𝑖</m:t>
                                    </m:r>
                                  </m:e>
                                </m:d>
                              </m:e>
                              <m:sup>
                                <m:r>
                                  <a:rPr lang="en-US" sz="1050" b="0" i="1">
                                    <a:solidFill>
                                      <a:schemeClr val="bg1">
                                        <a:lumMod val="50000"/>
                                      </a:schemeClr>
                                    </a:solidFill>
                                    <a:latin typeface="Cambria Math" panose="02040503050406030204" pitchFamily="18" charset="0"/>
                                  </a:rPr>
                                  <m:t>𝑛</m:t>
                                </m:r>
                              </m:sup>
                            </m:sSup>
                          </m:den>
                        </m:f>
                      </m:e>
                    </m:nary>
                  </m:oMath>
                </m:oMathPara>
              </a14:m>
              <a:endParaRPr lang="en-US" sz="1050">
                <a:solidFill>
                  <a:schemeClr val="bg1">
                    <a:lumMod val="50000"/>
                  </a:schemeClr>
                </a:solidFill>
              </a:endParaRPr>
            </a:p>
          </xdr:txBody>
        </xdr:sp>
      </mc:Choice>
      <mc:Fallback xmlns="">
        <xdr:sp macro="" textlink="">
          <xdr:nvSpPr>
            <xdr:cNvPr id="113" name="TextBox 112">
              <a:extLst>
                <a:ext uri="{FF2B5EF4-FFF2-40B4-BE49-F238E27FC236}">
                  <a16:creationId xmlns:a16="http://schemas.microsoft.com/office/drawing/2014/main" id="{C05562A3-0847-461C-BCD2-FE577F18D3B7}"/>
                </a:ext>
              </a:extLst>
            </xdr:cNvPr>
            <xdr:cNvSpPr txBox="1"/>
          </xdr:nvSpPr>
          <xdr:spPr>
            <a:xfrm>
              <a:off x="5305424" y="24066362"/>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=∑10_𝑛▒〖𝑈𝑀〗_𝑛/(1+𝑖)^𝑛 </a:t>
              </a:r>
              <a:endParaRPr lang="en-US" sz="1050">
                <a:solidFill>
                  <a:schemeClr val="bg1">
                    <a:lumMod val="50000"/>
                  </a:schemeClr>
                </a:solidFill>
              </a:endParaRPr>
            </a:p>
          </xdr:txBody>
        </xdr:sp>
      </mc:Fallback>
    </mc:AlternateContent>
    <xdr:clientData/>
  </xdr:twoCellAnchor>
  <xdr:twoCellAnchor>
    <xdr:from>
      <xdr:col>9</xdr:col>
      <xdr:colOff>74543</xdr:colOff>
      <xdr:row>228</xdr:row>
      <xdr:rowOff>99392</xdr:rowOff>
    </xdr:from>
    <xdr:to>
      <xdr:col>15</xdr:col>
      <xdr:colOff>851451</xdr:colOff>
      <xdr:row>230</xdr:row>
      <xdr:rowOff>97734</xdr:rowOff>
    </xdr:to>
    <mc:AlternateContent xmlns:mc="http://schemas.openxmlformats.org/markup-compatibility/2006" xmlns:a14="http://schemas.microsoft.com/office/drawing/2010/main">
      <mc:Choice Requires="a14">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5309152" y="24731870"/>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050" b="0" i="1">
                        <a:solidFill>
                          <a:schemeClr val="bg1">
                            <a:lumMod val="50000"/>
                          </a:schemeClr>
                        </a:solidFill>
                        <a:latin typeface="Cambria Math" panose="02040503050406030204" pitchFamily="18" charset="0"/>
                      </a:rPr>
                      <m:t>=</m:t>
                    </m:r>
                    <m:f>
                      <m:fPr>
                        <m:ctrlPr>
                          <a:rPr lang="en-US" sz="1050" b="0" i="1">
                            <a:solidFill>
                              <a:schemeClr val="bg1">
                                <a:lumMod val="50000"/>
                              </a:schemeClr>
                            </a:solidFill>
                            <a:latin typeface="Cambria Math" panose="02040503050406030204" pitchFamily="18" charset="0"/>
                          </a:rPr>
                        </m:ctrlPr>
                      </m:fPr>
                      <m:num>
                        <m:r>
                          <a:rPr lang="en-US" sz="1050" b="0" i="1">
                            <a:solidFill>
                              <a:schemeClr val="bg1">
                                <a:lumMod val="50000"/>
                              </a:schemeClr>
                            </a:solidFill>
                            <a:latin typeface="Cambria Math" panose="02040503050406030204" pitchFamily="18" charset="0"/>
                          </a:rPr>
                          <m:t>𝑇𝑜𝑡𝑎𝑙</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𝐷𝑖𝑠𝑐𝑜𝑢𝑛𝑡𝑒𝑑</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𝐵𝑒𝑛𝑒𝑓𝑖𝑡𝑠</m:t>
                        </m:r>
                      </m:num>
                      <m:den>
                        <m:r>
                          <a:rPr lang="en-US" sz="1050" b="0" i="1">
                            <a:solidFill>
                              <a:schemeClr val="bg1">
                                <a:lumMod val="50000"/>
                              </a:schemeClr>
                            </a:solidFill>
                            <a:latin typeface="Cambria Math" panose="02040503050406030204" pitchFamily="18" charset="0"/>
                          </a:rPr>
                          <m:t>𝑇𝑜𝑡𝑎𝑙</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𝐷𝑖𝑠𝑐𝑜𝑢𝑛𝑡𝑒𝑑</m:t>
                        </m:r>
                        <m:r>
                          <a:rPr lang="en-US" sz="1050" b="0" i="1">
                            <a:solidFill>
                              <a:schemeClr val="bg1">
                                <a:lumMod val="50000"/>
                              </a:schemeClr>
                            </a:solidFill>
                            <a:latin typeface="Cambria Math" panose="02040503050406030204" pitchFamily="18" charset="0"/>
                          </a:rPr>
                          <m:t> </m:t>
                        </m:r>
                        <m:r>
                          <a:rPr lang="en-US" sz="1050" b="0" i="1">
                            <a:solidFill>
                              <a:schemeClr val="bg1">
                                <a:lumMod val="50000"/>
                              </a:schemeClr>
                            </a:solidFill>
                            <a:latin typeface="Cambria Math" panose="02040503050406030204" pitchFamily="18" charset="0"/>
                          </a:rPr>
                          <m:t>𝐶𝑜𝑠𝑡𝑠</m:t>
                        </m:r>
                      </m:den>
                    </m:f>
                  </m:oMath>
                </m:oMathPara>
              </a14:m>
              <a:endParaRPr lang="en-US" sz="1050">
                <a:solidFill>
                  <a:schemeClr val="bg1">
                    <a:lumMod val="50000"/>
                  </a:schemeClr>
                </a:solidFill>
              </a:endParaRPr>
            </a:p>
          </xdr:txBody>
        </xdr:sp>
      </mc:Choice>
      <mc:Fallback xmlns="">
        <xdr:sp macro="" textlink="">
          <xdr:nvSpPr>
            <xdr:cNvPr id="114" name="TextBox 113">
              <a:extLst>
                <a:ext uri="{FF2B5EF4-FFF2-40B4-BE49-F238E27FC236}">
                  <a16:creationId xmlns:a16="http://schemas.microsoft.com/office/drawing/2014/main" id="{C6BFCB33-5F94-401C-B92F-01D3CFBDB92C}"/>
                </a:ext>
              </a:extLst>
            </xdr:cNvPr>
            <xdr:cNvSpPr txBox="1"/>
          </xdr:nvSpPr>
          <xdr:spPr>
            <a:xfrm>
              <a:off x="5309152" y="24731870"/>
              <a:ext cx="4851951" cy="3793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050" b="0" i="0">
                  <a:solidFill>
                    <a:schemeClr val="bg1">
                      <a:lumMod val="50000"/>
                    </a:schemeClr>
                  </a:solidFill>
                  <a:latin typeface="Cambria Math" panose="02040503050406030204" pitchFamily="18" charset="0"/>
                </a:rPr>
                <a:t>=(𝑇𝑜𝑡𝑎𝑙 𝐷𝑖𝑠𝑐𝑜𝑢𝑛𝑡𝑒𝑑 𝐵𝑒𝑛𝑒𝑓𝑖𝑡𝑠)/(𝑇𝑜𝑡𝑎𝑙 𝐷𝑖𝑠𝑐𝑜𝑢𝑛𝑡𝑒𝑑 𝐶𝑜𝑠𝑡𝑠)</a:t>
              </a:r>
              <a:endParaRPr lang="en-US" sz="1050">
                <a:solidFill>
                  <a:schemeClr val="bg1">
                    <a:lumMod val="50000"/>
                  </a:schemeClr>
                </a:solidFill>
              </a:endParaRPr>
            </a:p>
          </xdr:txBody>
        </xdr:sp>
      </mc:Fallback>
    </mc:AlternateContent>
    <xdr:clientData/>
  </xdr:twoCellAnchor>
  <mc:AlternateContent xmlns:mc="http://schemas.openxmlformats.org/markup-compatibility/2006">
    <mc:Choice xmlns:a14="http://schemas.microsoft.com/office/drawing/2010/main" Requires="a14">
      <xdr:twoCellAnchor>
        <xdr:from>
          <xdr:col>9</xdr:col>
          <xdr:colOff>85725</xdr:colOff>
          <xdr:row>144</xdr:row>
          <xdr:rowOff>9525</xdr:rowOff>
        </xdr:from>
        <xdr:to>
          <xdr:col>9</xdr:col>
          <xdr:colOff>1000125</xdr:colOff>
          <xdr:row>148</xdr:row>
          <xdr:rowOff>95250</xdr:rowOff>
        </xdr:to>
        <xdr:sp macro="" textlink="">
          <xdr:nvSpPr>
            <xdr:cNvPr id="1096" name="Object 72"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9</xdr:col>
          <xdr:colOff>76200</xdr:colOff>
          <xdr:row>215</xdr:row>
          <xdr:rowOff>95250</xdr:rowOff>
        </xdr:from>
        <xdr:to>
          <xdr:col>9</xdr:col>
          <xdr:colOff>990600</xdr:colOff>
          <xdr:row>220</xdr:row>
          <xdr:rowOff>66675</xdr:rowOff>
        </xdr:to>
        <xdr:sp macro="" textlink="">
          <xdr:nvSpPr>
            <xdr:cNvPr id="1097" name="Object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29</xdr:row>
          <xdr:rowOff>19050</xdr:rowOff>
        </xdr:from>
        <xdr:to>
          <xdr:col>9</xdr:col>
          <xdr:colOff>228600</xdr:colOff>
          <xdr:row>29</xdr:row>
          <xdr:rowOff>209550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Manually enter CRF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504825</xdr:colOff>
          <xdr:row>7</xdr:row>
          <xdr:rowOff>180975</xdr:rowOff>
        </xdr:from>
        <xdr:to>
          <xdr:col>9</xdr:col>
          <xdr:colOff>942975</xdr:colOff>
          <xdr:row>8</xdr:row>
          <xdr:rowOff>228600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Manually enter estimated cost(s)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83127</xdr:colOff>
          <xdr:row>64</xdr:row>
          <xdr:rowOff>46760</xdr:rowOff>
        </xdr:from>
        <xdr:to>
          <xdr:col>4</xdr:col>
          <xdr:colOff>865909</xdr:colOff>
          <xdr:row>64</xdr:row>
          <xdr:rowOff>233796</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View Calculations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84859</xdr:colOff>
          <xdr:row>110</xdr:row>
          <xdr:rowOff>49357</xdr:rowOff>
        </xdr:from>
        <xdr:to>
          <xdr:col>4</xdr:col>
          <xdr:colOff>857250</xdr:colOff>
          <xdr:row>110</xdr:row>
          <xdr:rowOff>260638</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View Calculations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87457</xdr:colOff>
          <xdr:row>181</xdr:row>
          <xdr:rowOff>50223</xdr:rowOff>
        </xdr:from>
        <xdr:to>
          <xdr:col>4</xdr:col>
          <xdr:colOff>848591</xdr:colOff>
          <xdr:row>181</xdr:row>
          <xdr:rowOff>261504</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Segoe UI"/>
                  <a:cs typeface="Segoe UI"/>
                </a:rPr>
                <a:t>View Calculations</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ctrlProp" Target="../ctrlProps/ctrlProp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ctrlProp" Target="../ctrlProps/ctrlProp5.xml"/><Relationship Id="rId5" Type="http://schemas.openxmlformats.org/officeDocument/2006/relationships/image" Target="../media/image1.emf"/><Relationship Id="rId10" Type="http://schemas.openxmlformats.org/officeDocument/2006/relationships/ctrlProp" Target="../ctrlProps/ctrlProp4.xml"/><Relationship Id="rId4" Type="http://schemas.openxmlformats.org/officeDocument/2006/relationships/oleObject" Target="../embeddings/oleObject1.bin"/><Relationship Id="rId9"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EA235"/>
  <sheetViews>
    <sheetView showGridLines="0" tabSelected="1" zoomScale="110" zoomScaleNormal="110" workbookViewId="0">
      <pane ySplit="3" topLeftCell="A4" activePane="bottomLeft" state="frozen"/>
      <selection pane="bottomLeft" activeCell="J6" sqref="J6"/>
    </sheetView>
  </sheetViews>
  <sheetFormatPr defaultColWidth="0" defaultRowHeight="15" zeroHeight="1" x14ac:dyDescent="0.25"/>
  <cols>
    <col min="1" max="1" width="4" style="57" customWidth="1"/>
    <col min="2" max="2" width="11.7109375" style="120" customWidth="1"/>
    <col min="3" max="3" width="1.7109375" style="157" customWidth="1"/>
    <col min="4" max="4" width="2.5703125" style="120" customWidth="1"/>
    <col min="5" max="6" width="17.7109375" style="119" customWidth="1"/>
    <col min="7" max="7" width="2.5703125" style="119" customWidth="1"/>
    <col min="8" max="8" width="17.7109375" style="120" customWidth="1"/>
    <col min="9" max="9" width="2.5703125" style="119" customWidth="1"/>
    <col min="10" max="10" width="17.7109375" style="120" customWidth="1"/>
    <col min="11" max="11" width="2.5703125" style="119" customWidth="1"/>
    <col min="12" max="12" width="17.7109375" style="120" customWidth="1"/>
    <col min="13" max="13" width="2.5703125" style="119" customWidth="1"/>
    <col min="14" max="14" width="17.7109375" style="120" customWidth="1"/>
    <col min="15" max="15" width="2.5703125" style="119" customWidth="1"/>
    <col min="16" max="16" width="17.7109375" style="120" customWidth="1"/>
    <col min="17" max="17" width="2.5703125" style="119" customWidth="1"/>
    <col min="18" max="18" width="17.7109375" style="120" customWidth="1"/>
    <col min="19" max="19" width="2.5703125" style="119" customWidth="1"/>
    <col min="20" max="20" width="17.7109375" style="120" customWidth="1"/>
    <col min="21" max="21" width="4" style="57" customWidth="1"/>
    <col min="22" max="23" width="6.85546875" style="58" hidden="1" customWidth="1"/>
    <col min="24" max="24" width="22" style="52" hidden="1" customWidth="1"/>
    <col min="25" max="16384" width="16.28515625" style="52" hidden="1"/>
  </cols>
  <sheetData>
    <row r="1" spans="1:131" x14ac:dyDescent="0.25">
      <c r="B1" s="191" t="s">
        <v>66</v>
      </c>
      <c r="C1" s="191"/>
      <c r="D1" s="191"/>
      <c r="E1" s="191"/>
      <c r="F1" s="191"/>
      <c r="G1" s="191"/>
      <c r="H1" s="191"/>
      <c r="I1" s="191"/>
      <c r="J1" s="191"/>
      <c r="K1" s="191"/>
      <c r="L1" s="191"/>
      <c r="M1" s="191"/>
      <c r="N1" s="191"/>
      <c r="O1" s="191"/>
      <c r="P1" s="191"/>
      <c r="Q1" s="191"/>
      <c r="R1" s="191"/>
    </row>
    <row r="2" spans="1:131" ht="15" customHeight="1" x14ac:dyDescent="0.35">
      <c r="B2" s="191"/>
      <c r="C2" s="191"/>
      <c r="D2" s="191"/>
      <c r="E2" s="191"/>
      <c r="F2" s="191"/>
      <c r="G2" s="191"/>
      <c r="H2" s="191"/>
      <c r="I2" s="191"/>
      <c r="J2" s="191"/>
      <c r="K2" s="191"/>
      <c r="L2" s="191"/>
      <c r="M2" s="191"/>
      <c r="N2" s="191"/>
      <c r="O2" s="191"/>
      <c r="P2" s="191"/>
      <c r="Q2" s="191"/>
      <c r="R2" s="191"/>
      <c r="S2" s="51"/>
      <c r="T2" s="121" t="s">
        <v>124</v>
      </c>
    </row>
    <row r="3" spans="1:131" s="159" customFormat="1" ht="45" customHeight="1" thickBot="1" x14ac:dyDescent="0.3">
      <c r="A3" s="104"/>
      <c r="B3" s="218" t="s">
        <v>121</v>
      </c>
      <c r="C3" s="218"/>
      <c r="D3" s="218"/>
      <c r="E3" s="218"/>
      <c r="F3" s="218"/>
      <c r="G3" s="218"/>
      <c r="H3" s="218"/>
      <c r="I3" s="218"/>
      <c r="J3" s="218"/>
      <c r="K3" s="218"/>
      <c r="L3" s="218"/>
      <c r="M3" s="218"/>
      <c r="N3" s="218"/>
      <c r="O3" s="218"/>
      <c r="P3" s="218"/>
      <c r="Q3" s="218"/>
      <c r="R3" s="218"/>
      <c r="S3" s="218"/>
      <c r="T3" s="218"/>
      <c r="U3" s="104"/>
      <c r="V3" s="158"/>
      <c r="W3" s="158"/>
    </row>
    <row r="4" spans="1:131" ht="6" customHeight="1" x14ac:dyDescent="0.25">
      <c r="B4" s="197" t="s">
        <v>85</v>
      </c>
      <c r="C4" s="69"/>
      <c r="D4" s="122"/>
      <c r="E4" s="70"/>
      <c r="F4" s="123"/>
      <c r="G4" s="123"/>
      <c r="H4" s="122"/>
      <c r="I4" s="123"/>
      <c r="J4" s="122"/>
      <c r="K4" s="123"/>
      <c r="L4" s="122"/>
      <c r="M4" s="123"/>
      <c r="N4" s="122"/>
      <c r="O4" s="123"/>
      <c r="P4" s="122"/>
      <c r="Q4" s="123"/>
      <c r="R4" s="122"/>
      <c r="S4" s="123"/>
      <c r="T4" s="122"/>
    </row>
    <row r="5" spans="1:131" ht="18.75" x14ac:dyDescent="0.3">
      <c r="B5" s="198"/>
      <c r="C5" s="61"/>
      <c r="D5" s="71" t="s">
        <v>54</v>
      </c>
      <c r="E5" s="72"/>
      <c r="F5" s="91"/>
      <c r="G5" s="91"/>
      <c r="H5" s="102"/>
      <c r="I5" s="91"/>
      <c r="J5" s="102"/>
      <c r="K5" s="91"/>
      <c r="L5" s="102"/>
      <c r="M5" s="91"/>
      <c r="N5" s="102"/>
      <c r="O5" s="91"/>
      <c r="P5" s="102"/>
      <c r="Q5" s="91"/>
      <c r="R5" s="102"/>
      <c r="S5" s="91"/>
      <c r="T5" s="102"/>
      <c r="V5" s="58">
        <v>1</v>
      </c>
    </row>
    <row r="6" spans="1:131" x14ac:dyDescent="0.25">
      <c r="B6" s="198"/>
      <c r="C6" s="61"/>
      <c r="D6" s="102"/>
      <c r="E6" s="219" t="s">
        <v>57</v>
      </c>
      <c r="F6" s="219"/>
      <c r="G6" s="219"/>
      <c r="H6" s="219"/>
      <c r="I6" s="219"/>
      <c r="J6" s="81"/>
      <c r="K6" s="221" t="s">
        <v>58</v>
      </c>
      <c r="L6" s="221"/>
      <c r="M6" s="221"/>
      <c r="N6" s="80"/>
      <c r="O6" s="202" t="s">
        <v>59</v>
      </c>
      <c r="P6" s="202"/>
      <c r="Q6" s="202"/>
      <c r="R6" s="80"/>
      <c r="S6" s="91" t="s">
        <v>56</v>
      </c>
      <c r="T6" s="102"/>
      <c r="W6" s="58">
        <f>ROW()</f>
        <v>6</v>
      </c>
      <c r="X6" s="52" t="s">
        <v>89</v>
      </c>
      <c r="Y6" s="124">
        <f>IF(N27="one (1) year",0,1)</f>
        <v>1</v>
      </c>
      <c r="Z6" s="124">
        <f>Y6+1</f>
        <v>2</v>
      </c>
      <c r="AA6" s="124">
        <f t="shared" ref="AA6:BD6" si="0">Z6+1</f>
        <v>3</v>
      </c>
      <c r="AB6" s="124">
        <f t="shared" si="0"/>
        <v>4</v>
      </c>
      <c r="AC6" s="124">
        <f t="shared" si="0"/>
        <v>5</v>
      </c>
      <c r="AD6" s="124">
        <f t="shared" si="0"/>
        <v>6</v>
      </c>
      <c r="AE6" s="124">
        <f t="shared" si="0"/>
        <v>7</v>
      </c>
      <c r="AF6" s="124">
        <f t="shared" si="0"/>
        <v>8</v>
      </c>
      <c r="AG6" s="124">
        <f t="shared" si="0"/>
        <v>9</v>
      </c>
      <c r="AH6" s="124">
        <f t="shared" si="0"/>
        <v>10</v>
      </c>
      <c r="AI6" s="124">
        <f t="shared" si="0"/>
        <v>11</v>
      </c>
      <c r="AJ6" s="124">
        <f t="shared" si="0"/>
        <v>12</v>
      </c>
      <c r="AK6" s="124">
        <f t="shared" si="0"/>
        <v>13</v>
      </c>
      <c r="AL6" s="124">
        <f t="shared" si="0"/>
        <v>14</v>
      </c>
      <c r="AM6" s="124">
        <f t="shared" si="0"/>
        <v>15</v>
      </c>
      <c r="AN6" s="124">
        <f t="shared" si="0"/>
        <v>16</v>
      </c>
      <c r="AO6" s="124">
        <f t="shared" si="0"/>
        <v>17</v>
      </c>
      <c r="AP6" s="124">
        <f t="shared" si="0"/>
        <v>18</v>
      </c>
      <c r="AQ6" s="124">
        <f t="shared" si="0"/>
        <v>19</v>
      </c>
      <c r="AR6" s="124">
        <f t="shared" si="0"/>
        <v>20</v>
      </c>
      <c r="AS6" s="124">
        <f t="shared" si="0"/>
        <v>21</v>
      </c>
      <c r="AT6" s="124">
        <f t="shared" si="0"/>
        <v>22</v>
      </c>
      <c r="AU6" s="124">
        <f t="shared" si="0"/>
        <v>23</v>
      </c>
      <c r="AV6" s="124">
        <f t="shared" si="0"/>
        <v>24</v>
      </c>
      <c r="AW6" s="124">
        <f t="shared" si="0"/>
        <v>25</v>
      </c>
      <c r="AX6" s="124">
        <f t="shared" si="0"/>
        <v>26</v>
      </c>
      <c r="AY6" s="124">
        <f t="shared" si="0"/>
        <v>27</v>
      </c>
      <c r="AZ6" s="124">
        <f t="shared" si="0"/>
        <v>28</v>
      </c>
      <c r="BA6" s="124">
        <f t="shared" si="0"/>
        <v>29</v>
      </c>
      <c r="BB6" s="124">
        <f t="shared" si="0"/>
        <v>30</v>
      </c>
      <c r="BC6" s="124">
        <f t="shared" si="0"/>
        <v>31</v>
      </c>
      <c r="BD6" s="124">
        <f t="shared" si="0"/>
        <v>32</v>
      </c>
      <c r="BH6" s="124">
        <f>BD6+1</f>
        <v>33</v>
      </c>
      <c r="BI6" s="124">
        <f>BH6+1</f>
        <v>34</v>
      </c>
      <c r="BJ6" s="124">
        <f t="shared" ref="BJ6:DU6" si="1">BI6+1</f>
        <v>35</v>
      </c>
      <c r="BK6" s="124">
        <f t="shared" si="1"/>
        <v>36</v>
      </c>
      <c r="BL6" s="124">
        <f t="shared" si="1"/>
        <v>37</v>
      </c>
      <c r="BM6" s="124">
        <f t="shared" si="1"/>
        <v>38</v>
      </c>
      <c r="BN6" s="124">
        <f t="shared" si="1"/>
        <v>39</v>
      </c>
      <c r="BO6" s="124">
        <f t="shared" si="1"/>
        <v>40</v>
      </c>
      <c r="BP6" s="124">
        <f t="shared" si="1"/>
        <v>41</v>
      </c>
      <c r="BQ6" s="124">
        <f t="shared" si="1"/>
        <v>42</v>
      </c>
      <c r="BR6" s="124">
        <f t="shared" si="1"/>
        <v>43</v>
      </c>
      <c r="BS6" s="124">
        <f t="shared" si="1"/>
        <v>44</v>
      </c>
      <c r="BT6" s="124">
        <f t="shared" si="1"/>
        <v>45</v>
      </c>
      <c r="BU6" s="124">
        <f t="shared" si="1"/>
        <v>46</v>
      </c>
      <c r="BV6" s="124">
        <f t="shared" si="1"/>
        <v>47</v>
      </c>
      <c r="BW6" s="124">
        <f t="shared" si="1"/>
        <v>48</v>
      </c>
      <c r="BX6" s="124">
        <f t="shared" si="1"/>
        <v>49</v>
      </c>
      <c r="BY6" s="124">
        <f t="shared" si="1"/>
        <v>50</v>
      </c>
      <c r="BZ6" s="124">
        <f t="shared" si="1"/>
        <v>51</v>
      </c>
      <c r="CA6" s="124">
        <f t="shared" si="1"/>
        <v>52</v>
      </c>
      <c r="CB6" s="124">
        <f t="shared" si="1"/>
        <v>53</v>
      </c>
      <c r="CC6" s="124">
        <f t="shared" si="1"/>
        <v>54</v>
      </c>
      <c r="CD6" s="124">
        <f t="shared" si="1"/>
        <v>55</v>
      </c>
      <c r="CE6" s="124">
        <f t="shared" si="1"/>
        <v>56</v>
      </c>
      <c r="CF6" s="124">
        <f t="shared" si="1"/>
        <v>57</v>
      </c>
      <c r="CG6" s="124">
        <f t="shared" si="1"/>
        <v>58</v>
      </c>
      <c r="CH6" s="124">
        <f t="shared" si="1"/>
        <v>59</v>
      </c>
      <c r="CI6" s="124">
        <f t="shared" si="1"/>
        <v>60</v>
      </c>
      <c r="CJ6" s="124">
        <f t="shared" si="1"/>
        <v>61</v>
      </c>
      <c r="CK6" s="124">
        <f t="shared" si="1"/>
        <v>62</v>
      </c>
      <c r="CL6" s="124">
        <f t="shared" si="1"/>
        <v>63</v>
      </c>
      <c r="CM6" s="124">
        <f t="shared" si="1"/>
        <v>64</v>
      </c>
      <c r="CN6" s="124">
        <f t="shared" si="1"/>
        <v>65</v>
      </c>
      <c r="CO6" s="124">
        <f t="shared" si="1"/>
        <v>66</v>
      </c>
      <c r="CP6" s="124">
        <f t="shared" si="1"/>
        <v>67</v>
      </c>
      <c r="CQ6" s="124">
        <f t="shared" si="1"/>
        <v>68</v>
      </c>
      <c r="CR6" s="124">
        <f t="shared" si="1"/>
        <v>69</v>
      </c>
      <c r="CS6" s="124">
        <f t="shared" si="1"/>
        <v>70</v>
      </c>
      <c r="CT6" s="124">
        <f t="shared" si="1"/>
        <v>71</v>
      </c>
      <c r="CU6" s="124">
        <f t="shared" si="1"/>
        <v>72</v>
      </c>
      <c r="CV6" s="124">
        <f t="shared" si="1"/>
        <v>73</v>
      </c>
      <c r="CW6" s="124">
        <f t="shared" si="1"/>
        <v>74</v>
      </c>
      <c r="CX6" s="124">
        <f t="shared" si="1"/>
        <v>75</v>
      </c>
      <c r="CY6" s="124">
        <f t="shared" si="1"/>
        <v>76</v>
      </c>
      <c r="CZ6" s="124">
        <f t="shared" si="1"/>
        <v>77</v>
      </c>
      <c r="DA6" s="124">
        <f t="shared" si="1"/>
        <v>78</v>
      </c>
      <c r="DB6" s="124">
        <f t="shared" si="1"/>
        <v>79</v>
      </c>
      <c r="DC6" s="124">
        <f t="shared" si="1"/>
        <v>80</v>
      </c>
      <c r="DD6" s="124">
        <f t="shared" si="1"/>
        <v>81</v>
      </c>
      <c r="DE6" s="124">
        <f t="shared" si="1"/>
        <v>82</v>
      </c>
      <c r="DF6" s="124">
        <f t="shared" si="1"/>
        <v>83</v>
      </c>
      <c r="DG6" s="124">
        <f t="shared" si="1"/>
        <v>84</v>
      </c>
      <c r="DH6" s="124">
        <f t="shared" si="1"/>
        <v>85</v>
      </c>
      <c r="DI6" s="124">
        <f t="shared" si="1"/>
        <v>86</v>
      </c>
      <c r="DJ6" s="124">
        <f t="shared" si="1"/>
        <v>87</v>
      </c>
      <c r="DK6" s="124">
        <f t="shared" si="1"/>
        <v>88</v>
      </c>
      <c r="DL6" s="124">
        <f t="shared" si="1"/>
        <v>89</v>
      </c>
      <c r="DM6" s="124">
        <f t="shared" si="1"/>
        <v>90</v>
      </c>
      <c r="DN6" s="124">
        <f t="shared" si="1"/>
        <v>91</v>
      </c>
      <c r="DO6" s="124">
        <f t="shared" si="1"/>
        <v>92</v>
      </c>
      <c r="DP6" s="124">
        <f t="shared" si="1"/>
        <v>93</v>
      </c>
      <c r="DQ6" s="124">
        <f t="shared" si="1"/>
        <v>94</v>
      </c>
      <c r="DR6" s="124">
        <f t="shared" si="1"/>
        <v>95</v>
      </c>
      <c r="DS6" s="124">
        <f t="shared" si="1"/>
        <v>96</v>
      </c>
      <c r="DT6" s="124">
        <f t="shared" si="1"/>
        <v>97</v>
      </c>
      <c r="DU6" s="124">
        <f t="shared" si="1"/>
        <v>98</v>
      </c>
      <c r="DV6" s="124">
        <f t="shared" ref="DV6:DY6" si="2">DU6+1</f>
        <v>99</v>
      </c>
      <c r="DW6" s="124">
        <f t="shared" si="2"/>
        <v>100</v>
      </c>
      <c r="DX6" s="124">
        <f t="shared" si="2"/>
        <v>101</v>
      </c>
      <c r="DY6" s="124">
        <f t="shared" si="2"/>
        <v>102</v>
      </c>
      <c r="DZ6" s="124"/>
    </row>
    <row r="7" spans="1:131" ht="6" customHeight="1" x14ac:dyDescent="0.25">
      <c r="B7" s="198"/>
      <c r="C7" s="61"/>
      <c r="D7" s="102"/>
      <c r="E7" s="125"/>
      <c r="F7" s="126"/>
      <c r="G7" s="127"/>
      <c r="H7" s="127"/>
      <c r="I7" s="128"/>
      <c r="J7" s="128"/>
      <c r="K7" s="127"/>
      <c r="L7" s="127"/>
      <c r="M7" s="127"/>
      <c r="N7" s="128"/>
      <c r="O7" s="129"/>
      <c r="P7" s="129"/>
      <c r="Q7" s="129"/>
      <c r="R7" s="128"/>
      <c r="S7" s="91"/>
      <c r="T7" s="102"/>
    </row>
    <row r="8" spans="1:131" x14ac:dyDescent="0.25">
      <c r="B8" s="198"/>
      <c r="C8" s="61"/>
      <c r="D8" s="102"/>
      <c r="E8" s="126"/>
      <c r="F8" s="126"/>
      <c r="G8" s="126"/>
      <c r="H8" s="130"/>
      <c r="I8" s="126"/>
      <c r="J8" s="130"/>
      <c r="K8" s="126"/>
      <c r="L8" s="130"/>
      <c r="M8" s="126"/>
      <c r="N8" s="130"/>
      <c r="O8" s="91"/>
      <c r="P8" s="102"/>
      <c r="Q8" s="91"/>
      <c r="R8" s="102"/>
      <c r="S8" s="91"/>
      <c r="T8" s="102"/>
      <c r="W8" s="58">
        <f>ROW()</f>
        <v>8</v>
      </c>
      <c r="X8" s="52" t="s">
        <v>88</v>
      </c>
      <c r="Y8" s="124"/>
      <c r="Z8" s="124"/>
      <c r="AA8" s="124">
        <v>1</v>
      </c>
      <c r="AB8" s="124">
        <v>2</v>
      </c>
      <c r="AC8" s="124">
        <v>3</v>
      </c>
      <c r="AD8" s="124">
        <v>4</v>
      </c>
      <c r="AE8" s="124">
        <v>5</v>
      </c>
      <c r="AF8" s="124">
        <v>6</v>
      </c>
      <c r="AG8" s="124">
        <v>7</v>
      </c>
      <c r="AH8" s="124">
        <v>8</v>
      </c>
      <c r="AI8" s="124">
        <v>9</v>
      </c>
      <c r="AJ8" s="124">
        <v>10</v>
      </c>
      <c r="AK8" s="124">
        <v>11</v>
      </c>
      <c r="AL8" s="124">
        <v>12</v>
      </c>
      <c r="AM8" s="124">
        <v>13</v>
      </c>
      <c r="AN8" s="124">
        <v>14</v>
      </c>
      <c r="AO8" s="124">
        <v>15</v>
      </c>
      <c r="AP8" s="124">
        <v>16</v>
      </c>
      <c r="AQ8" s="124">
        <v>17</v>
      </c>
      <c r="AR8" s="124">
        <v>18</v>
      </c>
      <c r="AS8" s="124">
        <v>19</v>
      </c>
      <c r="AT8" s="124">
        <v>20</v>
      </c>
      <c r="AU8" s="124">
        <v>21</v>
      </c>
      <c r="AV8" s="124">
        <v>22</v>
      </c>
      <c r="AW8" s="124">
        <v>23</v>
      </c>
      <c r="AX8" s="124">
        <v>24</v>
      </c>
      <c r="AY8" s="124">
        <v>25</v>
      </c>
      <c r="AZ8" s="124">
        <v>26</v>
      </c>
      <c r="BA8" s="124">
        <v>27</v>
      </c>
      <c r="BB8" s="124">
        <v>28</v>
      </c>
      <c r="BC8" s="124">
        <v>29</v>
      </c>
      <c r="BD8" s="124">
        <v>30</v>
      </c>
      <c r="BH8" s="124">
        <f>BD8+1</f>
        <v>31</v>
      </c>
      <c r="BI8" s="124">
        <f>BH8+1</f>
        <v>32</v>
      </c>
      <c r="BJ8" s="124">
        <f t="shared" ref="BJ8:DU8" si="3">BI8+1</f>
        <v>33</v>
      </c>
      <c r="BK8" s="124">
        <f t="shared" si="3"/>
        <v>34</v>
      </c>
      <c r="BL8" s="124">
        <f t="shared" si="3"/>
        <v>35</v>
      </c>
      <c r="BM8" s="124">
        <f t="shared" si="3"/>
        <v>36</v>
      </c>
      <c r="BN8" s="124">
        <f t="shared" si="3"/>
        <v>37</v>
      </c>
      <c r="BO8" s="124">
        <f t="shared" si="3"/>
        <v>38</v>
      </c>
      <c r="BP8" s="124">
        <f t="shared" si="3"/>
        <v>39</v>
      </c>
      <c r="BQ8" s="124">
        <f t="shared" si="3"/>
        <v>40</v>
      </c>
      <c r="BR8" s="124">
        <f t="shared" si="3"/>
        <v>41</v>
      </c>
      <c r="BS8" s="124">
        <f t="shared" si="3"/>
        <v>42</v>
      </c>
      <c r="BT8" s="124">
        <f t="shared" si="3"/>
        <v>43</v>
      </c>
      <c r="BU8" s="124">
        <f t="shared" si="3"/>
        <v>44</v>
      </c>
      <c r="BV8" s="124">
        <f t="shared" si="3"/>
        <v>45</v>
      </c>
      <c r="BW8" s="124">
        <f t="shared" si="3"/>
        <v>46</v>
      </c>
      <c r="BX8" s="124">
        <f t="shared" si="3"/>
        <v>47</v>
      </c>
      <c r="BY8" s="124">
        <f t="shared" si="3"/>
        <v>48</v>
      </c>
      <c r="BZ8" s="124">
        <f t="shared" si="3"/>
        <v>49</v>
      </c>
      <c r="CA8" s="124">
        <f t="shared" si="3"/>
        <v>50</v>
      </c>
      <c r="CB8" s="124">
        <f t="shared" si="3"/>
        <v>51</v>
      </c>
      <c r="CC8" s="124">
        <f t="shared" si="3"/>
        <v>52</v>
      </c>
      <c r="CD8" s="124">
        <f t="shared" si="3"/>
        <v>53</v>
      </c>
      <c r="CE8" s="124">
        <f t="shared" si="3"/>
        <v>54</v>
      </c>
      <c r="CF8" s="124">
        <f t="shared" si="3"/>
        <v>55</v>
      </c>
      <c r="CG8" s="124">
        <f t="shared" si="3"/>
        <v>56</v>
      </c>
      <c r="CH8" s="124">
        <f t="shared" si="3"/>
        <v>57</v>
      </c>
      <c r="CI8" s="124">
        <f t="shared" si="3"/>
        <v>58</v>
      </c>
      <c r="CJ8" s="124">
        <f t="shared" si="3"/>
        <v>59</v>
      </c>
      <c r="CK8" s="124">
        <f t="shared" si="3"/>
        <v>60</v>
      </c>
      <c r="CL8" s="124">
        <f t="shared" si="3"/>
        <v>61</v>
      </c>
      <c r="CM8" s="124">
        <f t="shared" si="3"/>
        <v>62</v>
      </c>
      <c r="CN8" s="124">
        <f t="shared" si="3"/>
        <v>63</v>
      </c>
      <c r="CO8" s="124">
        <f t="shared" si="3"/>
        <v>64</v>
      </c>
      <c r="CP8" s="124">
        <f t="shared" si="3"/>
        <v>65</v>
      </c>
      <c r="CQ8" s="124">
        <f t="shared" si="3"/>
        <v>66</v>
      </c>
      <c r="CR8" s="124">
        <f t="shared" si="3"/>
        <v>67</v>
      </c>
      <c r="CS8" s="124">
        <f t="shared" si="3"/>
        <v>68</v>
      </c>
      <c r="CT8" s="124">
        <f t="shared" si="3"/>
        <v>69</v>
      </c>
      <c r="CU8" s="124">
        <f t="shared" si="3"/>
        <v>70</v>
      </c>
      <c r="CV8" s="124">
        <f t="shared" si="3"/>
        <v>71</v>
      </c>
      <c r="CW8" s="124">
        <f t="shared" si="3"/>
        <v>72</v>
      </c>
      <c r="CX8" s="124">
        <f t="shared" si="3"/>
        <v>73</v>
      </c>
      <c r="CY8" s="124">
        <f t="shared" si="3"/>
        <v>74</v>
      </c>
      <c r="CZ8" s="124">
        <f t="shared" si="3"/>
        <v>75</v>
      </c>
      <c r="DA8" s="124">
        <f t="shared" si="3"/>
        <v>76</v>
      </c>
      <c r="DB8" s="124">
        <f t="shared" si="3"/>
        <v>77</v>
      </c>
      <c r="DC8" s="124">
        <f t="shared" si="3"/>
        <v>78</v>
      </c>
      <c r="DD8" s="124">
        <f t="shared" si="3"/>
        <v>79</v>
      </c>
      <c r="DE8" s="124">
        <f t="shared" si="3"/>
        <v>80</v>
      </c>
      <c r="DF8" s="124">
        <f t="shared" si="3"/>
        <v>81</v>
      </c>
      <c r="DG8" s="124">
        <f t="shared" si="3"/>
        <v>82</v>
      </c>
      <c r="DH8" s="124">
        <f t="shared" si="3"/>
        <v>83</v>
      </c>
      <c r="DI8" s="124">
        <f t="shared" si="3"/>
        <v>84</v>
      </c>
      <c r="DJ8" s="124">
        <f t="shared" si="3"/>
        <v>85</v>
      </c>
      <c r="DK8" s="124">
        <f t="shared" si="3"/>
        <v>86</v>
      </c>
      <c r="DL8" s="124">
        <f t="shared" si="3"/>
        <v>87</v>
      </c>
      <c r="DM8" s="124">
        <f t="shared" si="3"/>
        <v>88</v>
      </c>
      <c r="DN8" s="124">
        <f t="shared" si="3"/>
        <v>89</v>
      </c>
      <c r="DO8" s="124">
        <f t="shared" si="3"/>
        <v>90</v>
      </c>
      <c r="DP8" s="124">
        <f t="shared" si="3"/>
        <v>91</v>
      </c>
      <c r="DQ8" s="124">
        <f t="shared" si="3"/>
        <v>92</v>
      </c>
      <c r="DR8" s="124">
        <f t="shared" si="3"/>
        <v>93</v>
      </c>
      <c r="DS8" s="124">
        <f t="shared" si="3"/>
        <v>94</v>
      </c>
      <c r="DT8" s="124">
        <f t="shared" si="3"/>
        <v>95</v>
      </c>
      <c r="DU8" s="124">
        <f t="shared" si="3"/>
        <v>96</v>
      </c>
      <c r="DV8" s="124">
        <f t="shared" ref="DV8:DY8" si="4">DU8+1</f>
        <v>97</v>
      </c>
      <c r="DW8" s="124">
        <f t="shared" si="4"/>
        <v>98</v>
      </c>
      <c r="DX8" s="124">
        <f t="shared" si="4"/>
        <v>99</v>
      </c>
      <c r="DY8" s="124">
        <f t="shared" si="4"/>
        <v>100</v>
      </c>
      <c r="DZ8" s="124"/>
    </row>
    <row r="9" spans="1:131" ht="18.75" x14ac:dyDescent="0.3">
      <c r="B9" s="198"/>
      <c r="C9" s="61"/>
      <c r="D9" s="59" t="s">
        <v>55</v>
      </c>
      <c r="E9" s="53"/>
      <c r="F9" s="126"/>
      <c r="G9" s="126"/>
      <c r="H9" s="130"/>
      <c r="I9" s="126"/>
      <c r="J9" s="130"/>
      <c r="K9" s="126"/>
      <c r="L9" s="130"/>
      <c r="M9" s="126"/>
      <c r="N9" s="130"/>
      <c r="O9" s="91"/>
      <c r="P9" s="102"/>
      <c r="Q9" s="91"/>
      <c r="R9" s="102"/>
      <c r="S9" s="91"/>
      <c r="T9" s="102"/>
      <c r="V9" s="58">
        <v>1</v>
      </c>
      <c r="X9" s="224" t="s">
        <v>93</v>
      </c>
      <c r="Y9" s="192">
        <f>IF(Y6=0,"",I27)</f>
        <v>0</v>
      </c>
      <c r="Z9" s="192">
        <f>IF(Y9="",I27,Y9+1)</f>
        <v>1</v>
      </c>
      <c r="AA9" s="192">
        <f t="shared" ref="AA9:BD9" si="5">Z9+1</f>
        <v>2</v>
      </c>
      <c r="AB9" s="192">
        <f t="shared" si="5"/>
        <v>3</v>
      </c>
      <c r="AC9" s="192">
        <f t="shared" si="5"/>
        <v>4</v>
      </c>
      <c r="AD9" s="192">
        <f t="shared" si="5"/>
        <v>5</v>
      </c>
      <c r="AE9" s="192">
        <f t="shared" si="5"/>
        <v>6</v>
      </c>
      <c r="AF9" s="192">
        <f t="shared" si="5"/>
        <v>7</v>
      </c>
      <c r="AG9" s="192">
        <f t="shared" si="5"/>
        <v>8</v>
      </c>
      <c r="AH9" s="192">
        <f t="shared" si="5"/>
        <v>9</v>
      </c>
      <c r="AI9" s="192">
        <f t="shared" si="5"/>
        <v>10</v>
      </c>
      <c r="AJ9" s="192">
        <f t="shared" si="5"/>
        <v>11</v>
      </c>
      <c r="AK9" s="192">
        <f t="shared" si="5"/>
        <v>12</v>
      </c>
      <c r="AL9" s="192">
        <f t="shared" si="5"/>
        <v>13</v>
      </c>
      <c r="AM9" s="192">
        <f t="shared" si="5"/>
        <v>14</v>
      </c>
      <c r="AN9" s="192">
        <f t="shared" si="5"/>
        <v>15</v>
      </c>
      <c r="AO9" s="192">
        <f t="shared" si="5"/>
        <v>16</v>
      </c>
      <c r="AP9" s="192">
        <f t="shared" si="5"/>
        <v>17</v>
      </c>
      <c r="AQ9" s="192">
        <f t="shared" si="5"/>
        <v>18</v>
      </c>
      <c r="AR9" s="192">
        <f t="shared" si="5"/>
        <v>19</v>
      </c>
      <c r="AS9" s="192">
        <f t="shared" si="5"/>
        <v>20</v>
      </c>
      <c r="AT9" s="192">
        <f t="shared" si="5"/>
        <v>21</v>
      </c>
      <c r="AU9" s="192">
        <f t="shared" si="5"/>
        <v>22</v>
      </c>
      <c r="AV9" s="192">
        <f t="shared" si="5"/>
        <v>23</v>
      </c>
      <c r="AW9" s="192">
        <f t="shared" si="5"/>
        <v>24</v>
      </c>
      <c r="AX9" s="192">
        <f t="shared" si="5"/>
        <v>25</v>
      </c>
      <c r="AY9" s="192">
        <f t="shared" si="5"/>
        <v>26</v>
      </c>
      <c r="AZ9" s="192">
        <f t="shared" si="5"/>
        <v>27</v>
      </c>
      <c r="BA9" s="192">
        <f t="shared" si="5"/>
        <v>28</v>
      </c>
      <c r="BB9" s="192">
        <f t="shared" si="5"/>
        <v>29</v>
      </c>
      <c r="BC9" s="192">
        <f t="shared" si="5"/>
        <v>30</v>
      </c>
      <c r="BD9" s="192">
        <f t="shared" si="5"/>
        <v>31</v>
      </c>
      <c r="BE9" s="194" t="s">
        <v>98</v>
      </c>
      <c r="BF9" s="194" t="s">
        <v>99</v>
      </c>
      <c r="BG9" s="194" t="s">
        <v>101</v>
      </c>
      <c r="BH9" s="192">
        <f>BD9+1</f>
        <v>32</v>
      </c>
      <c r="BI9" s="192">
        <f>BH9+1</f>
        <v>33</v>
      </c>
      <c r="BJ9" s="192">
        <f t="shared" ref="BJ9:DU9" si="6">BI9+1</f>
        <v>34</v>
      </c>
      <c r="BK9" s="192">
        <f t="shared" si="6"/>
        <v>35</v>
      </c>
      <c r="BL9" s="192">
        <f t="shared" si="6"/>
        <v>36</v>
      </c>
      <c r="BM9" s="192">
        <f t="shared" si="6"/>
        <v>37</v>
      </c>
      <c r="BN9" s="192">
        <f t="shared" si="6"/>
        <v>38</v>
      </c>
      <c r="BO9" s="192">
        <f t="shared" si="6"/>
        <v>39</v>
      </c>
      <c r="BP9" s="192">
        <f t="shared" si="6"/>
        <v>40</v>
      </c>
      <c r="BQ9" s="192">
        <f t="shared" si="6"/>
        <v>41</v>
      </c>
      <c r="BR9" s="192">
        <f t="shared" si="6"/>
        <v>42</v>
      </c>
      <c r="BS9" s="192">
        <f t="shared" si="6"/>
        <v>43</v>
      </c>
      <c r="BT9" s="192">
        <f t="shared" si="6"/>
        <v>44</v>
      </c>
      <c r="BU9" s="192">
        <f t="shared" si="6"/>
        <v>45</v>
      </c>
      <c r="BV9" s="192">
        <f t="shared" si="6"/>
        <v>46</v>
      </c>
      <c r="BW9" s="192">
        <f t="shared" si="6"/>
        <v>47</v>
      </c>
      <c r="BX9" s="192">
        <f t="shared" si="6"/>
        <v>48</v>
      </c>
      <c r="BY9" s="192">
        <f t="shared" si="6"/>
        <v>49</v>
      </c>
      <c r="BZ9" s="192">
        <f t="shared" si="6"/>
        <v>50</v>
      </c>
      <c r="CA9" s="192">
        <f t="shared" si="6"/>
        <v>51</v>
      </c>
      <c r="CB9" s="192">
        <f t="shared" si="6"/>
        <v>52</v>
      </c>
      <c r="CC9" s="192">
        <f t="shared" si="6"/>
        <v>53</v>
      </c>
      <c r="CD9" s="192">
        <f t="shared" si="6"/>
        <v>54</v>
      </c>
      <c r="CE9" s="192">
        <f t="shared" si="6"/>
        <v>55</v>
      </c>
      <c r="CF9" s="192">
        <f t="shared" si="6"/>
        <v>56</v>
      </c>
      <c r="CG9" s="192">
        <f t="shared" si="6"/>
        <v>57</v>
      </c>
      <c r="CH9" s="192">
        <f t="shared" si="6"/>
        <v>58</v>
      </c>
      <c r="CI9" s="192">
        <f t="shared" si="6"/>
        <v>59</v>
      </c>
      <c r="CJ9" s="192">
        <f t="shared" si="6"/>
        <v>60</v>
      </c>
      <c r="CK9" s="192">
        <f t="shared" si="6"/>
        <v>61</v>
      </c>
      <c r="CL9" s="192">
        <f t="shared" si="6"/>
        <v>62</v>
      </c>
      <c r="CM9" s="192">
        <f t="shared" si="6"/>
        <v>63</v>
      </c>
      <c r="CN9" s="192">
        <f t="shared" si="6"/>
        <v>64</v>
      </c>
      <c r="CO9" s="192">
        <f t="shared" si="6"/>
        <v>65</v>
      </c>
      <c r="CP9" s="192">
        <f t="shared" si="6"/>
        <v>66</v>
      </c>
      <c r="CQ9" s="192">
        <f t="shared" si="6"/>
        <v>67</v>
      </c>
      <c r="CR9" s="192">
        <f t="shared" si="6"/>
        <v>68</v>
      </c>
      <c r="CS9" s="192">
        <f t="shared" si="6"/>
        <v>69</v>
      </c>
      <c r="CT9" s="192">
        <f t="shared" si="6"/>
        <v>70</v>
      </c>
      <c r="CU9" s="192">
        <f t="shared" si="6"/>
        <v>71</v>
      </c>
      <c r="CV9" s="192">
        <f t="shared" si="6"/>
        <v>72</v>
      </c>
      <c r="CW9" s="192">
        <f t="shared" si="6"/>
        <v>73</v>
      </c>
      <c r="CX9" s="192">
        <f t="shared" si="6"/>
        <v>74</v>
      </c>
      <c r="CY9" s="192">
        <f t="shared" si="6"/>
        <v>75</v>
      </c>
      <c r="CZ9" s="192">
        <f t="shared" si="6"/>
        <v>76</v>
      </c>
      <c r="DA9" s="192">
        <f t="shared" si="6"/>
        <v>77</v>
      </c>
      <c r="DB9" s="192">
        <f t="shared" si="6"/>
        <v>78</v>
      </c>
      <c r="DC9" s="192">
        <f t="shared" si="6"/>
        <v>79</v>
      </c>
      <c r="DD9" s="192">
        <f t="shared" si="6"/>
        <v>80</v>
      </c>
      <c r="DE9" s="192">
        <f t="shared" si="6"/>
        <v>81</v>
      </c>
      <c r="DF9" s="192">
        <f t="shared" si="6"/>
        <v>82</v>
      </c>
      <c r="DG9" s="192">
        <f t="shared" si="6"/>
        <v>83</v>
      </c>
      <c r="DH9" s="192">
        <f t="shared" si="6"/>
        <v>84</v>
      </c>
      <c r="DI9" s="192">
        <f t="shared" si="6"/>
        <v>85</v>
      </c>
      <c r="DJ9" s="192">
        <f t="shared" si="6"/>
        <v>86</v>
      </c>
      <c r="DK9" s="192">
        <f t="shared" si="6"/>
        <v>87</v>
      </c>
      <c r="DL9" s="192">
        <f t="shared" si="6"/>
        <v>88</v>
      </c>
      <c r="DM9" s="192">
        <f t="shared" si="6"/>
        <v>89</v>
      </c>
      <c r="DN9" s="192">
        <f t="shared" si="6"/>
        <v>90</v>
      </c>
      <c r="DO9" s="192">
        <f t="shared" si="6"/>
        <v>91</v>
      </c>
      <c r="DP9" s="192">
        <f t="shared" si="6"/>
        <v>92</v>
      </c>
      <c r="DQ9" s="192">
        <f t="shared" si="6"/>
        <v>93</v>
      </c>
      <c r="DR9" s="192">
        <f t="shared" si="6"/>
        <v>94</v>
      </c>
      <c r="DS9" s="192">
        <f t="shared" si="6"/>
        <v>95</v>
      </c>
      <c r="DT9" s="192">
        <f t="shared" si="6"/>
        <v>96</v>
      </c>
      <c r="DU9" s="192">
        <f t="shared" si="6"/>
        <v>97</v>
      </c>
      <c r="DV9" s="192">
        <f t="shared" ref="DV9:DY9" si="7">DU9+1</f>
        <v>98</v>
      </c>
      <c r="DW9" s="192">
        <f t="shared" si="7"/>
        <v>99</v>
      </c>
      <c r="DX9" s="192">
        <f t="shared" si="7"/>
        <v>100</v>
      </c>
      <c r="DY9" s="192">
        <f t="shared" si="7"/>
        <v>101</v>
      </c>
      <c r="DZ9" s="194" t="s">
        <v>109</v>
      </c>
      <c r="EA9" s="194" t="s">
        <v>108</v>
      </c>
    </row>
    <row r="10" spans="1:131" ht="6" customHeight="1" x14ac:dyDescent="0.25">
      <c r="B10" s="198"/>
      <c r="C10" s="61"/>
      <c r="D10" s="102"/>
      <c r="E10" s="131"/>
      <c r="F10" s="126"/>
      <c r="G10" s="126"/>
      <c r="H10" s="130"/>
      <c r="I10" s="126"/>
      <c r="J10" s="130"/>
      <c r="K10" s="126"/>
      <c r="L10" s="130"/>
      <c r="M10" s="126"/>
      <c r="N10" s="130"/>
      <c r="O10" s="91"/>
      <c r="P10" s="102"/>
      <c r="Q10" s="91"/>
      <c r="R10" s="102"/>
      <c r="S10" s="91"/>
      <c r="T10" s="102"/>
      <c r="X10" s="225"/>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5"/>
      <c r="BF10" s="195"/>
      <c r="BG10" s="195"/>
      <c r="BH10" s="193"/>
      <c r="BI10" s="193"/>
      <c r="BJ10" s="193"/>
      <c r="BK10" s="193"/>
      <c r="BL10" s="193"/>
      <c r="BM10" s="193"/>
      <c r="BN10" s="193"/>
      <c r="BO10" s="193"/>
      <c r="BP10" s="193"/>
      <c r="BQ10" s="193"/>
      <c r="BR10" s="193"/>
      <c r="BS10" s="193"/>
      <c r="BT10" s="193"/>
      <c r="BU10" s="193"/>
      <c r="BV10" s="193"/>
      <c r="BW10" s="193"/>
      <c r="BX10" s="193"/>
      <c r="BY10" s="193"/>
      <c r="BZ10" s="193"/>
      <c r="CA10" s="193"/>
      <c r="CB10" s="193"/>
      <c r="CC10" s="193"/>
      <c r="CD10" s="19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c r="DH10" s="193"/>
      <c r="DI10" s="193"/>
      <c r="DJ10" s="193"/>
      <c r="DK10" s="193"/>
      <c r="DL10" s="193"/>
      <c r="DM10" s="193"/>
      <c r="DN10" s="193"/>
      <c r="DO10" s="193"/>
      <c r="DP10" s="193"/>
      <c r="DQ10" s="193"/>
      <c r="DR10" s="193"/>
      <c r="DS10" s="193"/>
      <c r="DT10" s="193"/>
      <c r="DU10" s="193"/>
      <c r="DV10" s="193"/>
      <c r="DW10" s="193"/>
      <c r="DX10" s="193"/>
      <c r="DY10" s="193"/>
      <c r="DZ10" s="195"/>
      <c r="EA10" s="195"/>
    </row>
    <row r="11" spans="1:131" x14ac:dyDescent="0.25">
      <c r="B11" s="198"/>
      <c r="C11" s="61"/>
      <c r="D11" s="102"/>
      <c r="E11" s="220"/>
      <c r="F11" s="220"/>
      <c r="G11" s="126"/>
      <c r="H11" s="81"/>
      <c r="I11" s="126"/>
      <c r="J11" s="132" t="str">
        <f>IFERROR(VLOOKUP(E11,'Costs &amp; Service Life'!$B$6:$I$28,5,FALSE),"")</f>
        <v/>
      </c>
      <c r="K11" s="91"/>
      <c r="L11" s="133" t="str">
        <f>IFERROR(VLOOKUP(E11,'Costs &amp; Service Life'!$B$6:$I$28,2,FALSE),"")</f>
        <v/>
      </c>
      <c r="M11" s="102"/>
      <c r="N11" s="134" t="str">
        <f ca="1">IFERROR(IF(ISNUMBER(SEARCH("pass",INDIRECT("E"&amp;ROW()))),(LEFT(INDIRECT("H"&amp;ROW()),FIND("x",INDIRECT("H"&amp;ROW()))-1)*1)*(RIGHT(INDIRECT("H"&amp;ROW()),LEN(INDIRECT("H"&amp;ROW()))-FIND("x",INDIRECT("H"&amp;ROW())))*1),INDIRECT("H"&amp;ROW()))*INDIRECT("L"&amp;ROW()),"")</f>
        <v/>
      </c>
      <c r="O11" s="91"/>
      <c r="P11" s="133" t="str">
        <f>IF(E11="","",IFERROR(N11*0.01,""))</f>
        <v/>
      </c>
      <c r="Q11" s="68"/>
      <c r="R11" s="68" t="str">
        <f ca="1">IF(N11=IFERROR(IF(ISNUMBER(SEARCH("pass",E11)),(LEFT(H11,FIND("x",H11)-1)*1)*(RIGHT(H11,LEN(H11)-FIND("x",H11))*1),H11)*L11,""),"","Estimated Cost Overrode by User")</f>
        <v/>
      </c>
      <c r="S11" s="102"/>
      <c r="T11" s="102"/>
      <c r="W11" s="58">
        <f>ROW()</f>
        <v>11</v>
      </c>
      <c r="X11" s="66" t="s">
        <v>97</v>
      </c>
      <c r="Y11" s="54">
        <v>0</v>
      </c>
      <c r="Z11" s="54">
        <v>0</v>
      </c>
      <c r="AA11" s="64" t="e">
        <f>IF(AA$8&lt;=$J11,$P11/$J11,0)</f>
        <v>#VALUE!</v>
      </c>
      <c r="AB11" s="64" t="e">
        <f t="shared" ref="AB11:BD11" si="8">IF(AB$8&lt;=$J11,$P11/$J11,0)</f>
        <v>#VALUE!</v>
      </c>
      <c r="AC11" s="64" t="e">
        <f t="shared" si="8"/>
        <v>#VALUE!</v>
      </c>
      <c r="AD11" s="64" t="e">
        <f t="shared" si="8"/>
        <v>#VALUE!</v>
      </c>
      <c r="AE11" s="64" t="e">
        <f t="shared" si="8"/>
        <v>#VALUE!</v>
      </c>
      <c r="AF11" s="64" t="e">
        <f t="shared" si="8"/>
        <v>#VALUE!</v>
      </c>
      <c r="AG11" s="64" t="e">
        <f t="shared" si="8"/>
        <v>#VALUE!</v>
      </c>
      <c r="AH11" s="64" t="e">
        <f t="shared" si="8"/>
        <v>#VALUE!</v>
      </c>
      <c r="AI11" s="64" t="e">
        <f t="shared" si="8"/>
        <v>#VALUE!</v>
      </c>
      <c r="AJ11" s="64" t="e">
        <f t="shared" si="8"/>
        <v>#VALUE!</v>
      </c>
      <c r="AK11" s="64" t="e">
        <f t="shared" si="8"/>
        <v>#VALUE!</v>
      </c>
      <c r="AL11" s="64" t="e">
        <f t="shared" si="8"/>
        <v>#VALUE!</v>
      </c>
      <c r="AM11" s="64" t="e">
        <f t="shared" si="8"/>
        <v>#VALUE!</v>
      </c>
      <c r="AN11" s="64" t="e">
        <f t="shared" si="8"/>
        <v>#VALUE!</v>
      </c>
      <c r="AO11" s="64" t="e">
        <f t="shared" si="8"/>
        <v>#VALUE!</v>
      </c>
      <c r="AP11" s="64" t="e">
        <f t="shared" si="8"/>
        <v>#VALUE!</v>
      </c>
      <c r="AQ11" s="64" t="e">
        <f t="shared" si="8"/>
        <v>#VALUE!</v>
      </c>
      <c r="AR11" s="64" t="e">
        <f t="shared" si="8"/>
        <v>#VALUE!</v>
      </c>
      <c r="AS11" s="64" t="e">
        <f t="shared" si="8"/>
        <v>#VALUE!</v>
      </c>
      <c r="AT11" s="64" t="e">
        <f t="shared" si="8"/>
        <v>#VALUE!</v>
      </c>
      <c r="AU11" s="64" t="e">
        <f t="shared" si="8"/>
        <v>#VALUE!</v>
      </c>
      <c r="AV11" s="64" t="e">
        <f t="shared" si="8"/>
        <v>#VALUE!</v>
      </c>
      <c r="AW11" s="64" t="e">
        <f t="shared" si="8"/>
        <v>#VALUE!</v>
      </c>
      <c r="AX11" s="64" t="e">
        <f t="shared" si="8"/>
        <v>#VALUE!</v>
      </c>
      <c r="AY11" s="64" t="e">
        <f t="shared" si="8"/>
        <v>#VALUE!</v>
      </c>
      <c r="AZ11" s="64" t="e">
        <f t="shared" si="8"/>
        <v>#VALUE!</v>
      </c>
      <c r="BA11" s="64" t="e">
        <f t="shared" si="8"/>
        <v>#VALUE!</v>
      </c>
      <c r="BB11" s="64" t="e">
        <f t="shared" si="8"/>
        <v>#VALUE!</v>
      </c>
      <c r="BC11" s="64" t="e">
        <f t="shared" si="8"/>
        <v>#VALUE!</v>
      </c>
      <c r="BD11" s="64" t="e">
        <f t="shared" si="8"/>
        <v>#VALUE!</v>
      </c>
      <c r="BE11" s="64" t="e">
        <f>IF($Y$6=1,NPV($H$112,Y11:BD11),NPV($H$112,Z11:BD11))</f>
        <v>#VALUE!</v>
      </c>
      <c r="BF11" s="64" t="e">
        <f>IF($Y$6=1,NPV($H$183,Y11:BD11),NPV($H$183,Z11:BD11))</f>
        <v>#VALUE!</v>
      </c>
      <c r="BG11" s="64" t="e">
        <f ca="1">IF(J11&gt;30,(J11-BD$8)/J11*N11,0)</f>
        <v>#VALUE!</v>
      </c>
      <c r="BH11" s="64" t="e">
        <f t="shared" ref="BH11:CM11" ca="1" si="9">IF(BH$8&lt;=$J11,$BG11/(1+$H$183)^(BH$6),0)</f>
        <v>#VALUE!</v>
      </c>
      <c r="BI11" s="64" t="e">
        <f t="shared" ca="1" si="9"/>
        <v>#VALUE!</v>
      </c>
      <c r="BJ11" s="64" t="e">
        <f t="shared" ca="1" si="9"/>
        <v>#VALUE!</v>
      </c>
      <c r="BK11" s="64" t="e">
        <f t="shared" ca="1" si="9"/>
        <v>#VALUE!</v>
      </c>
      <c r="BL11" s="64" t="e">
        <f t="shared" ca="1" si="9"/>
        <v>#VALUE!</v>
      </c>
      <c r="BM11" s="64" t="e">
        <f t="shared" ca="1" si="9"/>
        <v>#VALUE!</v>
      </c>
      <c r="BN11" s="64" t="e">
        <f t="shared" ca="1" si="9"/>
        <v>#VALUE!</v>
      </c>
      <c r="BO11" s="64" t="e">
        <f t="shared" ca="1" si="9"/>
        <v>#VALUE!</v>
      </c>
      <c r="BP11" s="64" t="e">
        <f t="shared" ca="1" si="9"/>
        <v>#VALUE!</v>
      </c>
      <c r="BQ11" s="64" t="e">
        <f t="shared" ca="1" si="9"/>
        <v>#VALUE!</v>
      </c>
      <c r="BR11" s="64" t="e">
        <f t="shared" ca="1" si="9"/>
        <v>#VALUE!</v>
      </c>
      <c r="BS11" s="64" t="e">
        <f t="shared" ca="1" si="9"/>
        <v>#VALUE!</v>
      </c>
      <c r="BT11" s="64" t="e">
        <f t="shared" ca="1" si="9"/>
        <v>#VALUE!</v>
      </c>
      <c r="BU11" s="64" t="e">
        <f t="shared" ca="1" si="9"/>
        <v>#VALUE!</v>
      </c>
      <c r="BV11" s="64" t="e">
        <f t="shared" ca="1" si="9"/>
        <v>#VALUE!</v>
      </c>
      <c r="BW11" s="64" t="e">
        <f t="shared" ca="1" si="9"/>
        <v>#VALUE!</v>
      </c>
      <c r="BX11" s="64" t="e">
        <f t="shared" ca="1" si="9"/>
        <v>#VALUE!</v>
      </c>
      <c r="BY11" s="64" t="e">
        <f t="shared" ca="1" si="9"/>
        <v>#VALUE!</v>
      </c>
      <c r="BZ11" s="64" t="e">
        <f t="shared" ca="1" si="9"/>
        <v>#VALUE!</v>
      </c>
      <c r="CA11" s="64" t="e">
        <f t="shared" ca="1" si="9"/>
        <v>#VALUE!</v>
      </c>
      <c r="CB11" s="64" t="e">
        <f t="shared" ca="1" si="9"/>
        <v>#VALUE!</v>
      </c>
      <c r="CC11" s="64" t="e">
        <f t="shared" ca="1" si="9"/>
        <v>#VALUE!</v>
      </c>
      <c r="CD11" s="64" t="e">
        <f t="shared" ca="1" si="9"/>
        <v>#VALUE!</v>
      </c>
      <c r="CE11" s="64" t="e">
        <f t="shared" ca="1" si="9"/>
        <v>#VALUE!</v>
      </c>
      <c r="CF11" s="64" t="e">
        <f t="shared" ca="1" si="9"/>
        <v>#VALUE!</v>
      </c>
      <c r="CG11" s="64" t="e">
        <f t="shared" ca="1" si="9"/>
        <v>#VALUE!</v>
      </c>
      <c r="CH11" s="64" t="e">
        <f t="shared" ca="1" si="9"/>
        <v>#VALUE!</v>
      </c>
      <c r="CI11" s="64" t="e">
        <f t="shared" ca="1" si="9"/>
        <v>#VALUE!</v>
      </c>
      <c r="CJ11" s="64" t="e">
        <f t="shared" ca="1" si="9"/>
        <v>#VALUE!</v>
      </c>
      <c r="CK11" s="64" t="e">
        <f t="shared" ca="1" si="9"/>
        <v>#VALUE!</v>
      </c>
      <c r="CL11" s="64" t="e">
        <f t="shared" ca="1" si="9"/>
        <v>#VALUE!</v>
      </c>
      <c r="CM11" s="64" t="e">
        <f t="shared" ca="1" si="9"/>
        <v>#VALUE!</v>
      </c>
      <c r="CN11" s="64" t="e">
        <f t="shared" ref="CN11:DS11" ca="1" si="10">IF(CN$8&lt;=$J11,$BG11/(1+$H$183)^(CN$6),0)</f>
        <v>#VALUE!</v>
      </c>
      <c r="CO11" s="64" t="e">
        <f t="shared" ca="1" si="10"/>
        <v>#VALUE!</v>
      </c>
      <c r="CP11" s="64" t="e">
        <f t="shared" ca="1" si="10"/>
        <v>#VALUE!</v>
      </c>
      <c r="CQ11" s="64" t="e">
        <f t="shared" ca="1" si="10"/>
        <v>#VALUE!</v>
      </c>
      <c r="CR11" s="64" t="e">
        <f t="shared" ca="1" si="10"/>
        <v>#VALUE!</v>
      </c>
      <c r="CS11" s="64" t="e">
        <f t="shared" ca="1" si="10"/>
        <v>#VALUE!</v>
      </c>
      <c r="CT11" s="64" t="e">
        <f t="shared" ca="1" si="10"/>
        <v>#VALUE!</v>
      </c>
      <c r="CU11" s="64" t="e">
        <f t="shared" ca="1" si="10"/>
        <v>#VALUE!</v>
      </c>
      <c r="CV11" s="64" t="e">
        <f t="shared" ca="1" si="10"/>
        <v>#VALUE!</v>
      </c>
      <c r="CW11" s="64" t="e">
        <f t="shared" ca="1" si="10"/>
        <v>#VALUE!</v>
      </c>
      <c r="CX11" s="64" t="e">
        <f t="shared" ca="1" si="10"/>
        <v>#VALUE!</v>
      </c>
      <c r="CY11" s="64" t="e">
        <f t="shared" ca="1" si="10"/>
        <v>#VALUE!</v>
      </c>
      <c r="CZ11" s="64" t="e">
        <f t="shared" ca="1" si="10"/>
        <v>#VALUE!</v>
      </c>
      <c r="DA11" s="64" t="e">
        <f t="shared" ca="1" si="10"/>
        <v>#VALUE!</v>
      </c>
      <c r="DB11" s="64" t="e">
        <f t="shared" ca="1" si="10"/>
        <v>#VALUE!</v>
      </c>
      <c r="DC11" s="64" t="e">
        <f t="shared" ca="1" si="10"/>
        <v>#VALUE!</v>
      </c>
      <c r="DD11" s="64" t="e">
        <f t="shared" ca="1" si="10"/>
        <v>#VALUE!</v>
      </c>
      <c r="DE11" s="64" t="e">
        <f t="shared" ca="1" si="10"/>
        <v>#VALUE!</v>
      </c>
      <c r="DF11" s="64" t="e">
        <f t="shared" ca="1" si="10"/>
        <v>#VALUE!</v>
      </c>
      <c r="DG11" s="64" t="e">
        <f t="shared" ca="1" si="10"/>
        <v>#VALUE!</v>
      </c>
      <c r="DH11" s="64" t="e">
        <f t="shared" ca="1" si="10"/>
        <v>#VALUE!</v>
      </c>
      <c r="DI11" s="64" t="e">
        <f t="shared" ca="1" si="10"/>
        <v>#VALUE!</v>
      </c>
      <c r="DJ11" s="64" t="e">
        <f t="shared" ca="1" si="10"/>
        <v>#VALUE!</v>
      </c>
      <c r="DK11" s="64" t="e">
        <f t="shared" ca="1" si="10"/>
        <v>#VALUE!</v>
      </c>
      <c r="DL11" s="64" t="e">
        <f t="shared" ca="1" si="10"/>
        <v>#VALUE!</v>
      </c>
      <c r="DM11" s="64" t="e">
        <f t="shared" ca="1" si="10"/>
        <v>#VALUE!</v>
      </c>
      <c r="DN11" s="64" t="e">
        <f t="shared" ca="1" si="10"/>
        <v>#VALUE!</v>
      </c>
      <c r="DO11" s="64" t="e">
        <f t="shared" ca="1" si="10"/>
        <v>#VALUE!</v>
      </c>
      <c r="DP11" s="64" t="e">
        <f t="shared" ca="1" si="10"/>
        <v>#VALUE!</v>
      </c>
      <c r="DQ11" s="64" t="e">
        <f t="shared" ca="1" si="10"/>
        <v>#VALUE!</v>
      </c>
      <c r="DR11" s="64" t="e">
        <f t="shared" ca="1" si="10"/>
        <v>#VALUE!</v>
      </c>
      <c r="DS11" s="64" t="e">
        <f t="shared" ca="1" si="10"/>
        <v>#VALUE!</v>
      </c>
      <c r="DT11" s="64" t="e">
        <f t="shared" ref="DT11:DY11" ca="1" si="11">IF(DT$8&lt;=$J11,$BG11/(1+$H$183)^(DT$6),0)</f>
        <v>#VALUE!</v>
      </c>
      <c r="DU11" s="64" t="e">
        <f t="shared" ca="1" si="11"/>
        <v>#VALUE!</v>
      </c>
      <c r="DV11" s="64" t="e">
        <f t="shared" ca="1" si="11"/>
        <v>#VALUE!</v>
      </c>
      <c r="DW11" s="64" t="e">
        <f t="shared" ca="1" si="11"/>
        <v>#VALUE!</v>
      </c>
      <c r="DX11" s="64" t="e">
        <f t="shared" ca="1" si="11"/>
        <v>#VALUE!</v>
      </c>
      <c r="DY11" s="64" t="e">
        <f t="shared" ca="1" si="11"/>
        <v>#VALUE!</v>
      </c>
      <c r="DZ11" s="64"/>
      <c r="EA11" s="54" t="e">
        <f ca="1">SUM(BH11:DY11)</f>
        <v>#VALUE!</v>
      </c>
    </row>
    <row r="12" spans="1:131" x14ac:dyDescent="0.25">
      <c r="B12" s="198"/>
      <c r="C12" s="79"/>
      <c r="D12" s="135"/>
      <c r="E12" s="204" t="s">
        <v>1</v>
      </c>
      <c r="F12" s="204"/>
      <c r="G12" s="165"/>
      <c r="H12" s="166" t="str">
        <f>IF(ISNUMBER(SEARCH("pass",E11)),"span (ft) by width (ft)",IF(ISNUMBER(SEARCH("Fencing",E11)),"length"&amp;IF(ISNUMBER(SEARCH("mile",E11))," (mi)"," (ft)"),"count"))</f>
        <v>count</v>
      </c>
      <c r="I12" s="165"/>
      <c r="J12" s="166" t="s">
        <v>60</v>
      </c>
      <c r="K12" s="167"/>
      <c r="L12" s="166" t="str">
        <f>"Unit Cost"&amp;IF(ISNUMBER(SEARCH("pass",E11))," ($/ft2)",IF(ISNUMBER(SEARCH("mile",E11))," ($/mi)",IF(ISNUMBER(SEARCH("feet",E11))," ($/ft)"," ($ each)")))</f>
        <v>Unit Cost ($ each)</v>
      </c>
      <c r="M12" s="168"/>
      <c r="N12" s="166" t="s">
        <v>61</v>
      </c>
      <c r="O12" s="167"/>
      <c r="P12" s="166" t="s">
        <v>63</v>
      </c>
      <c r="Q12" s="68"/>
      <c r="R12" s="68"/>
      <c r="S12" s="68"/>
      <c r="T12" s="135"/>
      <c r="V12" s="124"/>
      <c r="BG12" s="64" t="e">
        <f ca="1">IF(J11&gt;30,(J11-BD$8)/J11*N11,0)</f>
        <v>#VALUE!</v>
      </c>
      <c r="BH12" s="64" t="e">
        <f t="shared" ref="BH12:CM12" ca="1" si="12">IF(BH$8&lt;=$J11,$BG12/(1+$H$112)^(BH$6),0)</f>
        <v>#VALUE!</v>
      </c>
      <c r="BI12" s="64" t="e">
        <f t="shared" ca="1" si="12"/>
        <v>#VALUE!</v>
      </c>
      <c r="BJ12" s="64" t="e">
        <f t="shared" ca="1" si="12"/>
        <v>#VALUE!</v>
      </c>
      <c r="BK12" s="64" t="e">
        <f t="shared" ca="1" si="12"/>
        <v>#VALUE!</v>
      </c>
      <c r="BL12" s="64" t="e">
        <f t="shared" ca="1" si="12"/>
        <v>#VALUE!</v>
      </c>
      <c r="BM12" s="64" t="e">
        <f t="shared" ca="1" si="12"/>
        <v>#VALUE!</v>
      </c>
      <c r="BN12" s="64" t="e">
        <f t="shared" ca="1" si="12"/>
        <v>#VALUE!</v>
      </c>
      <c r="BO12" s="64" t="e">
        <f t="shared" ca="1" si="12"/>
        <v>#VALUE!</v>
      </c>
      <c r="BP12" s="64" t="e">
        <f t="shared" ca="1" si="12"/>
        <v>#VALUE!</v>
      </c>
      <c r="BQ12" s="64" t="e">
        <f t="shared" ca="1" si="12"/>
        <v>#VALUE!</v>
      </c>
      <c r="BR12" s="64" t="e">
        <f t="shared" ca="1" si="12"/>
        <v>#VALUE!</v>
      </c>
      <c r="BS12" s="64" t="e">
        <f t="shared" ca="1" si="12"/>
        <v>#VALUE!</v>
      </c>
      <c r="BT12" s="64" t="e">
        <f t="shared" ca="1" si="12"/>
        <v>#VALUE!</v>
      </c>
      <c r="BU12" s="64" t="e">
        <f t="shared" ca="1" si="12"/>
        <v>#VALUE!</v>
      </c>
      <c r="BV12" s="64" t="e">
        <f t="shared" ca="1" si="12"/>
        <v>#VALUE!</v>
      </c>
      <c r="BW12" s="64" t="e">
        <f t="shared" ca="1" si="12"/>
        <v>#VALUE!</v>
      </c>
      <c r="BX12" s="64" t="e">
        <f t="shared" ca="1" si="12"/>
        <v>#VALUE!</v>
      </c>
      <c r="BY12" s="64" t="e">
        <f t="shared" ca="1" si="12"/>
        <v>#VALUE!</v>
      </c>
      <c r="BZ12" s="64" t="e">
        <f t="shared" ca="1" si="12"/>
        <v>#VALUE!</v>
      </c>
      <c r="CA12" s="64" t="e">
        <f t="shared" ca="1" si="12"/>
        <v>#VALUE!</v>
      </c>
      <c r="CB12" s="64" t="e">
        <f t="shared" ca="1" si="12"/>
        <v>#VALUE!</v>
      </c>
      <c r="CC12" s="64" t="e">
        <f t="shared" ca="1" si="12"/>
        <v>#VALUE!</v>
      </c>
      <c r="CD12" s="64" t="e">
        <f t="shared" ca="1" si="12"/>
        <v>#VALUE!</v>
      </c>
      <c r="CE12" s="64" t="e">
        <f t="shared" ca="1" si="12"/>
        <v>#VALUE!</v>
      </c>
      <c r="CF12" s="64" t="e">
        <f t="shared" ca="1" si="12"/>
        <v>#VALUE!</v>
      </c>
      <c r="CG12" s="64" t="e">
        <f t="shared" ca="1" si="12"/>
        <v>#VALUE!</v>
      </c>
      <c r="CH12" s="64" t="e">
        <f t="shared" ca="1" si="12"/>
        <v>#VALUE!</v>
      </c>
      <c r="CI12" s="64" t="e">
        <f t="shared" ca="1" si="12"/>
        <v>#VALUE!</v>
      </c>
      <c r="CJ12" s="64" t="e">
        <f t="shared" ca="1" si="12"/>
        <v>#VALUE!</v>
      </c>
      <c r="CK12" s="64" t="e">
        <f t="shared" ca="1" si="12"/>
        <v>#VALUE!</v>
      </c>
      <c r="CL12" s="64" t="e">
        <f t="shared" ca="1" si="12"/>
        <v>#VALUE!</v>
      </c>
      <c r="CM12" s="64" t="e">
        <f t="shared" ca="1" si="12"/>
        <v>#VALUE!</v>
      </c>
      <c r="CN12" s="64" t="e">
        <f t="shared" ref="CN12:DS12" ca="1" si="13">IF(CN$8&lt;=$J11,$BG12/(1+$H$112)^(CN$6),0)</f>
        <v>#VALUE!</v>
      </c>
      <c r="CO12" s="64" t="e">
        <f t="shared" ca="1" si="13"/>
        <v>#VALUE!</v>
      </c>
      <c r="CP12" s="64" t="e">
        <f t="shared" ca="1" si="13"/>
        <v>#VALUE!</v>
      </c>
      <c r="CQ12" s="64" t="e">
        <f t="shared" ca="1" si="13"/>
        <v>#VALUE!</v>
      </c>
      <c r="CR12" s="64" t="e">
        <f t="shared" ca="1" si="13"/>
        <v>#VALUE!</v>
      </c>
      <c r="CS12" s="64" t="e">
        <f t="shared" ca="1" si="13"/>
        <v>#VALUE!</v>
      </c>
      <c r="CT12" s="64" t="e">
        <f t="shared" ca="1" si="13"/>
        <v>#VALUE!</v>
      </c>
      <c r="CU12" s="64" t="e">
        <f t="shared" ca="1" si="13"/>
        <v>#VALUE!</v>
      </c>
      <c r="CV12" s="64" t="e">
        <f t="shared" ca="1" si="13"/>
        <v>#VALUE!</v>
      </c>
      <c r="CW12" s="64" t="e">
        <f t="shared" ca="1" si="13"/>
        <v>#VALUE!</v>
      </c>
      <c r="CX12" s="64" t="e">
        <f t="shared" ca="1" si="13"/>
        <v>#VALUE!</v>
      </c>
      <c r="CY12" s="64" t="e">
        <f t="shared" ca="1" si="13"/>
        <v>#VALUE!</v>
      </c>
      <c r="CZ12" s="64" t="e">
        <f t="shared" ca="1" si="13"/>
        <v>#VALUE!</v>
      </c>
      <c r="DA12" s="64" t="e">
        <f t="shared" ca="1" si="13"/>
        <v>#VALUE!</v>
      </c>
      <c r="DB12" s="64" t="e">
        <f t="shared" ca="1" si="13"/>
        <v>#VALUE!</v>
      </c>
      <c r="DC12" s="64" t="e">
        <f t="shared" ca="1" si="13"/>
        <v>#VALUE!</v>
      </c>
      <c r="DD12" s="64" t="e">
        <f t="shared" ca="1" si="13"/>
        <v>#VALUE!</v>
      </c>
      <c r="DE12" s="64" t="e">
        <f t="shared" ca="1" si="13"/>
        <v>#VALUE!</v>
      </c>
      <c r="DF12" s="64" t="e">
        <f t="shared" ca="1" si="13"/>
        <v>#VALUE!</v>
      </c>
      <c r="DG12" s="64" t="e">
        <f t="shared" ca="1" si="13"/>
        <v>#VALUE!</v>
      </c>
      <c r="DH12" s="64" t="e">
        <f t="shared" ca="1" si="13"/>
        <v>#VALUE!</v>
      </c>
      <c r="DI12" s="64" t="e">
        <f t="shared" ca="1" si="13"/>
        <v>#VALUE!</v>
      </c>
      <c r="DJ12" s="64" t="e">
        <f t="shared" ca="1" si="13"/>
        <v>#VALUE!</v>
      </c>
      <c r="DK12" s="64" t="e">
        <f t="shared" ca="1" si="13"/>
        <v>#VALUE!</v>
      </c>
      <c r="DL12" s="64" t="e">
        <f t="shared" ca="1" si="13"/>
        <v>#VALUE!</v>
      </c>
      <c r="DM12" s="64" t="e">
        <f t="shared" ca="1" si="13"/>
        <v>#VALUE!</v>
      </c>
      <c r="DN12" s="64" t="e">
        <f t="shared" ca="1" si="13"/>
        <v>#VALUE!</v>
      </c>
      <c r="DO12" s="64" t="e">
        <f t="shared" ca="1" si="13"/>
        <v>#VALUE!</v>
      </c>
      <c r="DP12" s="64" t="e">
        <f t="shared" ca="1" si="13"/>
        <v>#VALUE!</v>
      </c>
      <c r="DQ12" s="64" t="e">
        <f t="shared" ca="1" si="13"/>
        <v>#VALUE!</v>
      </c>
      <c r="DR12" s="64" t="e">
        <f t="shared" ca="1" si="13"/>
        <v>#VALUE!</v>
      </c>
      <c r="DS12" s="64" t="e">
        <f t="shared" ca="1" si="13"/>
        <v>#VALUE!</v>
      </c>
      <c r="DT12" s="64" t="e">
        <f t="shared" ref="DT12:DY12" ca="1" si="14">IF(DT$8&lt;=$J11,$BG12/(1+$H$112)^(DT$6),0)</f>
        <v>#VALUE!</v>
      </c>
      <c r="DU12" s="64" t="e">
        <f t="shared" ca="1" si="14"/>
        <v>#VALUE!</v>
      </c>
      <c r="DV12" s="64" t="e">
        <f t="shared" ca="1" si="14"/>
        <v>#VALUE!</v>
      </c>
      <c r="DW12" s="64" t="e">
        <f t="shared" ca="1" si="14"/>
        <v>#VALUE!</v>
      </c>
      <c r="DX12" s="64" t="e">
        <f t="shared" ca="1" si="14"/>
        <v>#VALUE!</v>
      </c>
      <c r="DY12" s="64" t="e">
        <f t="shared" ca="1" si="14"/>
        <v>#VALUE!</v>
      </c>
      <c r="DZ12" s="54" t="e">
        <f ca="1">SUM(BH12:DY12)</f>
        <v>#VALUE!</v>
      </c>
    </row>
    <row r="13" spans="1:131" ht="6" customHeight="1" x14ac:dyDescent="0.25">
      <c r="B13" s="198"/>
      <c r="C13" s="61"/>
      <c r="D13" s="102"/>
      <c r="E13" s="126"/>
      <c r="F13" s="126"/>
      <c r="G13" s="126"/>
      <c r="H13" s="130"/>
      <c r="I13" s="126"/>
      <c r="J13" s="130"/>
      <c r="K13" s="126"/>
      <c r="L13" s="130"/>
      <c r="M13" s="126"/>
      <c r="N13" s="137"/>
      <c r="O13" s="91"/>
      <c r="P13" s="102"/>
      <c r="Q13" s="91"/>
      <c r="R13" s="102"/>
      <c r="S13" s="91"/>
      <c r="T13" s="102"/>
    </row>
    <row r="14" spans="1:131" x14ac:dyDescent="0.25">
      <c r="B14" s="198"/>
      <c r="C14" s="61"/>
      <c r="D14" s="102"/>
      <c r="E14" s="91"/>
      <c r="F14" s="91"/>
      <c r="G14" s="91"/>
      <c r="H14" s="102"/>
      <c r="I14" s="91"/>
      <c r="J14" s="102"/>
      <c r="K14" s="91"/>
      <c r="L14" s="102"/>
      <c r="M14" s="91"/>
      <c r="N14" s="102"/>
      <c r="O14" s="91"/>
      <c r="P14" s="102"/>
      <c r="Q14" s="91"/>
      <c r="R14" s="102"/>
      <c r="S14" s="91"/>
      <c r="T14" s="102"/>
      <c r="W14" s="58">
        <f>ROW()</f>
        <v>14</v>
      </c>
      <c r="X14" s="90" t="s">
        <v>120</v>
      </c>
    </row>
    <row r="15" spans="1:131" x14ac:dyDescent="0.25">
      <c r="B15" s="198"/>
      <c r="C15" s="61"/>
      <c r="D15" s="102"/>
      <c r="E15" s="110">
        <f ca="1">SUM(N9:N14)</f>
        <v>0</v>
      </c>
      <c r="F15" s="78" t="s">
        <v>107</v>
      </c>
      <c r="G15" s="78"/>
      <c r="H15" s="78"/>
      <c r="I15" s="78"/>
      <c r="J15" s="78"/>
      <c r="K15" s="138"/>
      <c r="L15" s="138"/>
      <c r="M15" s="138"/>
      <c r="N15" s="138"/>
      <c r="O15" s="138"/>
      <c r="P15" s="138"/>
      <c r="Q15" s="138"/>
      <c r="S15" s="91"/>
    </row>
    <row r="16" spans="1:131" ht="3.95" customHeight="1" x14ac:dyDescent="0.25">
      <c r="B16" s="198"/>
      <c r="C16" s="61"/>
      <c r="D16" s="102"/>
      <c r="E16" s="102"/>
      <c r="F16" s="78"/>
      <c r="G16" s="78"/>
      <c r="H16" s="78"/>
      <c r="I16" s="78"/>
      <c r="J16" s="78"/>
      <c r="K16" s="73"/>
      <c r="L16" s="73"/>
      <c r="M16" s="73"/>
      <c r="N16" s="73"/>
      <c r="O16" s="73"/>
      <c r="P16" s="73"/>
      <c r="Q16" s="73"/>
      <c r="R16" s="73"/>
      <c r="S16" s="91"/>
    </row>
    <row r="17" spans="2:23" x14ac:dyDescent="0.25">
      <c r="B17" s="198"/>
      <c r="C17" s="61"/>
      <c r="D17" s="102"/>
      <c r="E17" s="101">
        <f ca="1">E15*F17</f>
        <v>0</v>
      </c>
      <c r="F17" s="201">
        <v>0.3</v>
      </c>
      <c r="G17" s="201"/>
      <c r="H17" s="201"/>
      <c r="I17" s="107"/>
      <c r="J17" s="107"/>
      <c r="K17" s="139"/>
      <c r="L17" s="139"/>
      <c r="M17" s="139"/>
      <c r="N17" s="139"/>
      <c r="O17" s="139"/>
      <c r="S17" s="91"/>
    </row>
    <row r="18" spans="2:23" ht="3.95" customHeight="1" x14ac:dyDescent="0.25">
      <c r="B18" s="198"/>
      <c r="C18" s="61"/>
      <c r="D18" s="102"/>
      <c r="E18" s="102"/>
      <c r="F18" s="78"/>
      <c r="G18" s="78"/>
      <c r="H18" s="78"/>
      <c r="I18" s="78"/>
      <c r="J18" s="78"/>
      <c r="K18" s="73"/>
      <c r="L18" s="73"/>
      <c r="M18" s="73"/>
      <c r="N18" s="73"/>
      <c r="O18" s="73"/>
      <c r="P18" s="73"/>
      <c r="Q18" s="73"/>
      <c r="R18" s="73"/>
      <c r="S18" s="91"/>
    </row>
    <row r="19" spans="2:23" x14ac:dyDescent="0.25">
      <c r="B19" s="198"/>
      <c r="C19" s="61"/>
      <c r="D19" s="102"/>
      <c r="E19" s="111">
        <f ca="1">SUM(E15:E17)*F19</f>
        <v>0</v>
      </c>
      <c r="F19" s="200">
        <v>0.221</v>
      </c>
      <c r="G19" s="200"/>
      <c r="H19" s="200"/>
      <c r="I19" s="200"/>
      <c r="J19" s="200"/>
      <c r="K19" s="140"/>
      <c r="L19" s="140"/>
      <c r="M19" s="140"/>
      <c r="S19" s="91"/>
    </row>
    <row r="20" spans="2:23" ht="3.95" customHeight="1" x14ac:dyDescent="0.25">
      <c r="B20" s="198"/>
      <c r="C20" s="61"/>
      <c r="D20" s="102"/>
      <c r="E20" s="102"/>
      <c r="F20" s="78"/>
      <c r="G20" s="78"/>
      <c r="H20" s="78"/>
      <c r="I20" s="78"/>
      <c r="J20" s="78"/>
      <c r="K20" s="73"/>
      <c r="L20" s="73"/>
      <c r="M20" s="73"/>
      <c r="N20" s="73"/>
      <c r="O20" s="73"/>
      <c r="P20" s="73"/>
      <c r="Q20" s="73"/>
      <c r="R20" s="73"/>
      <c r="S20" s="91"/>
    </row>
    <row r="21" spans="2:23" x14ac:dyDescent="0.25">
      <c r="B21" s="198"/>
      <c r="C21" s="61"/>
      <c r="D21" s="102"/>
      <c r="E21" s="112">
        <f ca="1">SUM(E15:E19)</f>
        <v>0</v>
      </c>
      <c r="F21" s="108" t="s">
        <v>62</v>
      </c>
      <c r="G21" s="108"/>
      <c r="H21" s="108"/>
      <c r="I21" s="108"/>
      <c r="J21" s="108"/>
      <c r="K21" s="141"/>
      <c r="L21" s="141"/>
      <c r="M21" s="141"/>
      <c r="N21" s="141"/>
      <c r="O21" s="141"/>
      <c r="P21" s="141"/>
      <c r="Q21" s="141"/>
      <c r="S21" s="91"/>
    </row>
    <row r="22" spans="2:23" ht="6" customHeight="1" x14ac:dyDescent="0.25">
      <c r="B22" s="198"/>
      <c r="C22" s="61"/>
      <c r="D22" s="102"/>
      <c r="E22" s="102"/>
      <c r="F22" s="78"/>
      <c r="G22" s="78"/>
      <c r="H22" s="78"/>
      <c r="I22" s="78"/>
      <c r="J22" s="78"/>
      <c r="K22" s="91"/>
      <c r="L22" s="102"/>
      <c r="M22" s="91"/>
      <c r="N22" s="102"/>
      <c r="O22" s="91"/>
      <c r="P22" s="102"/>
      <c r="Q22" s="91"/>
      <c r="R22" s="102"/>
      <c r="S22" s="91"/>
    </row>
    <row r="23" spans="2:23" x14ac:dyDescent="0.25">
      <c r="B23" s="198"/>
      <c r="C23" s="61"/>
      <c r="D23" s="102"/>
      <c r="E23" s="101">
        <f>SUM(P9:P14)</f>
        <v>0</v>
      </c>
      <c r="F23" s="109" t="s">
        <v>143</v>
      </c>
      <c r="G23" s="109"/>
      <c r="H23" s="109"/>
      <c r="I23" s="109"/>
      <c r="J23" s="109"/>
      <c r="K23" s="142"/>
      <c r="L23" s="142"/>
      <c r="M23" s="142"/>
      <c r="N23" s="142"/>
      <c r="O23" s="142"/>
      <c r="P23" s="142"/>
      <c r="Q23" s="142"/>
      <c r="S23" s="91"/>
    </row>
    <row r="24" spans="2:23" x14ac:dyDescent="0.25">
      <c r="B24" s="198"/>
      <c r="C24" s="61"/>
      <c r="D24" s="102"/>
      <c r="E24" s="101"/>
      <c r="F24" s="109"/>
      <c r="G24" s="109"/>
      <c r="H24" s="109"/>
      <c r="I24" s="109"/>
      <c r="J24" s="109"/>
      <c r="K24" s="142"/>
      <c r="L24" s="142"/>
      <c r="M24" s="142"/>
      <c r="N24" s="142"/>
      <c r="O24" s="142"/>
      <c r="P24" s="142"/>
      <c r="Q24" s="142"/>
      <c r="S24" s="91"/>
    </row>
    <row r="25" spans="2:23" ht="18.75" x14ac:dyDescent="0.3">
      <c r="B25" s="198"/>
      <c r="C25" s="61"/>
      <c r="D25" s="71" t="s">
        <v>110</v>
      </c>
      <c r="E25" s="101"/>
      <c r="F25" s="109"/>
      <c r="G25" s="109"/>
      <c r="H25" s="109"/>
      <c r="I25" s="109"/>
      <c r="J25" s="109"/>
      <c r="K25" s="142"/>
      <c r="L25" s="142"/>
      <c r="M25" s="142"/>
      <c r="N25" s="142"/>
      <c r="O25" s="142"/>
      <c r="P25" s="142"/>
      <c r="Q25" s="142"/>
      <c r="S25" s="91"/>
    </row>
    <row r="26" spans="2:23" ht="6" customHeight="1" x14ac:dyDescent="0.25">
      <c r="B26" s="198"/>
      <c r="C26" s="61"/>
      <c r="D26" s="102"/>
      <c r="E26" s="91"/>
      <c r="F26" s="91"/>
      <c r="G26" s="91"/>
      <c r="H26" s="102"/>
      <c r="I26" s="91"/>
      <c r="J26" s="102"/>
      <c r="K26" s="91"/>
      <c r="L26" s="102"/>
      <c r="M26" s="91"/>
      <c r="N26" s="102"/>
      <c r="O26" s="91"/>
      <c r="P26" s="102"/>
      <c r="Q26" s="91"/>
      <c r="R26" s="102"/>
      <c r="S26" s="91"/>
      <c r="T26" s="102"/>
    </row>
    <row r="27" spans="2:23" x14ac:dyDescent="0.25">
      <c r="B27" s="198"/>
      <c r="C27" s="61"/>
      <c r="D27" s="102"/>
      <c r="E27" s="101" t="s">
        <v>111</v>
      </c>
      <c r="F27" s="109"/>
      <c r="G27" s="109"/>
      <c r="H27" s="109"/>
      <c r="I27" s="203"/>
      <c r="J27" s="203"/>
      <c r="K27" s="202" t="s">
        <v>112</v>
      </c>
      <c r="L27" s="202"/>
      <c r="M27" s="202"/>
      <c r="N27" s="81"/>
      <c r="O27" s="142"/>
      <c r="P27" s="142"/>
      <c r="Q27" s="142"/>
      <c r="S27" s="91"/>
    </row>
    <row r="28" spans="2:23" x14ac:dyDescent="0.25">
      <c r="B28" s="198"/>
      <c r="C28" s="61"/>
      <c r="D28" s="102"/>
      <c r="E28" s="101"/>
      <c r="F28" s="109"/>
      <c r="G28" s="109"/>
      <c r="H28" s="109"/>
      <c r="I28" s="204" t="s">
        <v>114</v>
      </c>
      <c r="J28" s="204"/>
      <c r="K28" s="142"/>
      <c r="L28" s="142"/>
      <c r="M28" s="142"/>
      <c r="N28" s="166" t="s">
        <v>113</v>
      </c>
      <c r="O28" s="142"/>
      <c r="P28" s="142"/>
      <c r="Q28" s="142"/>
      <c r="S28" s="91"/>
    </row>
    <row r="29" spans="2:23" x14ac:dyDescent="0.25">
      <c r="B29" s="198"/>
      <c r="C29" s="61"/>
      <c r="D29" s="102"/>
      <c r="E29" s="91"/>
      <c r="F29" s="91"/>
      <c r="G29" s="91"/>
      <c r="H29" s="102"/>
      <c r="I29" s="91"/>
      <c r="J29" s="102"/>
      <c r="K29" s="91"/>
      <c r="L29" s="102"/>
      <c r="M29" s="91"/>
      <c r="N29" s="102"/>
      <c r="O29" s="91"/>
      <c r="P29" s="102"/>
      <c r="Q29" s="91"/>
      <c r="R29" s="102"/>
      <c r="S29" s="91"/>
      <c r="T29" s="102"/>
    </row>
    <row r="30" spans="2:23" ht="18.75" x14ac:dyDescent="0.3">
      <c r="B30" s="198"/>
      <c r="C30" s="61"/>
      <c r="D30" s="71" t="s">
        <v>115</v>
      </c>
      <c r="E30" s="72"/>
      <c r="F30" s="91"/>
      <c r="G30" s="91"/>
      <c r="H30" s="102"/>
      <c r="I30" s="91"/>
      <c r="J30" s="102"/>
      <c r="K30" s="91"/>
      <c r="L30" s="102"/>
      <c r="M30" s="91"/>
      <c r="N30" s="102"/>
      <c r="O30" s="91"/>
      <c r="P30" s="102"/>
      <c r="Q30" s="91"/>
      <c r="R30" s="102"/>
      <c r="S30" s="91"/>
      <c r="T30" s="102"/>
    </row>
    <row r="31" spans="2:23" ht="6" customHeight="1" x14ac:dyDescent="0.25">
      <c r="B31" s="198"/>
      <c r="C31" s="61"/>
      <c r="D31" s="102"/>
      <c r="E31" s="91"/>
      <c r="F31" s="91"/>
      <c r="G31" s="91"/>
      <c r="H31" s="102"/>
      <c r="I31" s="91"/>
      <c r="J31" s="102"/>
      <c r="K31" s="91"/>
      <c r="L31" s="102"/>
      <c r="M31" s="91"/>
      <c r="N31" s="102"/>
      <c r="O31" s="91"/>
      <c r="P31" s="102"/>
      <c r="Q31" s="91"/>
      <c r="R31" s="102"/>
      <c r="S31" s="91"/>
      <c r="T31" s="102"/>
    </row>
    <row r="32" spans="2:23" x14ac:dyDescent="0.25">
      <c r="B32" s="198"/>
      <c r="C32" s="61"/>
      <c r="D32" s="102"/>
      <c r="E32" s="102" t="s">
        <v>106</v>
      </c>
      <c r="F32" s="91"/>
      <c r="G32" s="91"/>
      <c r="H32" s="102"/>
      <c r="I32" s="91"/>
      <c r="J32" s="102"/>
      <c r="K32" s="91"/>
      <c r="L32" s="102"/>
      <c r="M32" s="91"/>
      <c r="N32" s="102"/>
      <c r="O32" s="222"/>
      <c r="P32" s="222"/>
      <c r="Q32" s="222"/>
      <c r="R32" s="222"/>
      <c r="S32" s="222"/>
      <c r="T32" s="222"/>
      <c r="W32" s="58">
        <f>ROW()</f>
        <v>32</v>
      </c>
    </row>
    <row r="33" spans="1:23" ht="6" customHeight="1" x14ac:dyDescent="0.25">
      <c r="B33" s="198"/>
      <c r="C33" s="61"/>
      <c r="D33" s="102"/>
      <c r="E33" s="91"/>
      <c r="F33" s="91"/>
      <c r="G33" s="91"/>
      <c r="H33" s="102"/>
      <c r="I33" s="91"/>
      <c r="J33" s="102"/>
      <c r="K33" s="91"/>
      <c r="L33" s="102"/>
      <c r="M33" s="91"/>
      <c r="N33" s="102"/>
      <c r="O33" s="91"/>
      <c r="P33" s="102"/>
      <c r="Q33" s="91"/>
      <c r="R33" s="102"/>
      <c r="S33" s="91"/>
      <c r="T33" s="102"/>
    </row>
    <row r="34" spans="1:23" x14ac:dyDescent="0.25">
      <c r="B34" s="198"/>
      <c r="C34" s="61"/>
      <c r="D34" s="68"/>
      <c r="E34" s="214" t="s">
        <v>71</v>
      </c>
      <c r="F34" s="214"/>
      <c r="G34" s="214"/>
      <c r="H34" s="143" t="str">
        <f ca="1">IFERROR(VLOOKUP(INDIRECT("O"&amp;CRFRow),'Effectiveness (CRF)'!$B$7:$E$9,2,FALSE),"")</f>
        <v/>
      </c>
      <c r="I34" s="91"/>
      <c r="J34" s="143" t="str">
        <f ca="1">IFERROR(VLOOKUP(INDIRECT("O"&amp;CRFRow),'Effectiveness (CRF)'!$B$7:$E$9,2,FALSE),"")</f>
        <v/>
      </c>
      <c r="K34" s="91"/>
      <c r="L34" s="143" t="str">
        <f ca="1">IFERROR(VLOOKUP(INDIRECT("O"&amp;CRFRow),'Effectiveness (CRF)'!$B$7:$E$9,2,FALSE),"")</f>
        <v/>
      </c>
      <c r="M34" s="91"/>
      <c r="N34" s="102"/>
      <c r="O34" s="91"/>
      <c r="Q34" s="91"/>
      <c r="R34" s="102"/>
      <c r="S34" s="91"/>
      <c r="T34" s="102"/>
      <c r="W34" s="144" t="s">
        <v>105</v>
      </c>
    </row>
    <row r="35" spans="1:23" ht="24" x14ac:dyDescent="0.25">
      <c r="B35" s="198"/>
      <c r="C35" s="61"/>
      <c r="D35" s="102"/>
      <c r="E35" s="91"/>
      <c r="F35" s="91"/>
      <c r="G35" s="91"/>
      <c r="H35" s="168" t="s">
        <v>64</v>
      </c>
      <c r="I35" s="168"/>
      <c r="J35" s="167" t="s">
        <v>67</v>
      </c>
      <c r="K35" s="168"/>
      <c r="L35" s="169" t="s">
        <v>70</v>
      </c>
      <c r="M35" s="91"/>
      <c r="N35" s="102"/>
      <c r="O35" s="91"/>
      <c r="P35" s="102"/>
      <c r="Q35" s="91"/>
      <c r="R35" s="102"/>
      <c r="S35" s="91"/>
      <c r="T35" s="102"/>
      <c r="W35" s="77"/>
    </row>
    <row r="36" spans="1:23" ht="18.75" x14ac:dyDescent="0.3">
      <c r="B36" s="198"/>
      <c r="C36" s="61"/>
      <c r="D36" s="71" t="s">
        <v>79</v>
      </c>
      <c r="E36" s="72"/>
      <c r="F36" s="91"/>
      <c r="G36" s="91"/>
      <c r="H36" s="102"/>
      <c r="I36" s="91"/>
      <c r="J36" s="102"/>
      <c r="K36" s="91"/>
      <c r="L36" s="102"/>
      <c r="M36" s="91"/>
      <c r="N36" s="102"/>
      <c r="O36" s="91"/>
      <c r="P36" s="102"/>
      <c r="Q36" s="91"/>
      <c r="R36" s="102"/>
      <c r="S36" s="91"/>
      <c r="T36" s="102"/>
    </row>
    <row r="37" spans="1:23" x14ac:dyDescent="0.25">
      <c r="B37" s="198"/>
      <c r="C37" s="61"/>
      <c r="D37" s="68"/>
      <c r="E37" s="214" t="s">
        <v>80</v>
      </c>
      <c r="F37" s="214"/>
      <c r="G37" s="214"/>
      <c r="H37" s="214"/>
      <c r="I37" s="223"/>
      <c r="J37" s="223"/>
      <c r="K37" s="91" t="s">
        <v>81</v>
      </c>
      <c r="L37" s="223"/>
      <c r="M37" s="223"/>
      <c r="N37" s="91" t="s">
        <v>144</v>
      </c>
      <c r="O37" s="68"/>
      <c r="P37" s="68"/>
      <c r="Q37" s="68"/>
      <c r="R37" s="68"/>
      <c r="S37" s="68"/>
      <c r="T37" s="68"/>
      <c r="V37" s="127"/>
    </row>
    <row r="38" spans="1:23" s="55" customFormat="1" x14ac:dyDescent="0.25">
      <c r="A38" s="63"/>
      <c r="B38" s="198"/>
      <c r="C38" s="61"/>
      <c r="D38" s="145"/>
      <c r="E38" s="145"/>
      <c r="F38" s="145"/>
      <c r="G38" s="56"/>
      <c r="H38" s="56"/>
      <c r="I38" s="168" t="s">
        <v>68</v>
      </c>
      <c r="J38" s="136"/>
      <c r="K38" s="56"/>
      <c r="L38" s="167" t="s">
        <v>69</v>
      </c>
      <c r="M38" s="145"/>
      <c r="N38" s="89"/>
      <c r="O38" s="56"/>
      <c r="P38" s="56"/>
      <c r="Q38" s="56"/>
      <c r="R38" s="56"/>
      <c r="S38" s="56"/>
      <c r="T38" s="56"/>
      <c r="U38" s="63"/>
      <c r="V38" s="146"/>
      <c r="W38" s="146"/>
    </row>
    <row r="39" spans="1:23" ht="6" customHeight="1" x14ac:dyDescent="0.25">
      <c r="B39" s="198"/>
      <c r="C39" s="61"/>
      <c r="D39" s="102"/>
      <c r="E39" s="91"/>
      <c r="F39" s="91"/>
      <c r="G39" s="91"/>
      <c r="H39" s="102"/>
      <c r="I39" s="91"/>
      <c r="J39" s="102"/>
      <c r="K39" s="91"/>
      <c r="L39" s="102"/>
      <c r="M39" s="91"/>
      <c r="N39" s="102"/>
      <c r="O39" s="91"/>
      <c r="P39" s="102"/>
      <c r="Q39" s="91"/>
      <c r="R39" s="102"/>
      <c r="S39" s="91"/>
      <c r="T39" s="102"/>
    </row>
    <row r="40" spans="1:23" x14ac:dyDescent="0.25">
      <c r="B40" s="198"/>
      <c r="C40" s="61"/>
      <c r="D40" s="91"/>
      <c r="E40" s="138"/>
      <c r="F40" s="103" t="s">
        <v>64</v>
      </c>
      <c r="G40" s="138"/>
      <c r="H40" s="81"/>
      <c r="I40" s="91"/>
      <c r="J40" s="52"/>
      <c r="K40" s="91"/>
      <c r="L40" s="52"/>
      <c r="M40" s="91"/>
      <c r="N40" s="52"/>
      <c r="O40" s="91"/>
      <c r="P40" s="52"/>
      <c r="Q40" s="91"/>
      <c r="R40" s="102"/>
      <c r="S40" s="91"/>
      <c r="T40" s="102"/>
    </row>
    <row r="41" spans="1:23" ht="6" customHeight="1" x14ac:dyDescent="0.25">
      <c r="B41" s="198"/>
      <c r="C41" s="61"/>
      <c r="D41" s="102"/>
      <c r="E41" s="162"/>
      <c r="F41" s="162"/>
      <c r="G41" s="162"/>
      <c r="H41" s="102"/>
      <c r="I41" s="162"/>
      <c r="J41" s="102"/>
      <c r="K41" s="162"/>
      <c r="L41" s="102"/>
      <c r="M41" s="162"/>
      <c r="N41" s="102"/>
      <c r="O41" s="162"/>
      <c r="P41" s="102"/>
      <c r="Q41" s="162"/>
      <c r="R41" s="102"/>
      <c r="S41" s="162"/>
      <c r="T41" s="102"/>
    </row>
    <row r="42" spans="1:23" s="55" customFormat="1" x14ac:dyDescent="0.25">
      <c r="A42" s="63"/>
      <c r="B42" s="198"/>
      <c r="C42" s="61"/>
      <c r="D42" s="145"/>
      <c r="E42" s="145"/>
      <c r="F42" s="103" t="s">
        <v>67</v>
      </c>
      <c r="G42" s="145"/>
      <c r="H42" s="81"/>
      <c r="I42" s="56"/>
      <c r="J42" s="160"/>
      <c r="K42" s="56"/>
      <c r="L42" s="161"/>
      <c r="M42" s="56"/>
      <c r="N42" s="160"/>
      <c r="O42" s="56"/>
      <c r="P42" s="160"/>
      <c r="Q42" s="145"/>
      <c r="R42" s="89"/>
      <c r="S42" s="145"/>
      <c r="T42" s="89"/>
      <c r="U42" s="63"/>
      <c r="V42" s="146"/>
      <c r="W42" s="146"/>
    </row>
    <row r="43" spans="1:23" ht="6" customHeight="1" x14ac:dyDescent="0.25">
      <c r="B43" s="198"/>
      <c r="C43" s="61"/>
      <c r="D43" s="102"/>
      <c r="E43" s="162"/>
      <c r="F43" s="103"/>
      <c r="G43" s="162"/>
      <c r="H43" s="102"/>
      <c r="I43" s="162"/>
      <c r="J43" s="102"/>
      <c r="K43" s="162"/>
      <c r="L43" s="102"/>
      <c r="M43" s="162"/>
      <c r="N43" s="102"/>
      <c r="O43" s="162"/>
      <c r="P43" s="102"/>
      <c r="Q43" s="162"/>
      <c r="R43" s="102"/>
      <c r="S43" s="162"/>
      <c r="T43" s="102"/>
    </row>
    <row r="44" spans="1:23" s="55" customFormat="1" x14ac:dyDescent="0.25">
      <c r="A44" s="63"/>
      <c r="B44" s="198"/>
      <c r="C44" s="61"/>
      <c r="D44" s="145"/>
      <c r="E44" s="145"/>
      <c r="F44" s="103" t="s">
        <v>65</v>
      </c>
      <c r="G44" s="145"/>
      <c r="H44" s="81"/>
      <c r="I44" s="56"/>
      <c r="J44" s="160"/>
      <c r="K44" s="56"/>
      <c r="L44" s="161"/>
      <c r="M44" s="56"/>
      <c r="N44" s="160"/>
      <c r="O44" s="56"/>
      <c r="P44" s="160"/>
      <c r="Q44" s="145"/>
      <c r="R44" s="89"/>
      <c r="S44" s="145"/>
      <c r="T44" s="89"/>
      <c r="U44" s="63"/>
      <c r="V44" s="146"/>
      <c r="W44" s="146"/>
    </row>
    <row r="45" spans="1:23" ht="24" customHeight="1" x14ac:dyDescent="0.25">
      <c r="B45" s="198"/>
      <c r="C45" s="61"/>
      <c r="D45" s="102"/>
      <c r="E45" s="162"/>
      <c r="F45" s="162"/>
      <c r="G45" s="162"/>
      <c r="H45" s="102"/>
      <c r="I45" s="162"/>
      <c r="J45" s="102"/>
      <c r="K45" s="162"/>
      <c r="L45" s="102"/>
      <c r="M45" s="162"/>
      <c r="N45" s="102"/>
      <c r="O45" s="162"/>
      <c r="P45" s="102"/>
      <c r="Q45" s="162"/>
      <c r="R45" s="102"/>
      <c r="S45" s="162"/>
      <c r="T45" s="102"/>
    </row>
    <row r="46" spans="1:23" s="55" customFormat="1" x14ac:dyDescent="0.25">
      <c r="A46" s="63"/>
      <c r="B46" s="198"/>
      <c r="C46" s="61"/>
      <c r="D46" s="145"/>
      <c r="E46" s="145"/>
      <c r="F46" s="171" t="s">
        <v>145</v>
      </c>
      <c r="G46" s="145"/>
      <c r="H46" s="81"/>
      <c r="I46" s="56"/>
      <c r="J46" s="160"/>
      <c r="K46" s="56"/>
      <c r="L46" s="161"/>
      <c r="M46" s="56"/>
      <c r="N46" s="160"/>
      <c r="O46" s="56"/>
      <c r="P46" s="160"/>
      <c r="Q46" s="145"/>
      <c r="R46" s="89"/>
      <c r="S46" s="145"/>
      <c r="T46" s="89"/>
      <c r="U46" s="63"/>
      <c r="V46" s="146">
        <v>1</v>
      </c>
      <c r="W46" s="146"/>
    </row>
    <row r="47" spans="1:23" ht="6" customHeight="1" x14ac:dyDescent="0.25">
      <c r="B47" s="198"/>
      <c r="C47" s="61"/>
      <c r="D47" s="102"/>
      <c r="E47" s="162"/>
      <c r="F47" s="162"/>
      <c r="G47" s="162"/>
      <c r="H47" s="102"/>
      <c r="I47" s="162"/>
      <c r="J47" s="102"/>
      <c r="K47" s="162"/>
      <c r="L47" s="102"/>
      <c r="M47" s="162"/>
      <c r="N47" s="102"/>
      <c r="O47" s="162"/>
      <c r="P47" s="102"/>
      <c r="Q47" s="162"/>
      <c r="R47" s="102"/>
      <c r="S47" s="162"/>
      <c r="T47" s="102"/>
    </row>
    <row r="48" spans="1:23" s="55" customFormat="1" x14ac:dyDescent="0.25">
      <c r="A48" s="63"/>
      <c r="B48" s="198"/>
      <c r="C48" s="61"/>
      <c r="D48" s="145"/>
      <c r="E48" s="145"/>
      <c r="F48" s="171" t="s">
        <v>146</v>
      </c>
      <c r="G48" s="145"/>
      <c r="H48" s="81"/>
      <c r="I48" s="56"/>
      <c r="J48" s="160"/>
      <c r="K48" s="56"/>
      <c r="L48" s="161"/>
      <c r="M48" s="56"/>
      <c r="N48" s="160"/>
      <c r="O48" s="56"/>
      <c r="P48" s="160"/>
      <c r="Q48" s="145"/>
      <c r="R48" s="89"/>
      <c r="S48" s="145"/>
      <c r="T48" s="89"/>
      <c r="U48" s="63"/>
      <c r="V48" s="146">
        <f>MAX($V$46:$V47)+1</f>
        <v>2</v>
      </c>
      <c r="W48" s="146"/>
    </row>
    <row r="49" spans="1:23" ht="6" customHeight="1" x14ac:dyDescent="0.25">
      <c r="B49" s="198"/>
      <c r="C49" s="61"/>
      <c r="D49" s="102"/>
      <c r="E49" s="162"/>
      <c r="F49" s="162"/>
      <c r="G49" s="162"/>
      <c r="H49" s="102"/>
      <c r="I49" s="162"/>
      <c r="J49" s="102"/>
      <c r="K49" s="162"/>
      <c r="L49" s="102"/>
      <c r="M49" s="162"/>
      <c r="N49" s="102"/>
      <c r="O49" s="162"/>
      <c r="P49" s="102"/>
      <c r="Q49" s="162"/>
      <c r="R49" s="102"/>
      <c r="S49" s="162"/>
      <c r="T49" s="102"/>
      <c r="V49" s="52"/>
      <c r="W49" s="52"/>
    </row>
    <row r="50" spans="1:23" s="55" customFormat="1" x14ac:dyDescent="0.25">
      <c r="A50" s="63"/>
      <c r="B50" s="198"/>
      <c r="C50" s="61"/>
      <c r="D50" s="145"/>
      <c r="E50" s="145"/>
      <c r="F50" s="171" t="s">
        <v>160</v>
      </c>
      <c r="G50" s="145"/>
      <c r="H50" s="81"/>
      <c r="I50" s="56"/>
      <c r="J50" s="160"/>
      <c r="K50" s="56"/>
      <c r="L50" s="161"/>
      <c r="M50" s="56"/>
      <c r="N50" s="160"/>
      <c r="O50" s="56"/>
      <c r="P50" s="160"/>
      <c r="Q50" s="145"/>
      <c r="R50" s="89"/>
      <c r="S50" s="145"/>
      <c r="T50" s="89"/>
      <c r="U50" s="63"/>
      <c r="V50" s="146">
        <f>MAX($V$46:$V49)+1</f>
        <v>3</v>
      </c>
      <c r="W50" s="146"/>
    </row>
    <row r="51" spans="1:23" ht="6" customHeight="1" x14ac:dyDescent="0.25">
      <c r="B51" s="198"/>
      <c r="C51" s="61"/>
      <c r="D51" s="102"/>
      <c r="E51" s="186"/>
      <c r="F51" s="186"/>
      <c r="G51" s="186"/>
      <c r="H51" s="102"/>
      <c r="I51" s="186"/>
      <c r="J51" s="102"/>
      <c r="K51" s="186"/>
      <c r="L51" s="102"/>
      <c r="M51" s="186"/>
      <c r="N51" s="102"/>
      <c r="O51" s="186"/>
      <c r="P51" s="102"/>
      <c r="Q51" s="186"/>
      <c r="R51" s="102"/>
      <c r="S51" s="186"/>
      <c r="T51" s="102"/>
      <c r="V51" s="52"/>
      <c r="W51" s="52"/>
    </row>
    <row r="52" spans="1:23" s="55" customFormat="1" x14ac:dyDescent="0.25">
      <c r="A52" s="63"/>
      <c r="B52" s="198"/>
      <c r="C52" s="61"/>
      <c r="D52" s="145"/>
      <c r="E52" s="145"/>
      <c r="F52" s="171" t="s">
        <v>156</v>
      </c>
      <c r="G52" s="145"/>
      <c r="H52" s="81"/>
      <c r="I52" s="56"/>
      <c r="J52" s="160"/>
      <c r="K52" s="56"/>
      <c r="L52" s="161"/>
      <c r="M52" s="56"/>
      <c r="N52" s="160"/>
      <c r="O52" s="56"/>
      <c r="P52" s="160"/>
      <c r="Q52" s="145"/>
      <c r="R52" s="89"/>
      <c r="S52" s="145"/>
      <c r="T52" s="89"/>
      <c r="U52" s="63"/>
      <c r="V52" s="146">
        <f>MAX($V$46:$V51)+1</f>
        <v>4</v>
      </c>
      <c r="W52" s="146"/>
    </row>
    <row r="53" spans="1:23" ht="6" customHeight="1" x14ac:dyDescent="0.25">
      <c r="B53" s="198"/>
      <c r="C53" s="61"/>
      <c r="D53" s="102"/>
      <c r="E53" s="186"/>
      <c r="F53" s="186"/>
      <c r="G53" s="186"/>
      <c r="H53" s="102"/>
      <c r="I53" s="186"/>
      <c r="J53" s="102"/>
      <c r="K53" s="186"/>
      <c r="L53" s="102"/>
      <c r="M53" s="186"/>
      <c r="N53" s="102"/>
      <c r="O53" s="186"/>
      <c r="P53" s="102"/>
      <c r="Q53" s="186"/>
      <c r="R53" s="102"/>
      <c r="S53" s="186"/>
      <c r="T53" s="102"/>
      <c r="V53" s="52"/>
      <c r="W53" s="52"/>
    </row>
    <row r="54" spans="1:23" s="68" customFormat="1" ht="15.75" thickBot="1" x14ac:dyDescent="0.3">
      <c r="A54" s="57"/>
      <c r="B54" s="199"/>
      <c r="C54" s="62"/>
      <c r="D54" s="147"/>
      <c r="E54" s="60"/>
      <c r="F54" s="148"/>
      <c r="G54" s="148"/>
      <c r="H54" s="147"/>
      <c r="I54" s="148"/>
      <c r="J54" s="147"/>
      <c r="K54" s="148"/>
      <c r="L54" s="147"/>
      <c r="M54" s="148"/>
      <c r="N54" s="147"/>
      <c r="O54" s="148"/>
      <c r="P54" s="147"/>
      <c r="Q54" s="148"/>
      <c r="R54" s="147"/>
      <c r="S54" s="148"/>
      <c r="T54" s="147"/>
      <c r="U54" s="57"/>
      <c r="V54" s="129">
        <v>4</v>
      </c>
      <c r="W54" s="129">
        <f>ROW()</f>
        <v>54</v>
      </c>
    </row>
    <row r="55" spans="1:23" ht="6" customHeight="1" x14ac:dyDescent="0.25">
      <c r="B55" s="211" t="s">
        <v>84</v>
      </c>
      <c r="C55" s="149"/>
      <c r="D55" s="122"/>
      <c r="E55" s="70"/>
      <c r="F55" s="123"/>
      <c r="G55" s="123"/>
      <c r="H55" s="122"/>
      <c r="I55" s="123"/>
      <c r="J55" s="122"/>
      <c r="K55" s="123"/>
      <c r="L55" s="122"/>
      <c r="M55" s="123"/>
      <c r="N55" s="122"/>
      <c r="O55" s="123"/>
      <c r="P55" s="122"/>
      <c r="Q55" s="123"/>
      <c r="R55" s="122"/>
      <c r="S55" s="123"/>
      <c r="T55" s="122"/>
    </row>
    <row r="56" spans="1:23" s="56" customFormat="1" ht="45" customHeight="1" x14ac:dyDescent="0.25">
      <c r="A56" s="63"/>
      <c r="B56" s="212"/>
      <c r="C56" s="150"/>
      <c r="D56" s="209" t="s">
        <v>152</v>
      </c>
      <c r="E56" s="209"/>
      <c r="F56" s="209"/>
      <c r="G56" s="209"/>
      <c r="H56" s="209"/>
      <c r="I56" s="209"/>
      <c r="J56" s="209"/>
      <c r="K56" s="209"/>
      <c r="L56" s="209"/>
      <c r="M56" s="209"/>
      <c r="N56" s="209"/>
      <c r="O56" s="209"/>
      <c r="P56" s="209"/>
      <c r="Q56" s="209"/>
      <c r="R56" s="209"/>
      <c r="S56" s="209"/>
      <c r="T56" s="209"/>
      <c r="U56" s="63"/>
      <c r="V56" s="151"/>
      <c r="W56" s="151"/>
    </row>
    <row r="57" spans="1:23" x14ac:dyDescent="0.25">
      <c r="B57" s="212"/>
      <c r="C57" s="130"/>
      <c r="D57" s="102" t="s">
        <v>118</v>
      </c>
      <c r="E57" s="91"/>
      <c r="F57" s="91"/>
      <c r="G57" s="91"/>
      <c r="H57" s="102"/>
      <c r="I57" s="91"/>
      <c r="J57" s="102"/>
      <c r="K57" s="91"/>
      <c r="L57" s="102"/>
      <c r="M57" s="91"/>
      <c r="N57" s="102"/>
      <c r="O57" s="91"/>
      <c r="P57" s="102"/>
      <c r="Q57" s="91"/>
      <c r="R57" s="102"/>
      <c r="S57" s="91"/>
      <c r="T57" s="102"/>
    </row>
    <row r="58" spans="1:23" x14ac:dyDescent="0.25">
      <c r="B58" s="212"/>
      <c r="C58" s="130"/>
      <c r="D58" s="89" t="s">
        <v>119</v>
      </c>
      <c r="E58" s="88"/>
      <c r="F58" s="88"/>
      <c r="G58" s="88"/>
      <c r="H58" s="88"/>
      <c r="I58" s="205">
        <v>44378</v>
      </c>
      <c r="J58" s="205"/>
      <c r="K58" s="88"/>
      <c r="L58" s="88"/>
      <c r="M58" s="88"/>
      <c r="N58" s="88"/>
      <c r="O58" s="88"/>
      <c r="P58" s="88"/>
      <c r="Q58" s="88"/>
      <c r="R58" s="88"/>
      <c r="S58" s="88"/>
      <c r="T58" s="88"/>
    </row>
    <row r="59" spans="1:23" ht="6" customHeight="1" x14ac:dyDescent="0.25">
      <c r="B59" s="212"/>
      <c r="C59" s="130"/>
      <c r="D59" s="102"/>
      <c r="E59" s="103"/>
      <c r="F59" s="102"/>
      <c r="G59" s="91"/>
      <c r="H59" s="102"/>
      <c r="I59" s="91"/>
      <c r="J59" s="102"/>
      <c r="K59" s="91"/>
      <c r="L59" s="102"/>
      <c r="M59" s="91"/>
      <c r="N59" s="102"/>
      <c r="O59" s="91"/>
      <c r="P59" s="102"/>
      <c r="Q59" s="91"/>
      <c r="R59" s="102"/>
      <c r="S59" s="91"/>
      <c r="T59" s="102"/>
    </row>
    <row r="60" spans="1:23" x14ac:dyDescent="0.25">
      <c r="B60" s="212"/>
      <c r="C60" s="130"/>
      <c r="D60" s="102"/>
      <c r="F60" s="103" t="s">
        <v>64</v>
      </c>
      <c r="H60" s="92">
        <v>1820600</v>
      </c>
      <c r="I60" s="91"/>
      <c r="J60" s="102"/>
      <c r="K60" s="91"/>
      <c r="L60" s="102"/>
      <c r="M60" s="91"/>
      <c r="N60" s="102"/>
      <c r="O60" s="91"/>
      <c r="P60" s="102"/>
      <c r="Q60" s="91"/>
      <c r="R60" s="102"/>
      <c r="S60" s="91"/>
      <c r="T60" s="102"/>
    </row>
    <row r="61" spans="1:23" ht="3.95" customHeight="1" x14ac:dyDescent="0.25">
      <c r="B61" s="212"/>
      <c r="C61" s="130"/>
      <c r="D61" s="102"/>
      <c r="F61" s="103"/>
      <c r="H61" s="102"/>
      <c r="I61" s="91"/>
      <c r="J61" s="102"/>
      <c r="K61" s="91"/>
      <c r="L61" s="102"/>
      <c r="M61" s="91"/>
      <c r="N61" s="102"/>
      <c r="O61" s="91"/>
      <c r="P61" s="102"/>
      <c r="Q61" s="91"/>
      <c r="R61" s="102"/>
      <c r="S61" s="91"/>
      <c r="T61" s="102"/>
    </row>
    <row r="62" spans="1:23" x14ac:dyDescent="0.25">
      <c r="B62" s="212"/>
      <c r="C62" s="130"/>
      <c r="D62" s="102"/>
      <c r="F62" s="103" t="s">
        <v>67</v>
      </c>
      <c r="H62" s="92">
        <v>101800</v>
      </c>
      <c r="I62" s="91"/>
      <c r="J62" s="102"/>
      <c r="K62" s="91"/>
      <c r="L62" s="102"/>
      <c r="M62" s="91"/>
      <c r="N62" s="102"/>
      <c r="O62" s="91"/>
      <c r="P62" s="102"/>
      <c r="Q62" s="91"/>
      <c r="R62" s="102"/>
      <c r="S62" s="91"/>
      <c r="T62" s="102"/>
    </row>
    <row r="63" spans="1:23" ht="3.95" customHeight="1" x14ac:dyDescent="0.25">
      <c r="B63" s="212"/>
      <c r="C63" s="130"/>
      <c r="D63" s="102"/>
      <c r="F63" s="103"/>
      <c r="H63" s="102"/>
      <c r="I63" s="91"/>
      <c r="J63" s="102"/>
      <c r="K63" s="91"/>
      <c r="L63" s="102"/>
      <c r="M63" s="91"/>
      <c r="N63" s="102"/>
      <c r="O63" s="91"/>
      <c r="P63" s="102"/>
      <c r="Q63" s="91"/>
      <c r="R63" s="102"/>
      <c r="S63" s="91"/>
      <c r="T63" s="102"/>
    </row>
    <row r="64" spans="1:23" x14ac:dyDescent="0.25">
      <c r="B64" s="212"/>
      <c r="C64" s="130"/>
      <c r="D64" s="102"/>
      <c r="F64" s="103" t="s">
        <v>65</v>
      </c>
      <c r="H64" s="92">
        <v>11100</v>
      </c>
      <c r="I64" s="91"/>
      <c r="J64" s="102"/>
      <c r="K64" s="91"/>
      <c r="L64" s="102"/>
      <c r="M64" s="91"/>
      <c r="N64" s="102"/>
      <c r="O64" s="91"/>
      <c r="P64" s="102"/>
      <c r="Q64" s="91"/>
      <c r="R64" s="102"/>
      <c r="S64" s="91"/>
      <c r="T64" s="102"/>
    </row>
    <row r="65" spans="1:23" ht="21" customHeight="1" x14ac:dyDescent="0.25">
      <c r="B65" s="212"/>
      <c r="C65" s="130"/>
      <c r="D65" s="102"/>
      <c r="E65" s="103"/>
      <c r="F65" s="100"/>
      <c r="G65" s="91"/>
      <c r="H65" s="102"/>
      <c r="I65" s="91"/>
      <c r="J65" s="102"/>
      <c r="K65" s="91"/>
      <c r="L65" s="102"/>
      <c r="M65" s="91"/>
      <c r="N65" s="102"/>
      <c r="O65" s="91"/>
      <c r="P65" s="102"/>
      <c r="Q65" s="91"/>
      <c r="R65" s="102"/>
      <c r="S65" s="91"/>
      <c r="T65" s="102"/>
    </row>
    <row r="66" spans="1:23" hidden="1" x14ac:dyDescent="0.25">
      <c r="B66" s="212"/>
      <c r="C66" s="130"/>
      <c r="D66" s="214" t="s">
        <v>83</v>
      </c>
      <c r="E66" s="214"/>
      <c r="F66" s="214"/>
      <c r="G66" s="214"/>
      <c r="H66" s="214"/>
      <c r="I66" s="214"/>
      <c r="J66" s="214"/>
      <c r="K66" s="214"/>
      <c r="L66" s="214"/>
      <c r="M66" s="214"/>
      <c r="N66" s="214"/>
      <c r="O66" s="214"/>
      <c r="P66" s="214"/>
      <c r="Q66" s="214"/>
      <c r="R66" s="214"/>
      <c r="S66" s="214"/>
      <c r="T66" s="214"/>
      <c r="W66" s="58">
        <f>ROW()</f>
        <v>66</v>
      </c>
    </row>
    <row r="67" spans="1:23" ht="6" hidden="1" customHeight="1" x14ac:dyDescent="0.25">
      <c r="B67" s="212"/>
      <c r="C67" s="130"/>
      <c r="D67" s="74"/>
      <c r="E67" s="74"/>
      <c r="F67" s="74"/>
      <c r="G67" s="74"/>
      <c r="H67" s="102"/>
      <c r="I67" s="91"/>
      <c r="J67" s="102"/>
      <c r="K67" s="91"/>
      <c r="L67" s="102"/>
      <c r="M67" s="91"/>
      <c r="N67" s="102"/>
      <c r="O67" s="91"/>
      <c r="P67" s="102"/>
      <c r="Q67" s="91"/>
      <c r="R67" s="102"/>
      <c r="S67" s="91"/>
      <c r="T67" s="102"/>
    </row>
    <row r="68" spans="1:23" s="119" customFormat="1" hidden="1" x14ac:dyDescent="0.25">
      <c r="A68" s="126"/>
      <c r="B68" s="212"/>
      <c r="C68" s="130"/>
      <c r="D68" s="138"/>
      <c r="E68" s="138"/>
      <c r="F68" s="103" t="s">
        <v>125</v>
      </c>
      <c r="G68" s="138"/>
      <c r="H68" s="114">
        <v>0.05</v>
      </c>
      <c r="I68" s="91"/>
      <c r="J68" s="164" t="s">
        <v>86</v>
      </c>
      <c r="K68" s="162"/>
      <c r="L68" s="102"/>
      <c r="M68" s="91"/>
      <c r="N68" s="102"/>
      <c r="O68" s="91"/>
      <c r="P68" s="102"/>
      <c r="Q68" s="91"/>
      <c r="R68" s="102"/>
      <c r="S68" s="91"/>
      <c r="T68" s="102"/>
      <c r="U68" s="126"/>
      <c r="V68" s="58"/>
      <c r="W68" s="58"/>
    </row>
    <row r="69" spans="1:23" s="119" customFormat="1" hidden="1" x14ac:dyDescent="0.25">
      <c r="A69" s="126"/>
      <c r="B69" s="212"/>
      <c r="C69" s="130"/>
      <c r="D69" s="138"/>
      <c r="E69" s="138"/>
      <c r="F69" s="106"/>
      <c r="G69" s="138"/>
      <c r="H69" s="67"/>
      <c r="I69" s="91"/>
      <c r="J69" s="164"/>
      <c r="K69" s="162"/>
      <c r="L69" s="102"/>
      <c r="M69" s="91"/>
      <c r="N69" s="102"/>
      <c r="O69" s="91"/>
      <c r="P69" s="102"/>
      <c r="Q69" s="91"/>
      <c r="R69" s="102"/>
      <c r="S69" s="91"/>
      <c r="T69" s="129"/>
      <c r="U69" s="126"/>
      <c r="V69" s="58"/>
      <c r="W69" s="58"/>
    </row>
    <row r="70" spans="1:23" s="119" customFormat="1" hidden="1" x14ac:dyDescent="0.25">
      <c r="A70" s="126"/>
      <c r="B70" s="212"/>
      <c r="C70" s="130"/>
      <c r="D70" s="138"/>
      <c r="E70" s="138"/>
      <c r="F70" s="103" t="s">
        <v>126</v>
      </c>
      <c r="G70" s="138"/>
      <c r="H70" s="114">
        <v>0.02</v>
      </c>
      <c r="I70" s="91"/>
      <c r="J70" s="164" t="s">
        <v>91</v>
      </c>
      <c r="K70" s="162"/>
      <c r="L70" s="102"/>
      <c r="M70" s="91"/>
      <c r="N70" s="102"/>
      <c r="O70" s="91"/>
      <c r="P70" s="102"/>
      <c r="Q70" s="91"/>
      <c r="R70" s="102"/>
      <c r="S70" s="91"/>
      <c r="T70" s="129"/>
      <c r="U70" s="126"/>
      <c r="V70" s="58"/>
      <c r="W70" s="58"/>
    </row>
    <row r="71" spans="1:23" s="119" customFormat="1" hidden="1" x14ac:dyDescent="0.25">
      <c r="A71" s="126"/>
      <c r="B71" s="212"/>
      <c r="C71" s="130"/>
      <c r="D71" s="138"/>
      <c r="E71" s="138"/>
      <c r="F71" s="106"/>
      <c r="G71" s="138"/>
      <c r="H71" s="67"/>
      <c r="I71" s="91"/>
      <c r="J71" s="164"/>
      <c r="K71" s="162"/>
      <c r="L71" s="102"/>
      <c r="M71" s="91"/>
      <c r="N71" s="102"/>
      <c r="O71" s="91"/>
      <c r="P71" s="102"/>
      <c r="Q71" s="91"/>
      <c r="R71" s="102"/>
      <c r="S71" s="91"/>
      <c r="T71" s="129"/>
      <c r="U71" s="126"/>
      <c r="V71" s="58"/>
      <c r="W71" s="58"/>
    </row>
    <row r="72" spans="1:23" s="119" customFormat="1" hidden="1" x14ac:dyDescent="0.25">
      <c r="A72" s="126"/>
      <c r="B72" s="212"/>
      <c r="C72" s="130"/>
      <c r="D72" s="138"/>
      <c r="E72" s="138"/>
      <c r="F72" s="103" t="s">
        <v>127</v>
      </c>
      <c r="G72" s="138"/>
      <c r="H72" s="95">
        <f ca="1">IFERROR(IF(SUMPRODUCT($J$9:$J$14,$N$9:$N$14)/SUM($N$9:$N$14)&gt;20,20,SUMPRODUCT($J$9:$J$14,$N$9:$N$14)/SUM($N$9:$N$14)),0)</f>
        <v>0</v>
      </c>
      <c r="I72" s="91"/>
      <c r="J72" s="164"/>
      <c r="K72" s="162"/>
      <c r="L72" s="174" t="s">
        <v>147</v>
      </c>
      <c r="M72" s="91"/>
      <c r="N72" s="102"/>
      <c r="O72" s="91"/>
      <c r="P72" s="102"/>
      <c r="Q72" s="91"/>
      <c r="R72" s="102"/>
      <c r="S72" s="91"/>
      <c r="T72" s="129"/>
      <c r="U72" s="126"/>
      <c r="V72" s="58"/>
      <c r="W72" s="58"/>
    </row>
    <row r="73" spans="1:23" hidden="1" x14ac:dyDescent="0.25">
      <c r="B73" s="212"/>
      <c r="C73" s="130"/>
      <c r="D73" s="74"/>
      <c r="E73" s="74"/>
      <c r="F73" s="74"/>
      <c r="G73" s="74"/>
      <c r="H73" s="102"/>
      <c r="I73" s="162"/>
      <c r="J73" s="102"/>
      <c r="K73" s="162"/>
      <c r="L73" s="102"/>
      <c r="M73" s="162"/>
      <c r="N73" s="102"/>
      <c r="O73" s="162"/>
      <c r="P73" s="102"/>
      <c r="Q73" s="162"/>
      <c r="R73" s="102"/>
      <c r="S73" s="162"/>
      <c r="T73" s="102"/>
    </row>
    <row r="74" spans="1:23" s="119" customFormat="1" hidden="1" x14ac:dyDescent="0.25">
      <c r="A74" s="126"/>
      <c r="B74" s="212"/>
      <c r="C74" s="130"/>
      <c r="D74" s="138"/>
      <c r="E74" s="138"/>
      <c r="F74" s="103" t="s">
        <v>128</v>
      </c>
      <c r="G74" s="138"/>
      <c r="H74" s="95">
        <f>YEARFRAC($I$37,$L$37,1)</f>
        <v>0</v>
      </c>
      <c r="I74" s="91"/>
      <c r="J74" s="164" t="s">
        <v>87</v>
      </c>
      <c r="K74" s="162"/>
      <c r="L74" s="102"/>
      <c r="M74" s="91"/>
      <c r="N74" s="102"/>
      <c r="O74" s="91"/>
      <c r="P74" s="102"/>
      <c r="Q74" s="91"/>
      <c r="R74" s="102"/>
      <c r="S74" s="91"/>
      <c r="T74" s="129"/>
      <c r="U74" s="126"/>
      <c r="V74" s="58"/>
      <c r="W74" s="58"/>
    </row>
    <row r="75" spans="1:23" s="119" customFormat="1" hidden="1" x14ac:dyDescent="0.25">
      <c r="A75" s="126"/>
      <c r="B75" s="212"/>
      <c r="C75" s="130"/>
      <c r="D75" s="138"/>
      <c r="E75" s="138"/>
      <c r="F75" s="106"/>
      <c r="G75" s="138"/>
      <c r="H75" s="67"/>
      <c r="I75" s="91"/>
      <c r="J75" s="164"/>
      <c r="K75" s="162"/>
      <c r="L75" s="102"/>
      <c r="M75" s="91"/>
      <c r="N75" s="102"/>
      <c r="O75" s="91"/>
      <c r="P75" s="102"/>
      <c r="Q75" s="91"/>
      <c r="R75" s="102"/>
      <c r="S75" s="91"/>
      <c r="T75" s="129"/>
      <c r="U75" s="126"/>
      <c r="V75" s="58"/>
      <c r="W75" s="58"/>
    </row>
    <row r="76" spans="1:23" s="119" customFormat="1" hidden="1" x14ac:dyDescent="0.25">
      <c r="A76" s="126"/>
      <c r="B76" s="212"/>
      <c r="C76" s="130"/>
      <c r="D76" s="138"/>
      <c r="E76" s="138"/>
      <c r="F76" s="103" t="s">
        <v>129</v>
      </c>
      <c r="G76" s="138"/>
      <c r="H76" s="115">
        <f ca="1">IFERROR((H68*(1+H68)^H72)/((1+H68)^H72-1),0)</f>
        <v>0</v>
      </c>
      <c r="I76" s="91"/>
      <c r="J76" s="164"/>
      <c r="K76" s="162"/>
      <c r="L76" s="102"/>
      <c r="M76" s="91"/>
      <c r="N76" s="102"/>
      <c r="O76" s="91"/>
      <c r="P76" s="102"/>
      <c r="Q76" s="91"/>
      <c r="R76" s="102"/>
      <c r="S76" s="91"/>
      <c r="T76" s="129"/>
      <c r="U76" s="126"/>
      <c r="V76" s="58"/>
      <c r="W76" s="58"/>
    </row>
    <row r="77" spans="1:23" s="119" customFormat="1" hidden="1" x14ac:dyDescent="0.25">
      <c r="A77" s="126"/>
      <c r="B77" s="212"/>
      <c r="C77" s="130"/>
      <c r="D77" s="138"/>
      <c r="E77" s="138"/>
      <c r="F77" s="103"/>
      <c r="G77" s="138"/>
      <c r="H77" s="67"/>
      <c r="I77" s="91"/>
      <c r="J77" s="164"/>
      <c r="K77" s="162"/>
      <c r="L77" s="102"/>
      <c r="M77" s="91"/>
      <c r="N77" s="102"/>
      <c r="O77" s="91"/>
      <c r="P77" s="102"/>
      <c r="Q77" s="91"/>
      <c r="R77" s="102"/>
      <c r="S77" s="91"/>
      <c r="T77" s="129"/>
      <c r="U77" s="126"/>
      <c r="V77" s="58"/>
      <c r="W77" s="58"/>
    </row>
    <row r="78" spans="1:23" s="119" customFormat="1" hidden="1" x14ac:dyDescent="0.25">
      <c r="A78" s="126"/>
      <c r="B78" s="212"/>
      <c r="C78" s="130"/>
      <c r="D78" s="138"/>
      <c r="E78" s="138"/>
      <c r="F78" s="103" t="s">
        <v>130</v>
      </c>
      <c r="G78" s="138"/>
      <c r="H78" s="116">
        <f ca="1">IFERROR(($H$40*(1+H70)^(H72/2))/H74,0)</f>
        <v>0</v>
      </c>
      <c r="I78" s="91"/>
      <c r="J78" s="170"/>
      <c r="K78" s="162"/>
      <c r="L78" s="102"/>
      <c r="M78" s="91"/>
      <c r="N78" s="102"/>
      <c r="O78" s="91"/>
      <c r="P78" s="152"/>
      <c r="Q78" s="91"/>
      <c r="R78" s="102"/>
      <c r="S78" s="91"/>
      <c r="T78" s="129"/>
      <c r="U78" s="126"/>
      <c r="V78" s="58"/>
      <c r="W78" s="58"/>
    </row>
    <row r="79" spans="1:23" s="119" customFormat="1" hidden="1" x14ac:dyDescent="0.25">
      <c r="A79" s="126"/>
      <c r="B79" s="212"/>
      <c r="C79" s="130"/>
      <c r="D79" s="138"/>
      <c r="E79" s="138"/>
      <c r="F79" s="103"/>
      <c r="G79" s="138"/>
      <c r="H79" s="67"/>
      <c r="I79" s="91"/>
      <c r="J79" s="164"/>
      <c r="K79" s="162"/>
      <c r="L79" s="102"/>
      <c r="M79" s="91"/>
      <c r="N79" s="102"/>
      <c r="O79" s="91"/>
      <c r="P79" s="102"/>
      <c r="Q79" s="91"/>
      <c r="R79" s="102"/>
      <c r="S79" s="91"/>
      <c r="T79" s="129"/>
      <c r="U79" s="126"/>
      <c r="V79" s="58"/>
      <c r="W79" s="58"/>
    </row>
    <row r="80" spans="1:23" s="119" customFormat="1" hidden="1" x14ac:dyDescent="0.25">
      <c r="A80" s="126"/>
      <c r="B80" s="212"/>
      <c r="C80" s="130"/>
      <c r="D80" s="138"/>
      <c r="E80" s="138"/>
      <c r="F80" s="103" t="s">
        <v>131</v>
      </c>
      <c r="G80" s="138"/>
      <c r="H80" s="116">
        <f ca="1">IFERROR(($H$42*(1+H70)^(H72/2))/H74,0)</f>
        <v>0</v>
      </c>
      <c r="I80" s="91"/>
      <c r="J80" s="170"/>
      <c r="K80" s="162"/>
      <c r="L80" s="102"/>
      <c r="M80" s="91"/>
      <c r="N80" s="102"/>
      <c r="O80" s="91"/>
      <c r="P80" s="102"/>
      <c r="Q80" s="91"/>
      <c r="R80" s="102"/>
      <c r="S80" s="91"/>
      <c r="T80" s="129"/>
      <c r="U80" s="126"/>
      <c r="V80" s="58"/>
      <c r="W80" s="58"/>
    </row>
    <row r="81" spans="1:23" s="119" customFormat="1" hidden="1" x14ac:dyDescent="0.25">
      <c r="A81" s="126"/>
      <c r="B81" s="212"/>
      <c r="C81" s="130"/>
      <c r="D81" s="138"/>
      <c r="E81" s="138"/>
      <c r="F81" s="103"/>
      <c r="G81" s="138"/>
      <c r="H81" s="67"/>
      <c r="I81" s="91"/>
      <c r="J81" s="164"/>
      <c r="K81" s="162"/>
      <c r="L81" s="102"/>
      <c r="M81" s="91"/>
      <c r="N81" s="102"/>
      <c r="O81" s="91"/>
      <c r="P81" s="102"/>
      <c r="Q81" s="91"/>
      <c r="R81" s="102"/>
      <c r="S81" s="91"/>
      <c r="T81" s="129"/>
      <c r="U81" s="126"/>
      <c r="V81" s="58"/>
      <c r="W81" s="58"/>
    </row>
    <row r="82" spans="1:23" s="119" customFormat="1" hidden="1" x14ac:dyDescent="0.25">
      <c r="A82" s="126"/>
      <c r="B82" s="212"/>
      <c r="C82" s="130"/>
      <c r="D82" s="138"/>
      <c r="E82" s="138"/>
      <c r="F82" s="103" t="s">
        <v>132</v>
      </c>
      <c r="G82" s="138"/>
      <c r="H82" s="116">
        <f ca="1">IFERROR(($H$44*(1+H70)^(H72/2))/H74,0)</f>
        <v>0</v>
      </c>
      <c r="I82" s="91"/>
      <c r="J82" s="170"/>
      <c r="K82" s="162"/>
      <c r="L82" s="102"/>
      <c r="M82" s="91"/>
      <c r="N82" s="102"/>
      <c r="O82" s="91"/>
      <c r="P82" s="102"/>
      <c r="Q82" s="91"/>
      <c r="R82" s="102"/>
      <c r="S82" s="91"/>
      <c r="T82" s="129"/>
      <c r="U82" s="126"/>
      <c r="V82" s="58"/>
      <c r="W82" s="58"/>
    </row>
    <row r="83" spans="1:23" s="119" customFormat="1" hidden="1" x14ac:dyDescent="0.25">
      <c r="A83" s="126"/>
      <c r="B83" s="212"/>
      <c r="C83" s="130"/>
      <c r="D83" s="138"/>
      <c r="E83" s="138"/>
      <c r="F83" s="103"/>
      <c r="G83" s="138"/>
      <c r="H83" s="67"/>
      <c r="I83" s="91"/>
      <c r="J83" s="164"/>
      <c r="K83" s="162"/>
      <c r="L83" s="102"/>
      <c r="M83" s="91"/>
      <c r="N83" s="102"/>
      <c r="O83" s="91"/>
      <c r="P83" s="102"/>
      <c r="Q83" s="91"/>
      <c r="R83" s="102"/>
      <c r="S83" s="91"/>
      <c r="T83" s="129"/>
      <c r="U83" s="126"/>
      <c r="V83" s="58"/>
      <c r="W83" s="58"/>
    </row>
    <row r="84" spans="1:23" s="119" customFormat="1" hidden="1" x14ac:dyDescent="0.25">
      <c r="A84" s="126"/>
      <c r="B84" s="212"/>
      <c r="C84" s="130"/>
      <c r="D84" s="138"/>
      <c r="E84" s="138"/>
      <c r="F84" s="103" t="s">
        <v>133</v>
      </c>
      <c r="G84" s="138"/>
      <c r="H84" s="117">
        <f>IFERROR(SUMPRODUCT(1/J9:J14,P9:P14),0)</f>
        <v>0</v>
      </c>
      <c r="I84" s="91"/>
      <c r="J84" s="170"/>
      <c r="K84" s="162"/>
      <c r="L84" s="102"/>
      <c r="M84" s="91"/>
      <c r="N84" s="102"/>
      <c r="O84" s="91"/>
      <c r="P84" s="102"/>
      <c r="Q84" s="91"/>
      <c r="R84" s="102"/>
      <c r="S84" s="91"/>
      <c r="T84" s="129"/>
      <c r="U84" s="126"/>
      <c r="V84" s="58"/>
      <c r="W84" s="58"/>
    </row>
    <row r="85" spans="1:23" s="119" customFormat="1" hidden="1" x14ac:dyDescent="0.25">
      <c r="A85" s="126"/>
      <c r="B85" s="212"/>
      <c r="C85" s="130"/>
      <c r="D85" s="138"/>
      <c r="E85" s="138"/>
      <c r="F85" s="103"/>
      <c r="G85" s="138"/>
      <c r="H85" s="67"/>
      <c r="I85" s="91"/>
      <c r="J85" s="164"/>
      <c r="K85" s="162"/>
      <c r="L85" s="102"/>
      <c r="M85" s="91"/>
      <c r="N85" s="102"/>
      <c r="O85" s="91"/>
      <c r="P85" s="102"/>
      <c r="Q85" s="91"/>
      <c r="R85" s="102"/>
      <c r="S85" s="91"/>
      <c r="T85" s="129"/>
      <c r="U85" s="126"/>
      <c r="V85" s="58"/>
      <c r="W85" s="58"/>
    </row>
    <row r="86" spans="1:23" s="119" customFormat="1" hidden="1" x14ac:dyDescent="0.25">
      <c r="A86" s="126"/>
      <c r="B86" s="212"/>
      <c r="C86" s="130"/>
      <c r="D86" s="138"/>
      <c r="E86" s="138"/>
      <c r="F86" s="118" t="s">
        <v>134</v>
      </c>
      <c r="G86" s="138"/>
      <c r="H86" s="181">
        <f ca="1">IFERROR(SUM(H64*H82*L34,H62*H80*J34,H60*H78*H34)/(E21*H76+H84),0)</f>
        <v>0</v>
      </c>
      <c r="I86" s="91"/>
      <c r="J86" s="170"/>
      <c r="K86" s="162"/>
      <c r="L86" s="102"/>
      <c r="M86" s="91"/>
      <c r="N86" s="102"/>
      <c r="O86" s="91"/>
      <c r="P86" s="102"/>
      <c r="Q86" s="91"/>
      <c r="R86" s="102"/>
      <c r="S86" s="91"/>
      <c r="T86" s="129"/>
      <c r="U86" s="126"/>
      <c r="V86" s="58"/>
      <c r="W86" s="58"/>
    </row>
    <row r="87" spans="1:23" s="119" customFormat="1" hidden="1" x14ac:dyDescent="0.25">
      <c r="A87" s="126"/>
      <c r="B87" s="212"/>
      <c r="C87" s="130"/>
      <c r="D87" s="138"/>
      <c r="E87" s="138"/>
      <c r="F87" s="73"/>
      <c r="G87" s="138"/>
      <c r="H87" s="129"/>
      <c r="I87" s="91"/>
      <c r="J87" s="102"/>
      <c r="K87" s="91"/>
      <c r="L87" s="102"/>
      <c r="M87" s="91"/>
      <c r="N87" s="102"/>
      <c r="O87" s="91"/>
      <c r="P87" s="102"/>
      <c r="Q87" s="91"/>
      <c r="R87" s="102"/>
      <c r="S87" s="91"/>
      <c r="T87" s="129"/>
      <c r="U87" s="126"/>
      <c r="V87" s="58"/>
      <c r="W87" s="58">
        <f>ROW()</f>
        <v>87</v>
      </c>
    </row>
    <row r="88" spans="1:23" ht="15.75" x14ac:dyDescent="0.25">
      <c r="B88" s="212"/>
      <c r="C88" s="130"/>
      <c r="D88" s="214" t="s">
        <v>104</v>
      </c>
      <c r="E88" s="214"/>
      <c r="F88" s="214"/>
      <c r="G88" s="214"/>
      <c r="H88" s="214"/>
      <c r="I88" s="214"/>
      <c r="J88" s="214"/>
      <c r="K88" s="196">
        <f ca="1">H86</f>
        <v>0</v>
      </c>
      <c r="L88" s="196"/>
      <c r="M88" s="91"/>
      <c r="N88" s="102"/>
      <c r="O88" s="91"/>
      <c r="P88" s="102"/>
      <c r="Q88" s="91"/>
      <c r="R88" s="102"/>
      <c r="S88" s="91"/>
      <c r="T88" s="102"/>
    </row>
    <row r="89" spans="1:23" s="68" customFormat="1" ht="15.75" thickBot="1" x14ac:dyDescent="0.3">
      <c r="A89" s="57"/>
      <c r="B89" s="213"/>
      <c r="C89" s="153"/>
      <c r="D89" s="147"/>
      <c r="E89" s="148"/>
      <c r="F89" s="148"/>
      <c r="G89" s="148"/>
      <c r="H89" s="147"/>
      <c r="I89" s="148"/>
      <c r="J89" s="147"/>
      <c r="K89" s="148"/>
      <c r="L89" s="147"/>
      <c r="M89" s="148"/>
      <c r="N89" s="147"/>
      <c r="O89" s="148"/>
      <c r="P89" s="147"/>
      <c r="Q89" s="148"/>
      <c r="R89" s="147"/>
      <c r="S89" s="148"/>
      <c r="T89" s="147"/>
      <c r="U89" s="57"/>
      <c r="V89" s="129"/>
      <c r="W89" s="129"/>
    </row>
    <row r="90" spans="1:23" ht="6" customHeight="1" x14ac:dyDescent="0.25">
      <c r="B90" s="215" t="s">
        <v>103</v>
      </c>
      <c r="C90" s="149"/>
      <c r="D90" s="122"/>
      <c r="E90" s="70"/>
      <c r="F90" s="123"/>
      <c r="G90" s="123"/>
      <c r="H90" s="122"/>
      <c r="I90" s="123"/>
      <c r="J90" s="122"/>
      <c r="K90" s="123"/>
      <c r="L90" s="122"/>
      <c r="M90" s="123"/>
      <c r="N90" s="122"/>
      <c r="O90" s="123"/>
      <c r="P90" s="122"/>
      <c r="Q90" s="123"/>
      <c r="R90" s="122"/>
      <c r="S90" s="123"/>
      <c r="T90" s="122"/>
    </row>
    <row r="91" spans="1:23" s="56" customFormat="1" ht="39" customHeight="1" x14ac:dyDescent="0.25">
      <c r="A91" s="63"/>
      <c r="B91" s="216"/>
      <c r="C91" s="150"/>
      <c r="D91" s="209" t="s">
        <v>153</v>
      </c>
      <c r="E91" s="209"/>
      <c r="F91" s="209"/>
      <c r="G91" s="209"/>
      <c r="H91" s="209"/>
      <c r="I91" s="209"/>
      <c r="J91" s="209"/>
      <c r="K91" s="209"/>
      <c r="L91" s="209"/>
      <c r="M91" s="209"/>
      <c r="N91" s="209"/>
      <c r="O91" s="209"/>
      <c r="P91" s="209"/>
      <c r="Q91" s="209"/>
      <c r="R91" s="209"/>
      <c r="S91" s="209"/>
      <c r="T91" s="209"/>
      <c r="U91" s="63"/>
      <c r="V91" s="151"/>
      <c r="W91" s="151"/>
    </row>
    <row r="92" spans="1:23" x14ac:dyDescent="0.25">
      <c r="B92" s="216"/>
      <c r="C92" s="130"/>
      <c r="D92" s="91" t="s">
        <v>122</v>
      </c>
      <c r="E92" s="91"/>
      <c r="G92" s="91"/>
      <c r="H92" s="81">
        <v>2021</v>
      </c>
      <c r="I92" s="91"/>
      <c r="J92" s="102"/>
      <c r="K92" s="91"/>
      <c r="L92" s="102"/>
      <c r="M92" s="91"/>
      <c r="N92" s="102"/>
      <c r="O92" s="91"/>
      <c r="P92" s="102"/>
      <c r="Q92" s="91"/>
      <c r="R92" s="102"/>
      <c r="S92" s="91"/>
      <c r="T92" s="102"/>
    </row>
    <row r="93" spans="1:23" ht="18" customHeight="1" x14ac:dyDescent="0.25">
      <c r="B93" s="216"/>
      <c r="C93" s="130"/>
      <c r="D93" s="214" t="str">
        <f>"The monetized crash costs (below) were developed based on the "&amp;H92&amp;" U.S. Department of Transportation's Benefit-Cost Analysis Guidance for Discretionary Grants."</f>
        <v>The monetized crash costs (below) were developed based on the 2021 U.S. Department of Transportation's Benefit-Cost Analysis Guidance for Discretionary Grants.</v>
      </c>
      <c r="E93" s="214"/>
      <c r="F93" s="214"/>
      <c r="G93" s="214"/>
      <c r="H93" s="214"/>
      <c r="I93" s="214"/>
      <c r="J93" s="214"/>
      <c r="K93" s="214"/>
      <c r="L93" s="214"/>
      <c r="M93" s="214"/>
      <c r="N93" s="214"/>
      <c r="O93" s="214"/>
      <c r="P93" s="214"/>
      <c r="Q93" s="214"/>
      <c r="R93" s="214"/>
      <c r="S93" s="214"/>
      <c r="T93" s="214"/>
    </row>
    <row r="94" spans="1:23" ht="6" customHeight="1" x14ac:dyDescent="0.25">
      <c r="B94" s="216"/>
      <c r="C94" s="130"/>
      <c r="D94" s="102"/>
      <c r="E94" s="91"/>
      <c r="F94" s="91"/>
      <c r="G94" s="91"/>
      <c r="H94" s="102"/>
      <c r="I94" s="91"/>
      <c r="J94" s="102"/>
      <c r="K94" s="91"/>
      <c r="L94" s="102"/>
      <c r="M94" s="91"/>
      <c r="N94" s="102"/>
      <c r="O94" s="91"/>
      <c r="P94" s="102"/>
      <c r="Q94" s="91"/>
      <c r="R94" s="102"/>
      <c r="S94" s="91"/>
      <c r="T94" s="102"/>
    </row>
    <row r="95" spans="1:23" x14ac:dyDescent="0.25">
      <c r="B95" s="216"/>
      <c r="C95" s="130"/>
      <c r="D95" s="102"/>
      <c r="E95" s="91"/>
      <c r="F95" s="103" t="s">
        <v>72</v>
      </c>
      <c r="G95" s="75"/>
      <c r="H95" s="92">
        <v>12071000</v>
      </c>
      <c r="I95" s="91"/>
      <c r="J95" s="102"/>
      <c r="K95" s="91"/>
      <c r="L95" s="102"/>
      <c r="M95" s="91"/>
      <c r="N95" s="102"/>
      <c r="O95" s="91"/>
      <c r="P95" s="102"/>
      <c r="Q95" s="91"/>
      <c r="R95" s="102"/>
      <c r="S95" s="91"/>
      <c r="T95" s="102"/>
    </row>
    <row r="96" spans="1:23" ht="3.95" customHeight="1" x14ac:dyDescent="0.25">
      <c r="B96" s="216"/>
      <c r="C96" s="130"/>
      <c r="D96" s="102"/>
      <c r="E96" s="91"/>
      <c r="F96" s="103"/>
      <c r="G96" s="75"/>
      <c r="H96" s="102"/>
      <c r="I96" s="91"/>
      <c r="J96" s="102"/>
      <c r="K96" s="91"/>
      <c r="L96" s="102"/>
      <c r="M96" s="91"/>
      <c r="N96" s="102"/>
      <c r="O96" s="91"/>
      <c r="P96" s="102"/>
      <c r="Q96" s="91"/>
      <c r="R96" s="102"/>
      <c r="S96" s="91"/>
      <c r="T96" s="102"/>
    </row>
    <row r="97" spans="1:23" x14ac:dyDescent="0.25">
      <c r="B97" s="216"/>
      <c r="C97" s="130"/>
      <c r="D97" s="102"/>
      <c r="E97" s="91"/>
      <c r="F97" s="103" t="s">
        <v>73</v>
      </c>
      <c r="G97" s="75"/>
      <c r="H97" s="92">
        <v>284100</v>
      </c>
      <c r="I97" s="91"/>
      <c r="J97" s="102"/>
      <c r="K97" s="91"/>
      <c r="L97" s="102"/>
      <c r="M97" s="91"/>
      <c r="N97" s="102"/>
      <c r="O97" s="91"/>
      <c r="P97" s="102"/>
      <c r="Q97" s="91"/>
      <c r="R97" s="102"/>
      <c r="S97" s="91"/>
      <c r="T97" s="102"/>
    </row>
    <row r="98" spans="1:23" ht="3.95" customHeight="1" x14ac:dyDescent="0.25">
      <c r="B98" s="216"/>
      <c r="C98" s="130"/>
      <c r="D98" s="102"/>
      <c r="E98" s="91"/>
      <c r="F98" s="103"/>
      <c r="G98" s="75"/>
      <c r="H98" s="102"/>
      <c r="I98" s="91"/>
      <c r="J98" s="102"/>
      <c r="K98" s="91"/>
      <c r="L98" s="102"/>
      <c r="M98" s="91"/>
      <c r="N98" s="102"/>
      <c r="O98" s="91"/>
      <c r="P98" s="102"/>
      <c r="Q98" s="91"/>
      <c r="R98" s="102"/>
      <c r="S98" s="91"/>
      <c r="T98" s="102"/>
    </row>
    <row r="99" spans="1:23" x14ac:dyDescent="0.25">
      <c r="B99" s="216"/>
      <c r="C99" s="130"/>
      <c r="D99" s="102"/>
      <c r="E99" s="91"/>
      <c r="F99" s="103" t="s">
        <v>74</v>
      </c>
      <c r="G99" s="75"/>
      <c r="H99" s="92">
        <v>4500</v>
      </c>
      <c r="I99" s="91"/>
      <c r="J99" s="102"/>
      <c r="K99" s="91"/>
      <c r="L99" s="102"/>
      <c r="M99" s="91"/>
      <c r="N99" s="102"/>
      <c r="O99" s="91"/>
      <c r="P99" s="102"/>
      <c r="Q99" s="91"/>
      <c r="R99" s="102"/>
      <c r="S99" s="91"/>
      <c r="T99" s="102"/>
    </row>
    <row r="100" spans="1:23" ht="6" customHeight="1" x14ac:dyDescent="0.25">
      <c r="B100" s="216"/>
      <c r="C100" s="130"/>
      <c r="D100" s="102"/>
      <c r="E100" s="91"/>
      <c r="F100" s="91"/>
      <c r="G100" s="91"/>
      <c r="H100" s="102"/>
      <c r="I100" s="91"/>
      <c r="J100" s="102"/>
      <c r="K100" s="91"/>
      <c r="L100" s="102"/>
      <c r="M100" s="91"/>
      <c r="N100" s="102"/>
      <c r="O100" s="91"/>
      <c r="P100" s="102"/>
      <c r="Q100" s="91"/>
      <c r="R100" s="102"/>
      <c r="S100" s="91"/>
      <c r="T100" s="102"/>
    </row>
    <row r="101" spans="1:23" ht="19.5" customHeight="1" x14ac:dyDescent="0.25">
      <c r="B101" s="216"/>
      <c r="C101" s="130"/>
      <c r="D101" s="210" t="s">
        <v>157</v>
      </c>
      <c r="E101" s="210"/>
      <c r="F101" s="210"/>
      <c r="G101" s="210"/>
      <c r="H101" s="210"/>
      <c r="I101" s="210"/>
      <c r="J101" s="210"/>
      <c r="K101" s="210"/>
      <c r="L101" s="210"/>
      <c r="M101" s="210"/>
      <c r="N101" s="210"/>
      <c r="O101" s="210"/>
      <c r="P101" s="210"/>
      <c r="Q101" s="210"/>
      <c r="R101" s="210"/>
      <c r="S101" s="210"/>
      <c r="T101" s="210"/>
    </row>
    <row r="102" spans="1:23" x14ac:dyDescent="0.25">
      <c r="B102" s="216"/>
      <c r="C102" s="130"/>
      <c r="D102" s="102"/>
      <c r="E102" s="91"/>
      <c r="F102" s="103" t="str">
        <f>"Value of "&amp;F46</f>
        <v>Value of Deer</v>
      </c>
      <c r="G102" s="75"/>
      <c r="H102" s="92">
        <v>2178</v>
      </c>
      <c r="I102" s="91"/>
      <c r="J102" s="102"/>
      <c r="K102" s="91"/>
      <c r="L102" s="102"/>
      <c r="M102" s="91"/>
      <c r="N102" s="102"/>
      <c r="O102" s="91"/>
      <c r="P102" s="102"/>
      <c r="Q102" s="91"/>
      <c r="R102" s="102"/>
      <c r="S102" s="91"/>
      <c r="T102" s="102"/>
    </row>
    <row r="103" spans="1:23" ht="3.95" customHeight="1" x14ac:dyDescent="0.25">
      <c r="B103" s="216"/>
      <c r="C103" s="130"/>
      <c r="D103" s="102"/>
      <c r="E103" s="91"/>
      <c r="F103" s="103"/>
      <c r="G103" s="75"/>
      <c r="H103" s="102"/>
      <c r="I103" s="91"/>
      <c r="J103" s="102"/>
      <c r="K103" s="91"/>
      <c r="L103" s="102"/>
      <c r="M103" s="91"/>
      <c r="N103" s="102"/>
      <c r="O103" s="91"/>
      <c r="P103" s="102"/>
      <c r="Q103" s="91"/>
      <c r="R103" s="102"/>
      <c r="S103" s="91"/>
      <c r="T103" s="102"/>
    </row>
    <row r="104" spans="1:23" x14ac:dyDescent="0.25">
      <c r="B104" s="216"/>
      <c r="C104" s="130"/>
      <c r="D104" s="102"/>
      <c r="E104" s="91"/>
      <c r="F104" s="103" t="str">
        <f>"Value of "&amp;F48</f>
        <v>Value of Elk</v>
      </c>
      <c r="G104" s="75"/>
      <c r="H104" s="92">
        <v>2537</v>
      </c>
      <c r="I104" s="91"/>
      <c r="J104" s="102"/>
      <c r="K104" s="91"/>
      <c r="L104" s="102"/>
      <c r="M104" s="91"/>
      <c r="N104" s="102"/>
      <c r="O104" s="91"/>
      <c r="P104" s="102"/>
      <c r="Q104" s="91"/>
      <c r="R104" s="102"/>
      <c r="S104" s="91"/>
      <c r="T104" s="102"/>
    </row>
    <row r="105" spans="1:23" ht="3.95" customHeight="1" x14ac:dyDescent="0.25">
      <c r="B105" s="216"/>
      <c r="C105" s="130"/>
      <c r="D105" s="102"/>
      <c r="E105" s="162"/>
      <c r="F105" s="103"/>
      <c r="G105" s="75"/>
      <c r="H105" s="102"/>
      <c r="I105" s="162"/>
      <c r="J105" s="102"/>
      <c r="K105" s="162"/>
      <c r="L105" s="102"/>
      <c r="M105" s="162"/>
      <c r="N105" s="102"/>
      <c r="O105" s="162"/>
      <c r="P105" s="102"/>
      <c r="Q105" s="162"/>
      <c r="R105" s="102"/>
      <c r="S105" s="162"/>
      <c r="T105" s="102"/>
      <c r="W105" s="52"/>
    </row>
    <row r="106" spans="1:23" x14ac:dyDescent="0.25">
      <c r="B106" s="216"/>
      <c r="C106" s="130"/>
      <c r="D106" s="102"/>
      <c r="E106" s="186"/>
      <c r="F106" s="103" t="str">
        <f>"Value of "&amp;F50</f>
        <v>Value of Pronghorn</v>
      </c>
      <c r="G106" s="75"/>
      <c r="H106" s="92">
        <v>2106</v>
      </c>
      <c r="I106" s="186"/>
      <c r="J106" s="102"/>
      <c r="K106" s="186"/>
      <c r="L106" s="102"/>
      <c r="M106" s="186"/>
      <c r="N106" s="102"/>
      <c r="O106" s="186"/>
      <c r="P106" s="102"/>
      <c r="Q106" s="186"/>
      <c r="R106" s="102"/>
      <c r="S106" s="186"/>
      <c r="T106" s="102"/>
    </row>
    <row r="107" spans="1:23" ht="3.95" customHeight="1" x14ac:dyDescent="0.25">
      <c r="B107" s="216"/>
      <c r="C107" s="130"/>
      <c r="D107" s="102"/>
      <c r="E107" s="186"/>
      <c r="F107" s="103"/>
      <c r="G107" s="75"/>
      <c r="H107" s="102"/>
      <c r="I107" s="186"/>
      <c r="J107" s="102"/>
      <c r="K107" s="186"/>
      <c r="L107" s="102"/>
      <c r="M107" s="186"/>
      <c r="N107" s="102"/>
      <c r="O107" s="186"/>
      <c r="P107" s="102"/>
      <c r="Q107" s="186"/>
      <c r="R107" s="102"/>
      <c r="S107" s="186"/>
      <c r="T107" s="102"/>
      <c r="W107" s="52"/>
    </row>
    <row r="108" spans="1:23" x14ac:dyDescent="0.25">
      <c r="B108" s="216"/>
      <c r="C108" s="130"/>
      <c r="D108" s="102"/>
      <c r="E108" s="186"/>
      <c r="F108" s="103" t="str">
        <f>"Value of "&amp;F52</f>
        <v>Value of Bighorn Sheep</v>
      </c>
      <c r="G108" s="75"/>
      <c r="H108" s="92">
        <v>7533</v>
      </c>
      <c r="I108" s="186"/>
      <c r="J108" s="102"/>
      <c r="K108" s="186"/>
      <c r="L108" s="102"/>
      <c r="M108" s="186"/>
      <c r="N108" s="102"/>
      <c r="O108" s="186"/>
      <c r="P108" s="102"/>
      <c r="Q108" s="186"/>
      <c r="R108" s="102"/>
      <c r="S108" s="186"/>
      <c r="T108" s="102"/>
    </row>
    <row r="109" spans="1:23" ht="3.95" customHeight="1" x14ac:dyDescent="0.25">
      <c r="B109" s="216"/>
      <c r="C109" s="130"/>
      <c r="D109" s="102"/>
      <c r="E109" s="186"/>
      <c r="F109" s="103"/>
      <c r="G109" s="75"/>
      <c r="H109" s="102"/>
      <c r="I109" s="186"/>
      <c r="J109" s="102"/>
      <c r="K109" s="186"/>
      <c r="L109" s="102"/>
      <c r="M109" s="186"/>
      <c r="N109" s="102"/>
      <c r="O109" s="186"/>
      <c r="P109" s="102"/>
      <c r="Q109" s="186"/>
      <c r="R109" s="102"/>
      <c r="S109" s="186"/>
      <c r="T109" s="102"/>
      <c r="W109" s="52"/>
    </row>
    <row r="110" spans="1:23" ht="6" customHeight="1" x14ac:dyDescent="0.25">
      <c r="B110" s="216"/>
      <c r="C110" s="130"/>
      <c r="D110" s="102"/>
      <c r="E110" s="179"/>
      <c r="F110" s="103"/>
      <c r="G110" s="75"/>
      <c r="H110" s="102"/>
      <c r="I110" s="179"/>
      <c r="J110" s="102"/>
      <c r="K110" s="179"/>
      <c r="L110" s="102"/>
      <c r="M110" s="179"/>
      <c r="N110" s="102"/>
      <c r="O110" s="179"/>
      <c r="P110" s="102"/>
      <c r="Q110" s="179"/>
      <c r="R110" s="102"/>
      <c r="S110" s="179"/>
      <c r="T110" s="102"/>
      <c r="W110" s="58">
        <f>ROW()</f>
        <v>110</v>
      </c>
    </row>
    <row r="111" spans="1:23" ht="21" customHeight="1" x14ac:dyDescent="0.25">
      <c r="B111" s="216"/>
      <c r="C111" s="130"/>
      <c r="D111" s="102"/>
      <c r="E111" s="103"/>
      <c r="F111" s="100"/>
      <c r="G111" s="91"/>
      <c r="H111" s="102"/>
      <c r="I111" s="91"/>
      <c r="J111" s="102"/>
      <c r="K111" s="91"/>
      <c r="L111" s="102"/>
      <c r="M111" s="91"/>
      <c r="N111" s="102"/>
      <c r="O111" s="91"/>
      <c r="P111" s="102"/>
      <c r="Q111" s="91"/>
      <c r="R111" s="102"/>
      <c r="S111" s="91"/>
      <c r="T111" s="102"/>
      <c r="W111" s="52"/>
    </row>
    <row r="112" spans="1:23" s="119" customFormat="1" ht="15" hidden="1" customHeight="1" x14ac:dyDescent="0.25">
      <c r="A112" s="126"/>
      <c r="B112" s="216"/>
      <c r="C112" s="130"/>
      <c r="D112" s="138"/>
      <c r="E112" s="138"/>
      <c r="F112" s="103" t="s">
        <v>135</v>
      </c>
      <c r="G112" s="138"/>
      <c r="H112" s="93">
        <v>7.0000000000000007E-2</v>
      </c>
      <c r="I112" s="91"/>
      <c r="J112" s="164" t="s">
        <v>90</v>
      </c>
      <c r="K112" s="172"/>
      <c r="L112" s="76"/>
      <c r="M112" s="179"/>
      <c r="N112" s="102"/>
      <c r="O112" s="179"/>
      <c r="P112" s="102"/>
      <c r="Q112" s="179"/>
      <c r="R112" s="102"/>
      <c r="S112" s="91"/>
      <c r="T112" s="102"/>
      <c r="U112" s="126"/>
      <c r="V112" s="58"/>
      <c r="W112" s="58">
        <f>ROW()</f>
        <v>112</v>
      </c>
    </row>
    <row r="113" spans="1:23" s="119" customFormat="1" ht="6" hidden="1" customHeight="1" x14ac:dyDescent="0.25">
      <c r="A113" s="126"/>
      <c r="B113" s="216"/>
      <c r="C113" s="130"/>
      <c r="D113" s="138"/>
      <c r="E113" s="138"/>
      <c r="F113" s="106"/>
      <c r="G113" s="138"/>
      <c r="H113" s="67"/>
      <c r="I113" s="91"/>
      <c r="J113" s="164"/>
      <c r="K113" s="172"/>
      <c r="L113" s="76"/>
      <c r="M113" s="179"/>
      <c r="N113" s="102"/>
      <c r="O113" s="179"/>
      <c r="P113" s="102"/>
      <c r="Q113" s="179"/>
      <c r="R113" s="102"/>
      <c r="S113" s="91"/>
      <c r="T113" s="129"/>
      <c r="U113" s="126"/>
      <c r="V113" s="58"/>
      <c r="W113" s="58"/>
    </row>
    <row r="114" spans="1:23" s="119" customFormat="1" ht="15" hidden="1" customHeight="1" x14ac:dyDescent="0.25">
      <c r="A114" s="126"/>
      <c r="B114" s="216"/>
      <c r="C114" s="130"/>
      <c r="D114" s="138"/>
      <c r="E114" s="138"/>
      <c r="F114" s="103" t="s">
        <v>126</v>
      </c>
      <c r="G114" s="138"/>
      <c r="H114" s="94">
        <v>1.2E-2</v>
      </c>
      <c r="I114" s="91"/>
      <c r="J114" s="164" t="s">
        <v>92</v>
      </c>
      <c r="K114" s="172"/>
      <c r="L114" s="76"/>
      <c r="M114" s="179"/>
      <c r="N114" s="102"/>
      <c r="O114" s="179"/>
      <c r="P114" s="102"/>
      <c r="Q114" s="179"/>
      <c r="R114" s="102"/>
      <c r="S114" s="91"/>
      <c r="T114" s="129"/>
      <c r="U114" s="126"/>
      <c r="V114" s="58"/>
      <c r="W114" s="58"/>
    </row>
    <row r="115" spans="1:23" s="119" customFormat="1" ht="9" hidden="1" customHeight="1" x14ac:dyDescent="0.25">
      <c r="A115" s="126"/>
      <c r="B115" s="216"/>
      <c r="C115" s="130"/>
      <c r="D115" s="138"/>
      <c r="E115" s="138"/>
      <c r="F115" s="138"/>
      <c r="G115" s="138"/>
      <c r="H115" s="180"/>
      <c r="I115" s="179"/>
      <c r="J115" s="164"/>
      <c r="K115" s="172"/>
      <c r="L115" s="76"/>
      <c r="M115" s="179"/>
      <c r="N115" s="102"/>
      <c r="O115" s="179"/>
      <c r="P115" s="102"/>
      <c r="Q115" s="179"/>
      <c r="R115" s="102"/>
      <c r="S115" s="179"/>
      <c r="T115" s="180"/>
      <c r="U115" s="126"/>
      <c r="V115" s="58"/>
      <c r="W115" s="58"/>
    </row>
    <row r="116" spans="1:23" ht="15" hidden="1" customHeight="1" x14ac:dyDescent="0.25">
      <c r="B116" s="216"/>
      <c r="C116" s="130"/>
      <c r="D116" s="102"/>
      <c r="E116" s="91"/>
      <c r="F116" s="103" t="s">
        <v>127</v>
      </c>
      <c r="G116" s="138"/>
      <c r="H116" s="95">
        <f ca="1">IFERROR(IF(SUMPRODUCT($J$9:$J$14,$N$9:$N$14)/SUM($N$9:$N$14)&gt;30,30,SUMPRODUCT($J$9:$J$14,$N$9:$N$14)/SUM($N$9:$N$14)),0)</f>
        <v>0</v>
      </c>
      <c r="I116" s="91"/>
      <c r="J116" s="164"/>
      <c r="K116" s="179"/>
      <c r="L116" s="174" t="s">
        <v>147</v>
      </c>
      <c r="M116" s="179"/>
      <c r="N116" s="102"/>
      <c r="O116" s="179"/>
      <c r="P116" s="102"/>
      <c r="Q116" s="179"/>
      <c r="R116" s="102"/>
      <c r="S116" s="91"/>
      <c r="T116" s="102"/>
      <c r="W116" s="52"/>
    </row>
    <row r="117" spans="1:23" s="119" customFormat="1" ht="9" hidden="1" customHeight="1" x14ac:dyDescent="0.25">
      <c r="A117" s="126"/>
      <c r="B117" s="216"/>
      <c r="C117" s="130"/>
      <c r="D117" s="138"/>
      <c r="E117" s="138"/>
      <c r="F117" s="138"/>
      <c r="G117" s="138"/>
      <c r="H117" s="180"/>
      <c r="I117" s="179"/>
      <c r="J117" s="164"/>
      <c r="K117" s="172"/>
      <c r="L117" s="76"/>
      <c r="M117" s="179"/>
      <c r="N117" s="102"/>
      <c r="O117" s="179"/>
      <c r="P117" s="102"/>
      <c r="Q117" s="179"/>
      <c r="R117" s="102"/>
      <c r="S117" s="179"/>
      <c r="T117" s="180"/>
      <c r="U117" s="126"/>
      <c r="V117" s="58"/>
      <c r="W117" s="58"/>
    </row>
    <row r="118" spans="1:23" s="119" customFormat="1" ht="15" hidden="1" customHeight="1" x14ac:dyDescent="0.25">
      <c r="A118" s="126"/>
      <c r="B118" s="216"/>
      <c r="C118" s="130"/>
      <c r="D118" s="138"/>
      <c r="E118" s="138"/>
      <c r="F118" s="103" t="s">
        <v>128</v>
      </c>
      <c r="G118" s="138"/>
      <c r="H118" s="95">
        <f>YEARFRAC(I37,L37,1)</f>
        <v>0</v>
      </c>
      <c r="I118" s="91"/>
      <c r="J118" s="164" t="s">
        <v>87</v>
      </c>
      <c r="K118" s="172"/>
      <c r="L118" s="76"/>
      <c r="M118" s="179"/>
      <c r="N118" s="102"/>
      <c r="O118" s="179"/>
      <c r="P118" s="102"/>
      <c r="Q118" s="179"/>
      <c r="R118" s="102"/>
      <c r="S118" s="91"/>
      <c r="T118" s="129"/>
      <c r="U118" s="126"/>
      <c r="V118" s="58"/>
      <c r="W118" s="58"/>
    </row>
    <row r="119" spans="1:23" s="119" customFormat="1" hidden="1" x14ac:dyDescent="0.25">
      <c r="A119" s="126"/>
      <c r="B119" s="216"/>
      <c r="C119" s="130"/>
      <c r="D119" s="138"/>
      <c r="E119" s="138"/>
      <c r="F119" s="138"/>
      <c r="G119" s="138"/>
      <c r="H119" s="163"/>
      <c r="I119" s="162"/>
      <c r="J119" s="164"/>
      <c r="K119" s="172"/>
      <c r="L119" s="76"/>
      <c r="M119" s="179"/>
      <c r="N119" s="102"/>
      <c r="O119" s="179"/>
      <c r="P119" s="102"/>
      <c r="Q119" s="179"/>
      <c r="R119" s="102"/>
      <c r="S119" s="162"/>
      <c r="T119" s="163"/>
      <c r="U119" s="126"/>
      <c r="V119" s="58"/>
      <c r="W119" s="58"/>
    </row>
    <row r="120" spans="1:23" s="119" customFormat="1" ht="15" hidden="1" customHeight="1" x14ac:dyDescent="0.25">
      <c r="A120" s="126"/>
      <c r="B120" s="216"/>
      <c r="C120" s="130"/>
      <c r="D120" s="138"/>
      <c r="E120" s="138" t="s">
        <v>136</v>
      </c>
      <c r="F120" s="138"/>
      <c r="G120" s="138"/>
      <c r="H120" s="129"/>
      <c r="I120" s="91"/>
      <c r="J120" s="164"/>
      <c r="K120" s="172"/>
      <c r="L120" s="76"/>
      <c r="M120" s="179"/>
      <c r="N120" s="102"/>
      <c r="O120" s="179"/>
      <c r="P120" s="102"/>
      <c r="Q120" s="179"/>
      <c r="R120" s="102"/>
      <c r="S120" s="91"/>
      <c r="T120" s="129"/>
      <c r="U120" s="126"/>
      <c r="V120" s="58"/>
      <c r="W120" s="58"/>
    </row>
    <row r="121" spans="1:23" s="119" customFormat="1" ht="9" hidden="1" customHeight="1" x14ac:dyDescent="0.25">
      <c r="A121" s="126"/>
      <c r="B121" s="216"/>
      <c r="C121" s="130"/>
      <c r="D121" s="138"/>
      <c r="E121" s="138"/>
      <c r="F121" s="138"/>
      <c r="G121" s="138"/>
      <c r="H121" s="129"/>
      <c r="I121" s="91"/>
      <c r="J121" s="164"/>
      <c r="K121" s="172"/>
      <c r="L121" s="76"/>
      <c r="M121" s="179"/>
      <c r="N121" s="102"/>
      <c r="O121" s="179"/>
      <c r="P121" s="102"/>
      <c r="Q121" s="179"/>
      <c r="R121" s="102"/>
      <c r="S121" s="91"/>
      <c r="T121" s="129"/>
      <c r="U121" s="126"/>
      <c r="V121" s="58"/>
      <c r="W121" s="58"/>
    </row>
    <row r="122" spans="1:23" s="119" customFormat="1" ht="15" hidden="1" customHeight="1" x14ac:dyDescent="0.25">
      <c r="A122" s="126"/>
      <c r="B122" s="216"/>
      <c r="C122" s="130"/>
      <c r="D122" s="138"/>
      <c r="E122" s="138"/>
      <c r="F122" s="103" t="str">
        <f>"Predicted Fatal Crash Counts"&amp;IF($N$27&lt;&gt;""," in "&amp;IF($N$27="one (1) year",$I$27+1,$I$27+2),"")&amp;" (F):"</f>
        <v>Predicted Fatal Crash Counts (F):</v>
      </c>
      <c r="G122" s="138"/>
      <c r="H122" s="96">
        <f>IFERROR(($H$40*(1+H114)^(IF($N$27="one (1) year",$I$27+1,$I$27+2)-YEAR($L$37))),0)</f>
        <v>0</v>
      </c>
      <c r="I122" s="91"/>
      <c r="J122" s="182"/>
      <c r="K122" s="172"/>
      <c r="L122" s="76"/>
      <c r="M122" s="179"/>
      <c r="N122" s="102"/>
      <c r="O122" s="179"/>
      <c r="P122" s="152"/>
      <c r="Q122" s="179"/>
      <c r="R122" s="102"/>
      <c r="S122" s="91"/>
      <c r="T122" s="129"/>
      <c r="U122" s="126"/>
      <c r="V122" s="58"/>
      <c r="W122" s="58"/>
    </row>
    <row r="123" spans="1:23" s="119" customFormat="1" ht="15" hidden="1" customHeight="1" x14ac:dyDescent="0.25">
      <c r="A123" s="126"/>
      <c r="B123" s="216"/>
      <c r="C123" s="130"/>
      <c r="D123" s="138"/>
      <c r="E123" s="138"/>
      <c r="F123" s="103"/>
      <c r="G123" s="138"/>
      <c r="H123" s="154"/>
      <c r="I123" s="91"/>
      <c r="J123" s="164"/>
      <c r="K123" s="172"/>
      <c r="L123" s="76"/>
      <c r="M123" s="179"/>
      <c r="N123" s="102"/>
      <c r="O123" s="179"/>
      <c r="P123" s="102"/>
      <c r="Q123" s="179"/>
      <c r="R123" s="102"/>
      <c r="S123" s="91"/>
      <c r="T123" s="129"/>
      <c r="U123" s="126"/>
      <c r="V123" s="58"/>
      <c r="W123" s="58"/>
    </row>
    <row r="124" spans="1:23" s="119" customFormat="1" ht="15" hidden="1" customHeight="1" x14ac:dyDescent="0.25">
      <c r="A124" s="126"/>
      <c r="B124" s="216"/>
      <c r="C124" s="130"/>
      <c r="D124" s="138"/>
      <c r="E124" s="138"/>
      <c r="F124" s="103" t="str">
        <f>"Predicted Injury Crash Counts"&amp;IF($N$27&lt;&gt;""," in "&amp;IF($N$27="one (1) year",$I$27+1,$I$27+2),"")&amp;" (I):"</f>
        <v>Predicted Injury Crash Counts (I):</v>
      </c>
      <c r="G124" s="138"/>
      <c r="H124" s="96">
        <f>IFERROR(($H$42*(1+H114)^(IF($N$27="one (1) year",$I$27+1,$I$27+2)-YEAR($L$37))),0)</f>
        <v>0</v>
      </c>
      <c r="I124" s="91"/>
      <c r="J124" s="183"/>
      <c r="K124" s="172"/>
      <c r="L124" s="76"/>
      <c r="M124" s="179"/>
      <c r="N124" s="102"/>
      <c r="O124" s="179"/>
      <c r="P124" s="102"/>
      <c r="Q124" s="179"/>
      <c r="R124" s="102"/>
      <c r="S124" s="91"/>
      <c r="T124" s="129"/>
      <c r="U124" s="126"/>
      <c r="V124" s="58"/>
      <c r="W124" s="58"/>
    </row>
    <row r="125" spans="1:23" s="119" customFormat="1" ht="15" hidden="1" customHeight="1" x14ac:dyDescent="0.25">
      <c r="A125" s="126"/>
      <c r="B125" s="216"/>
      <c r="C125" s="130"/>
      <c r="D125" s="138"/>
      <c r="E125" s="138"/>
      <c r="F125" s="103"/>
      <c r="G125" s="138"/>
      <c r="H125" s="154"/>
      <c r="I125" s="91"/>
      <c r="J125" s="164"/>
      <c r="K125" s="172"/>
      <c r="L125" s="76"/>
      <c r="M125" s="179"/>
      <c r="N125" s="102"/>
      <c r="O125" s="179"/>
      <c r="P125" s="102"/>
      <c r="Q125" s="179"/>
      <c r="R125" s="102"/>
      <c r="S125" s="91"/>
      <c r="T125" s="129"/>
      <c r="U125" s="126"/>
      <c r="V125" s="58"/>
      <c r="W125" s="58"/>
    </row>
    <row r="126" spans="1:23" s="119" customFormat="1" ht="15" hidden="1" customHeight="1" x14ac:dyDescent="0.25">
      <c r="A126" s="126"/>
      <c r="B126" s="216"/>
      <c r="C126" s="130"/>
      <c r="D126" s="138"/>
      <c r="E126" s="138"/>
      <c r="F126" s="103" t="str">
        <f>"Predicted PDO Crash Counts"&amp;IF($N$27&lt;&gt;""," in "&amp;IF($N$27="one (1) year",$I$27+1,$I$27+2),"")&amp;" (P):"</f>
        <v>Predicted PDO Crash Counts (P):</v>
      </c>
      <c r="G126" s="138"/>
      <c r="H126" s="96">
        <f>IFERROR(($H$44*(1+H114)^(IF($N$27="one (1) year",$I$27+1,$I$27+2)-YEAR($L$37))),0)</f>
        <v>0</v>
      </c>
      <c r="I126" s="91"/>
      <c r="J126" s="183"/>
      <c r="K126" s="172"/>
      <c r="L126" s="76"/>
      <c r="M126" s="179"/>
      <c r="N126" s="102"/>
      <c r="O126" s="179"/>
      <c r="P126" s="102"/>
      <c r="Q126" s="179"/>
      <c r="R126" s="102"/>
      <c r="S126" s="91"/>
      <c r="T126" s="129"/>
      <c r="U126" s="126"/>
      <c r="V126" s="58"/>
      <c r="W126" s="58"/>
    </row>
    <row r="127" spans="1:23" s="119" customFormat="1" ht="15" hidden="1" customHeight="1" x14ac:dyDescent="0.25">
      <c r="A127" s="126"/>
      <c r="B127" s="216"/>
      <c r="C127" s="130"/>
      <c r="D127" s="138"/>
      <c r="E127" s="138"/>
      <c r="F127" s="103"/>
      <c r="G127" s="138"/>
      <c r="H127" s="129"/>
      <c r="I127" s="91"/>
      <c r="J127" s="184"/>
      <c r="K127" s="173"/>
      <c r="L127" s="102"/>
      <c r="M127" s="179"/>
      <c r="N127" s="102"/>
      <c r="O127" s="179"/>
      <c r="P127" s="102"/>
      <c r="Q127" s="179"/>
      <c r="R127" s="102"/>
      <c r="S127" s="91"/>
      <c r="T127" s="129"/>
      <c r="U127" s="126"/>
      <c r="V127" s="58"/>
      <c r="W127" s="58"/>
    </row>
    <row r="128" spans="1:23" s="119" customFormat="1" ht="15" hidden="1" customHeight="1" x14ac:dyDescent="0.25">
      <c r="A128" s="126"/>
      <c r="B128" s="216"/>
      <c r="C128" s="130"/>
      <c r="D128" s="138"/>
      <c r="E128" s="138"/>
      <c r="F128" s="103" t="str">
        <f>"Predicted "&amp;F46&amp;" Deaths"&amp;IF($N$27&lt;&gt;""," in "&amp;IF($N$27="one (1) year",$I$27+1,$I$27+2),"")&amp;" (W"&amp;V46&amp;"):"</f>
        <v>Predicted Deer Deaths (W1):</v>
      </c>
      <c r="G128" s="138"/>
      <c r="H128" s="96">
        <f>IFERROR(($H46*(1+$H$114)^(IF($N$27="one (1) year",$I$27+1,$I$27+2)-YEAR($L$37))),0)</f>
        <v>0</v>
      </c>
      <c r="I128" s="91"/>
      <c r="J128" s="183"/>
      <c r="K128" s="173"/>
      <c r="L128" s="102"/>
      <c r="M128" s="179"/>
      <c r="N128" s="102"/>
      <c r="O128" s="179"/>
      <c r="P128" s="102"/>
      <c r="Q128" s="179"/>
      <c r="R128" s="102"/>
      <c r="S128" s="91"/>
      <c r="T128" s="129"/>
      <c r="U128" s="126"/>
      <c r="V128" s="58"/>
      <c r="W128" s="58"/>
    </row>
    <row r="129" spans="1:56" s="119" customFormat="1" ht="15" hidden="1" customHeight="1" x14ac:dyDescent="0.25">
      <c r="A129" s="126"/>
      <c r="B129" s="216"/>
      <c r="C129" s="130"/>
      <c r="D129" s="138"/>
      <c r="E129" s="138"/>
      <c r="F129" s="103"/>
      <c r="G129" s="138"/>
      <c r="H129" s="129"/>
      <c r="I129" s="91"/>
      <c r="J129" s="184"/>
      <c r="K129" s="173"/>
      <c r="L129" s="102"/>
      <c r="M129" s="179"/>
      <c r="N129" s="102"/>
      <c r="O129" s="179"/>
      <c r="P129" s="102"/>
      <c r="Q129" s="179"/>
      <c r="R129" s="102"/>
      <c r="S129" s="91"/>
      <c r="T129" s="129"/>
      <c r="U129" s="126"/>
      <c r="V129" s="58"/>
      <c r="W129" s="58"/>
    </row>
    <row r="130" spans="1:56" s="119" customFormat="1" ht="15" hidden="1" customHeight="1" x14ac:dyDescent="0.25">
      <c r="A130" s="126"/>
      <c r="B130" s="216"/>
      <c r="C130" s="130"/>
      <c r="D130" s="138"/>
      <c r="E130" s="138"/>
      <c r="F130" s="103" t="str">
        <f>"Predicted "&amp;F48&amp;" Deaths"&amp;IF($N$27&lt;&gt;""," in "&amp;IF($N$27="one (1) year",$I$27+1,$I$27+2),"")&amp;" (W"&amp;V48&amp;"):"</f>
        <v>Predicted Elk Deaths (W2):</v>
      </c>
      <c r="G130" s="138"/>
      <c r="H130" s="96">
        <f>IFERROR(($H48*(1+$H$114)^(IF($N$27="one (1) year",$I$27+1,$I$27+2)-YEAR($L$37))),0)</f>
        <v>0</v>
      </c>
      <c r="I130" s="179"/>
      <c r="J130" s="183"/>
      <c r="K130" s="173"/>
      <c r="L130" s="102"/>
      <c r="M130" s="179"/>
      <c r="N130" s="102"/>
      <c r="O130" s="179"/>
      <c r="P130" s="102"/>
      <c r="Q130" s="179"/>
      <c r="R130" s="102"/>
      <c r="S130" s="179"/>
      <c r="T130" s="180"/>
      <c r="U130" s="126"/>
      <c r="V130" s="58"/>
      <c r="W130" s="58"/>
    </row>
    <row r="131" spans="1:56" s="119" customFormat="1" hidden="1" x14ac:dyDescent="0.25">
      <c r="A131" s="126"/>
      <c r="B131" s="216"/>
      <c r="C131" s="130"/>
      <c r="D131" s="138"/>
      <c r="E131" s="138"/>
      <c r="F131" s="103"/>
      <c r="G131" s="138"/>
      <c r="H131" s="129"/>
      <c r="I131" s="91"/>
      <c r="J131" s="184"/>
      <c r="K131" s="173"/>
      <c r="L131" s="102"/>
      <c r="M131" s="179"/>
      <c r="N131" s="102"/>
      <c r="O131" s="179"/>
      <c r="P131" s="102"/>
      <c r="Q131" s="179"/>
      <c r="R131" s="102"/>
      <c r="S131" s="91"/>
      <c r="T131" s="129"/>
      <c r="U131" s="126"/>
      <c r="V131" s="58"/>
    </row>
    <row r="132" spans="1:56" s="119" customFormat="1" ht="15" hidden="1" customHeight="1" x14ac:dyDescent="0.25">
      <c r="A132" s="126"/>
      <c r="B132" s="216"/>
      <c r="C132" s="130"/>
      <c r="D132" s="138"/>
      <c r="E132" s="138"/>
      <c r="F132" s="103" t="str">
        <f>"Predicted "&amp;F50&amp;" Deaths"&amp;IF($N$27&lt;&gt;""," in "&amp;IF($N$27="one (1) year",$I$27+1,$I$27+2),"")&amp;" (W"&amp;V50&amp;"):"</f>
        <v>Predicted Pronghorn Deaths (W3):</v>
      </c>
      <c r="G132" s="138"/>
      <c r="H132" s="96">
        <f>IFERROR(($H50*(1+$H$114)^(IF($N$27="one (1) year",$I$27+1,$I$27+2)-YEAR($L$37))),0)</f>
        <v>0</v>
      </c>
      <c r="I132" s="186"/>
      <c r="J132" s="183"/>
      <c r="K132" s="173"/>
      <c r="L132" s="102"/>
      <c r="M132" s="186"/>
      <c r="N132" s="102"/>
      <c r="O132" s="186"/>
      <c r="P132" s="102"/>
      <c r="Q132" s="186"/>
      <c r="R132" s="102"/>
      <c r="S132" s="186"/>
      <c r="T132" s="187"/>
      <c r="U132" s="126"/>
      <c r="V132" s="58"/>
      <c r="W132" s="58"/>
    </row>
    <row r="133" spans="1:56" s="119" customFormat="1" hidden="1" x14ac:dyDescent="0.25">
      <c r="A133" s="126"/>
      <c r="B133" s="216"/>
      <c r="C133" s="130"/>
      <c r="D133" s="138"/>
      <c r="E133" s="138"/>
      <c r="F133" s="103"/>
      <c r="G133" s="138"/>
      <c r="H133" s="187"/>
      <c r="I133" s="186"/>
      <c r="J133" s="184"/>
      <c r="K133" s="173"/>
      <c r="L133" s="102"/>
      <c r="M133" s="186"/>
      <c r="N133" s="102"/>
      <c r="O133" s="186"/>
      <c r="P133" s="102"/>
      <c r="Q133" s="186"/>
      <c r="R133" s="102"/>
      <c r="S133" s="186"/>
      <c r="T133" s="187"/>
      <c r="U133" s="126"/>
      <c r="V133" s="58"/>
    </row>
    <row r="134" spans="1:56" s="119" customFormat="1" ht="15" hidden="1" customHeight="1" x14ac:dyDescent="0.25">
      <c r="A134" s="126"/>
      <c r="B134" s="216"/>
      <c r="C134" s="130"/>
      <c r="D134" s="138"/>
      <c r="E134" s="138"/>
      <c r="F134" s="103" t="str">
        <f>"Predicted "&amp;F52&amp;" Deaths"&amp;IF($N$27&lt;&gt;""," in "&amp;IF($N$27="one (1) year",$I$27+1,$I$27+2),"")&amp;" (W"&amp;V52&amp;"):"</f>
        <v>Predicted Bighorn Sheep Deaths (W4):</v>
      </c>
      <c r="G134" s="138"/>
      <c r="H134" s="96">
        <f>IFERROR(($H52*(1+$H$114)^(IF($N$27="one (1) year",$I$27+1,$I$27+2)-YEAR($L$37))),0)</f>
        <v>0</v>
      </c>
      <c r="I134" s="186"/>
      <c r="J134" s="183"/>
      <c r="K134" s="173"/>
      <c r="L134" s="102"/>
      <c r="M134" s="186"/>
      <c r="N134" s="102"/>
      <c r="O134" s="186"/>
      <c r="P134" s="102"/>
      <c r="Q134" s="186"/>
      <c r="R134" s="102"/>
      <c r="S134" s="186"/>
      <c r="T134" s="187"/>
      <c r="U134" s="126"/>
      <c r="V134" s="58"/>
      <c r="W134" s="58"/>
    </row>
    <row r="135" spans="1:56" s="119" customFormat="1" hidden="1" x14ac:dyDescent="0.25">
      <c r="A135" s="126"/>
      <c r="B135" s="216"/>
      <c r="C135" s="130"/>
      <c r="D135" s="138"/>
      <c r="E135" s="138"/>
      <c r="F135" s="103"/>
      <c r="G135" s="138"/>
      <c r="H135" s="187"/>
      <c r="I135" s="186"/>
      <c r="J135" s="184"/>
      <c r="K135" s="173"/>
      <c r="L135" s="102"/>
      <c r="M135" s="186"/>
      <c r="N135" s="102"/>
      <c r="O135" s="186"/>
      <c r="P135" s="102"/>
      <c r="Q135" s="186"/>
      <c r="R135" s="102"/>
      <c r="S135" s="186"/>
      <c r="T135" s="187"/>
      <c r="U135" s="126"/>
      <c r="V135" s="58"/>
    </row>
    <row r="136" spans="1:56" s="119" customFormat="1" hidden="1" x14ac:dyDescent="0.25">
      <c r="A136" s="126"/>
      <c r="B136" s="216"/>
      <c r="C136" s="130"/>
      <c r="D136" s="138"/>
      <c r="E136" s="138"/>
      <c r="F136" s="103"/>
      <c r="G136" s="138"/>
      <c r="H136" s="180"/>
      <c r="I136" s="179"/>
      <c r="J136" s="184"/>
      <c r="K136" s="173"/>
      <c r="L136" s="102"/>
      <c r="M136" s="179"/>
      <c r="N136" s="102"/>
      <c r="O136" s="179"/>
      <c r="P136" s="102"/>
      <c r="Q136" s="179"/>
      <c r="R136" s="102"/>
      <c r="S136" s="179"/>
      <c r="T136" s="180"/>
      <c r="U136" s="126"/>
      <c r="V136" s="58"/>
      <c r="W136" s="58">
        <f>ROW()</f>
        <v>136</v>
      </c>
    </row>
    <row r="137" spans="1:56" ht="15" hidden="1" customHeight="1" x14ac:dyDescent="0.25">
      <c r="B137" s="216"/>
      <c r="C137" s="130"/>
      <c r="D137" s="102"/>
      <c r="E137" s="91"/>
      <c r="F137" s="103" t="s">
        <v>137</v>
      </c>
      <c r="G137" s="75"/>
      <c r="H137" s="97">
        <f ca="1">IFERROR(((1+H114)^H116-1)/H114*SUM(H122*H95*$H$34,H124*H97*$J$34,H126*H99*$L$34)/H118,0)</f>
        <v>0</v>
      </c>
      <c r="I137" s="91"/>
      <c r="J137" s="184"/>
      <c r="K137" s="173"/>
      <c r="L137" s="102"/>
      <c r="M137" s="179"/>
      <c r="N137" s="102"/>
      <c r="O137" s="179"/>
      <c r="P137" s="102"/>
      <c r="Q137" s="179"/>
      <c r="R137" s="102"/>
      <c r="S137" s="91"/>
      <c r="T137" s="102"/>
      <c r="W137" s="52"/>
      <c r="X137" s="52" t="s">
        <v>88</v>
      </c>
      <c r="Y137" s="124">
        <v>0</v>
      </c>
      <c r="Z137" s="124"/>
      <c r="AA137" s="124">
        <v>1</v>
      </c>
      <c r="AB137" s="124">
        <v>2</v>
      </c>
      <c r="AC137" s="124">
        <v>3</v>
      </c>
      <c r="AD137" s="124">
        <v>4</v>
      </c>
      <c r="AE137" s="124">
        <v>5</v>
      </c>
      <c r="AF137" s="124">
        <v>6</v>
      </c>
      <c r="AG137" s="124">
        <v>7</v>
      </c>
      <c r="AH137" s="124">
        <v>8</v>
      </c>
      <c r="AI137" s="124">
        <v>9</v>
      </c>
      <c r="AJ137" s="124">
        <v>10</v>
      </c>
      <c r="AK137" s="124">
        <v>11</v>
      </c>
      <c r="AL137" s="124">
        <v>12</v>
      </c>
      <c r="AM137" s="124">
        <v>13</v>
      </c>
      <c r="AN137" s="124">
        <v>14</v>
      </c>
      <c r="AO137" s="124">
        <v>15</v>
      </c>
      <c r="AP137" s="124">
        <v>16</v>
      </c>
      <c r="AQ137" s="124">
        <v>17</v>
      </c>
      <c r="AR137" s="124">
        <v>18</v>
      </c>
      <c r="AS137" s="124">
        <v>19</v>
      </c>
      <c r="AT137" s="124">
        <v>20</v>
      </c>
      <c r="AU137" s="124">
        <v>21</v>
      </c>
      <c r="AV137" s="124">
        <v>22</v>
      </c>
      <c r="AW137" s="124">
        <v>23</v>
      </c>
      <c r="AX137" s="124">
        <v>24</v>
      </c>
      <c r="AY137" s="124">
        <v>25</v>
      </c>
      <c r="AZ137" s="124">
        <v>26</v>
      </c>
      <c r="BA137" s="124">
        <v>27</v>
      </c>
      <c r="BB137" s="124">
        <v>28</v>
      </c>
      <c r="BC137" s="124">
        <v>29</v>
      </c>
      <c r="BD137" s="124">
        <v>30</v>
      </c>
    </row>
    <row r="138" spans="1:56" s="119" customFormat="1" ht="15" hidden="1" customHeight="1" x14ac:dyDescent="0.25">
      <c r="A138" s="126"/>
      <c r="B138" s="216"/>
      <c r="C138" s="130"/>
      <c r="D138" s="138"/>
      <c r="E138" s="138"/>
      <c r="F138" s="103"/>
      <c r="G138" s="138"/>
      <c r="H138" s="129"/>
      <c r="I138" s="91"/>
      <c r="J138" s="184"/>
      <c r="K138" s="173"/>
      <c r="L138" s="102"/>
      <c r="M138" s="179"/>
      <c r="N138" s="102"/>
      <c r="O138" s="179"/>
      <c r="P138" s="102"/>
      <c r="Q138" s="179"/>
      <c r="R138" s="102"/>
      <c r="S138" s="91"/>
      <c r="T138" s="129"/>
      <c r="U138" s="126"/>
      <c r="V138" s="58"/>
      <c r="W138" s="58"/>
      <c r="X138" s="177" t="s">
        <v>93</v>
      </c>
      <c r="Y138" s="175">
        <v>2019</v>
      </c>
      <c r="Z138" s="175"/>
      <c r="AA138" s="175">
        <v>2020</v>
      </c>
      <c r="AB138" s="175">
        <v>2021</v>
      </c>
      <c r="AC138" s="175">
        <v>2022</v>
      </c>
      <c r="AD138" s="175">
        <v>2023</v>
      </c>
      <c r="AE138" s="175">
        <v>2024</v>
      </c>
      <c r="AF138" s="175">
        <v>2025</v>
      </c>
      <c r="AG138" s="175">
        <v>2026</v>
      </c>
      <c r="AH138" s="175">
        <v>2027</v>
      </c>
      <c r="AI138" s="175">
        <v>2028</v>
      </c>
      <c r="AJ138" s="175">
        <v>2029</v>
      </c>
      <c r="AK138" s="175">
        <v>2030</v>
      </c>
      <c r="AL138" s="175">
        <v>2031</v>
      </c>
      <c r="AM138" s="175">
        <v>2032</v>
      </c>
      <c r="AN138" s="175">
        <v>2033</v>
      </c>
      <c r="AO138" s="175">
        <v>2034</v>
      </c>
      <c r="AP138" s="175">
        <v>2035</v>
      </c>
      <c r="AQ138" s="175">
        <v>2036</v>
      </c>
      <c r="AR138" s="175">
        <v>2037</v>
      </c>
      <c r="AS138" s="175">
        <v>2038</v>
      </c>
      <c r="AT138" s="175">
        <v>2039</v>
      </c>
      <c r="AU138" s="175">
        <v>2040</v>
      </c>
      <c r="AV138" s="175">
        <v>2041</v>
      </c>
      <c r="AW138" s="175">
        <v>2042</v>
      </c>
      <c r="AX138" s="175">
        <v>2043</v>
      </c>
      <c r="AY138" s="175">
        <v>2044</v>
      </c>
      <c r="AZ138" s="175">
        <v>2045</v>
      </c>
      <c r="BA138" s="175">
        <v>2046</v>
      </c>
      <c r="BB138" s="175">
        <v>2047</v>
      </c>
      <c r="BC138" s="175">
        <v>2048</v>
      </c>
      <c r="BD138" s="175">
        <v>2049</v>
      </c>
    </row>
    <row r="139" spans="1:56" s="119" customFormat="1" ht="15" hidden="1" customHeight="1" x14ac:dyDescent="0.25">
      <c r="A139" s="126"/>
      <c r="B139" s="216"/>
      <c r="C139" s="130"/>
      <c r="D139" s="138"/>
      <c r="E139" s="138"/>
      <c r="F139" s="103" t="s">
        <v>148</v>
      </c>
      <c r="G139" s="138"/>
      <c r="H139" s="97">
        <f ca="1">IFERROR(((1+$H$114)^$H$116-1)/$H$114*SUMPRODUCT($H$102:$H110,$H$128:$H136)*$L$34/$H$118,0)</f>
        <v>0</v>
      </c>
      <c r="I139" s="91"/>
      <c r="J139" s="184"/>
      <c r="K139" s="173"/>
      <c r="L139" s="102"/>
      <c r="M139" s="179"/>
      <c r="N139" s="102"/>
      <c r="O139" s="179"/>
      <c r="P139" s="102"/>
      <c r="Q139" s="179"/>
      <c r="R139" s="102"/>
      <c r="S139" s="91"/>
      <c r="T139" s="129"/>
      <c r="U139" s="126"/>
      <c r="V139" s="58"/>
      <c r="W139" s="58"/>
      <c r="X139" s="178"/>
      <c r="Y139" s="176"/>
      <c r="Z139" s="176"/>
      <c r="AA139" s="176"/>
      <c r="AB139" s="176"/>
      <c r="AC139" s="176"/>
      <c r="AD139" s="176"/>
      <c r="AE139" s="176"/>
      <c r="AF139" s="176"/>
      <c r="AG139" s="176"/>
      <c r="AH139" s="176"/>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row>
    <row r="140" spans="1:56" ht="15" hidden="1" customHeight="1" x14ac:dyDescent="0.25">
      <c r="A140" s="126"/>
      <c r="B140" s="216"/>
      <c r="C140" s="130"/>
      <c r="D140" s="138"/>
      <c r="E140" s="138"/>
      <c r="F140" s="103"/>
      <c r="G140" s="138"/>
      <c r="H140" s="129"/>
      <c r="I140" s="91"/>
      <c r="J140" s="184"/>
      <c r="K140" s="173"/>
      <c r="L140" s="102"/>
      <c r="M140" s="179"/>
      <c r="N140" s="102"/>
      <c r="O140" s="179"/>
      <c r="P140" s="102"/>
      <c r="Q140" s="179"/>
      <c r="R140" s="102"/>
      <c r="S140" s="91"/>
      <c r="T140" s="129"/>
      <c r="U140" s="126"/>
      <c r="X140" s="52" t="s">
        <v>94</v>
      </c>
      <c r="Y140" s="65">
        <v>0</v>
      </c>
      <c r="Z140" s="65"/>
      <c r="AA140" s="65">
        <f t="shared" ref="AA140:BD140" ca="1" si="15">IF(AA137&lt;=$H$116,SUM($H$95*$H$122,$H$97*$H$124,$H$99*$H$126),0)</f>
        <v>0</v>
      </c>
      <c r="AB140" s="65">
        <f t="shared" ca="1" si="15"/>
        <v>0</v>
      </c>
      <c r="AC140" s="65">
        <f t="shared" ca="1" si="15"/>
        <v>0</v>
      </c>
      <c r="AD140" s="65">
        <f t="shared" ca="1" si="15"/>
        <v>0</v>
      </c>
      <c r="AE140" s="65">
        <f t="shared" ca="1" si="15"/>
        <v>0</v>
      </c>
      <c r="AF140" s="65">
        <f t="shared" ca="1" si="15"/>
        <v>0</v>
      </c>
      <c r="AG140" s="65">
        <f t="shared" ca="1" si="15"/>
        <v>0</v>
      </c>
      <c r="AH140" s="65">
        <f t="shared" ca="1" si="15"/>
        <v>0</v>
      </c>
      <c r="AI140" s="65">
        <f t="shared" ca="1" si="15"/>
        <v>0</v>
      </c>
      <c r="AJ140" s="65">
        <f t="shared" ca="1" si="15"/>
        <v>0</v>
      </c>
      <c r="AK140" s="65">
        <f t="shared" ca="1" si="15"/>
        <v>0</v>
      </c>
      <c r="AL140" s="65">
        <f t="shared" ca="1" si="15"/>
        <v>0</v>
      </c>
      <c r="AM140" s="65">
        <f t="shared" ca="1" si="15"/>
        <v>0</v>
      </c>
      <c r="AN140" s="65">
        <f t="shared" ca="1" si="15"/>
        <v>0</v>
      </c>
      <c r="AO140" s="65">
        <f t="shared" ca="1" si="15"/>
        <v>0</v>
      </c>
      <c r="AP140" s="65">
        <f t="shared" ca="1" si="15"/>
        <v>0</v>
      </c>
      <c r="AQ140" s="65">
        <f t="shared" ca="1" si="15"/>
        <v>0</v>
      </c>
      <c r="AR140" s="65">
        <f t="shared" ca="1" si="15"/>
        <v>0</v>
      </c>
      <c r="AS140" s="65">
        <f t="shared" ca="1" si="15"/>
        <v>0</v>
      </c>
      <c r="AT140" s="65">
        <f t="shared" ca="1" si="15"/>
        <v>0</v>
      </c>
      <c r="AU140" s="65">
        <f t="shared" ca="1" si="15"/>
        <v>0</v>
      </c>
      <c r="AV140" s="65">
        <f t="shared" ca="1" si="15"/>
        <v>0</v>
      </c>
      <c r="AW140" s="65">
        <f t="shared" ca="1" si="15"/>
        <v>0</v>
      </c>
      <c r="AX140" s="65">
        <f t="shared" ca="1" si="15"/>
        <v>0</v>
      </c>
      <c r="AY140" s="65">
        <f t="shared" ca="1" si="15"/>
        <v>0</v>
      </c>
      <c r="AZ140" s="65">
        <f t="shared" ca="1" si="15"/>
        <v>0</v>
      </c>
      <c r="BA140" s="65">
        <f t="shared" ca="1" si="15"/>
        <v>0</v>
      </c>
      <c r="BB140" s="65">
        <f t="shared" ca="1" si="15"/>
        <v>0</v>
      </c>
      <c r="BC140" s="65">
        <f t="shared" ca="1" si="15"/>
        <v>0</v>
      </c>
      <c r="BD140" s="65">
        <f t="shared" ca="1" si="15"/>
        <v>0</v>
      </c>
    </row>
    <row r="141" spans="1:56" ht="15" hidden="1" customHeight="1" x14ac:dyDescent="0.25">
      <c r="B141" s="216"/>
      <c r="C141" s="130"/>
      <c r="D141" s="102"/>
      <c r="E141" s="91"/>
      <c r="F141" s="103" t="s">
        <v>138</v>
      </c>
      <c r="G141" s="75"/>
      <c r="H141" s="97">
        <f ca="1">IFERROR(NPV(H112,Y140:BD140)/H118,0)</f>
        <v>0</v>
      </c>
      <c r="I141" s="91"/>
      <c r="J141" s="183"/>
      <c r="K141" s="173"/>
      <c r="L141" s="102"/>
      <c r="M141" s="179"/>
      <c r="N141" s="102"/>
      <c r="O141" s="179"/>
      <c r="P141" s="102"/>
      <c r="Q141" s="179"/>
      <c r="R141" s="102"/>
      <c r="S141" s="91"/>
      <c r="T141" s="102"/>
      <c r="X141" s="52" t="s">
        <v>95</v>
      </c>
      <c r="Y141" s="65">
        <v>0</v>
      </c>
      <c r="Z141" s="65"/>
      <c r="AA141" s="65">
        <f t="shared" ref="AA141:BD141" ca="1" si="16">IF(AA137&lt;=$H$116,SUM($H$102*$H$128,$H$104*$H$130),0)</f>
        <v>0</v>
      </c>
      <c r="AB141" s="65">
        <f t="shared" ca="1" si="16"/>
        <v>0</v>
      </c>
      <c r="AC141" s="65">
        <f t="shared" ca="1" si="16"/>
        <v>0</v>
      </c>
      <c r="AD141" s="65">
        <f t="shared" ca="1" si="16"/>
        <v>0</v>
      </c>
      <c r="AE141" s="65">
        <f t="shared" ca="1" si="16"/>
        <v>0</v>
      </c>
      <c r="AF141" s="65">
        <f t="shared" ca="1" si="16"/>
        <v>0</v>
      </c>
      <c r="AG141" s="65">
        <f t="shared" ca="1" si="16"/>
        <v>0</v>
      </c>
      <c r="AH141" s="65">
        <f t="shared" ca="1" si="16"/>
        <v>0</v>
      </c>
      <c r="AI141" s="65">
        <f t="shared" ca="1" si="16"/>
        <v>0</v>
      </c>
      <c r="AJ141" s="65">
        <f t="shared" ca="1" si="16"/>
        <v>0</v>
      </c>
      <c r="AK141" s="65">
        <f t="shared" ca="1" si="16"/>
        <v>0</v>
      </c>
      <c r="AL141" s="65">
        <f t="shared" ca="1" si="16"/>
        <v>0</v>
      </c>
      <c r="AM141" s="65">
        <f t="shared" ca="1" si="16"/>
        <v>0</v>
      </c>
      <c r="AN141" s="65">
        <f t="shared" ca="1" si="16"/>
        <v>0</v>
      </c>
      <c r="AO141" s="65">
        <f t="shared" ca="1" si="16"/>
        <v>0</v>
      </c>
      <c r="AP141" s="65">
        <f t="shared" ca="1" si="16"/>
        <v>0</v>
      </c>
      <c r="AQ141" s="65">
        <f t="shared" ca="1" si="16"/>
        <v>0</v>
      </c>
      <c r="AR141" s="65">
        <f t="shared" ca="1" si="16"/>
        <v>0</v>
      </c>
      <c r="AS141" s="65">
        <f t="shared" ca="1" si="16"/>
        <v>0</v>
      </c>
      <c r="AT141" s="65">
        <f t="shared" ca="1" si="16"/>
        <v>0</v>
      </c>
      <c r="AU141" s="65">
        <f t="shared" ca="1" si="16"/>
        <v>0</v>
      </c>
      <c r="AV141" s="65">
        <f t="shared" ca="1" si="16"/>
        <v>0</v>
      </c>
      <c r="AW141" s="65">
        <f t="shared" ca="1" si="16"/>
        <v>0</v>
      </c>
      <c r="AX141" s="65">
        <f t="shared" ca="1" si="16"/>
        <v>0</v>
      </c>
      <c r="AY141" s="65">
        <f t="shared" ca="1" si="16"/>
        <v>0</v>
      </c>
      <c r="AZ141" s="65">
        <f t="shared" ca="1" si="16"/>
        <v>0</v>
      </c>
      <c r="BA141" s="65">
        <f t="shared" ca="1" si="16"/>
        <v>0</v>
      </c>
      <c r="BB141" s="65">
        <f t="shared" ca="1" si="16"/>
        <v>0</v>
      </c>
      <c r="BC141" s="65">
        <f t="shared" ca="1" si="16"/>
        <v>0</v>
      </c>
      <c r="BD141" s="65">
        <f t="shared" ca="1" si="16"/>
        <v>0</v>
      </c>
    </row>
    <row r="142" spans="1:56" s="119" customFormat="1" ht="15" hidden="1" customHeight="1" x14ac:dyDescent="0.25">
      <c r="A142" s="126"/>
      <c r="B142" s="216"/>
      <c r="C142" s="130"/>
      <c r="D142" s="138"/>
      <c r="E142" s="138"/>
      <c r="F142" s="103"/>
      <c r="G142" s="138"/>
      <c r="H142" s="102"/>
      <c r="I142" s="91"/>
      <c r="J142" s="184"/>
      <c r="K142" s="173"/>
      <c r="L142" s="102"/>
      <c r="M142" s="179"/>
      <c r="N142" s="102"/>
      <c r="O142" s="179"/>
      <c r="P142" s="102"/>
      <c r="Q142" s="179"/>
      <c r="R142" s="102"/>
      <c r="S142" s="91"/>
      <c r="T142" s="129"/>
      <c r="U142" s="126"/>
      <c r="V142" s="58"/>
      <c r="W142" s="58"/>
    </row>
    <row r="143" spans="1:56" ht="15" hidden="1" customHeight="1" x14ac:dyDescent="0.25">
      <c r="B143" s="216"/>
      <c r="C143" s="130"/>
      <c r="D143" s="102"/>
      <c r="E143" s="91"/>
      <c r="F143" s="103" t="s">
        <v>149</v>
      </c>
      <c r="G143" s="75"/>
      <c r="H143" s="98">
        <f ca="1">IFERROR(NPV(H112,Y141:BD141)/H118,0)</f>
        <v>0</v>
      </c>
      <c r="I143" s="91"/>
      <c r="J143" s="183"/>
      <c r="K143" s="173"/>
      <c r="L143" s="102"/>
      <c r="M143" s="179"/>
      <c r="N143" s="102"/>
      <c r="O143" s="179"/>
      <c r="P143" s="102"/>
      <c r="Q143" s="179"/>
      <c r="R143" s="102"/>
      <c r="S143" s="91"/>
      <c r="T143" s="102"/>
    </row>
    <row r="144" spans="1:56" ht="15" hidden="1" customHeight="1" x14ac:dyDescent="0.25">
      <c r="B144" s="216"/>
      <c r="C144" s="130"/>
      <c r="D144" s="102"/>
      <c r="E144" s="91"/>
      <c r="F144" s="103"/>
      <c r="G144" s="75"/>
      <c r="H144" s="100"/>
      <c r="I144" s="91"/>
      <c r="J144" s="184"/>
      <c r="K144" s="173"/>
      <c r="L144" s="102"/>
      <c r="M144" s="179"/>
      <c r="N144" s="102"/>
      <c r="O144" s="179"/>
      <c r="P144" s="102"/>
      <c r="Q144" s="179"/>
      <c r="R144" s="102"/>
      <c r="S144" s="91"/>
      <c r="T144" s="102"/>
    </row>
    <row r="145" spans="2:23" ht="15" hidden="1" customHeight="1" x14ac:dyDescent="0.25">
      <c r="B145" s="216"/>
      <c r="C145" s="130"/>
      <c r="D145" s="102"/>
      <c r="E145" s="91"/>
      <c r="F145" s="103" t="s">
        <v>102</v>
      </c>
      <c r="G145" s="75"/>
      <c r="H145" s="98">
        <f ca="1">IFERROR(SUM(DZ11:DZ14),0)</f>
        <v>0</v>
      </c>
      <c r="I145" s="91"/>
      <c r="J145" s="185"/>
      <c r="K145" s="173"/>
      <c r="L145" s="102"/>
      <c r="M145" s="179"/>
      <c r="N145" s="102"/>
      <c r="O145" s="179"/>
      <c r="P145" s="102"/>
      <c r="Q145" s="179"/>
      <c r="R145" s="102"/>
      <c r="S145" s="91"/>
      <c r="T145" s="102"/>
    </row>
    <row r="146" spans="2:23" ht="15" hidden="1" customHeight="1" x14ac:dyDescent="0.25">
      <c r="B146" s="216"/>
      <c r="C146" s="130"/>
      <c r="D146" s="102"/>
      <c r="E146" s="91"/>
      <c r="F146" s="103"/>
      <c r="G146" s="75"/>
      <c r="H146" s="100"/>
      <c r="I146" s="91"/>
      <c r="J146" s="184"/>
      <c r="K146" s="173"/>
      <c r="L146" s="102"/>
      <c r="M146" s="179"/>
      <c r="N146" s="102"/>
      <c r="O146" s="179"/>
      <c r="P146" s="102"/>
      <c r="Q146" s="179"/>
      <c r="R146" s="102"/>
      <c r="S146" s="91"/>
      <c r="T146" s="102"/>
    </row>
    <row r="147" spans="2:23" ht="15" hidden="1" customHeight="1" x14ac:dyDescent="0.25">
      <c r="B147" s="216"/>
      <c r="C147" s="130"/>
      <c r="D147" s="102"/>
      <c r="E147" s="91"/>
      <c r="F147" s="118" t="s">
        <v>96</v>
      </c>
      <c r="G147" s="75"/>
      <c r="H147" s="99">
        <f ca="1">SUM(H141,H143,H145)</f>
        <v>0</v>
      </c>
      <c r="I147" s="91"/>
      <c r="J147" s="184"/>
      <c r="K147" s="173"/>
      <c r="L147" s="102"/>
      <c r="M147" s="179"/>
      <c r="N147" s="102"/>
      <c r="O147" s="179"/>
      <c r="P147" s="102"/>
      <c r="Q147" s="179"/>
      <c r="R147" s="102"/>
      <c r="S147" s="91"/>
      <c r="T147" s="102"/>
    </row>
    <row r="148" spans="2:23" ht="9" hidden="1" customHeight="1" x14ac:dyDescent="0.25">
      <c r="B148" s="216"/>
      <c r="C148" s="130"/>
      <c r="D148" s="102"/>
      <c r="E148" s="91"/>
      <c r="F148" s="103"/>
      <c r="G148" s="75"/>
      <c r="H148" s="100"/>
      <c r="I148" s="91"/>
      <c r="J148" s="184"/>
      <c r="K148" s="173"/>
      <c r="L148" s="102"/>
      <c r="M148" s="179"/>
      <c r="N148" s="102"/>
      <c r="O148" s="179"/>
      <c r="P148" s="102"/>
      <c r="Q148" s="179"/>
      <c r="R148" s="102"/>
      <c r="S148" s="91"/>
      <c r="T148" s="102"/>
    </row>
    <row r="149" spans="2:23" ht="15" hidden="1" customHeight="1" x14ac:dyDescent="0.25">
      <c r="B149" s="216"/>
      <c r="C149" s="130"/>
      <c r="D149" s="102"/>
      <c r="E149" s="91"/>
      <c r="F149" s="103" t="s">
        <v>139</v>
      </c>
      <c r="G149" s="75"/>
      <c r="H149" s="97">
        <f ca="1">E21</f>
        <v>0</v>
      </c>
      <c r="I149" s="91"/>
      <c r="J149" s="184"/>
      <c r="K149" s="173"/>
      <c r="L149" s="102"/>
      <c r="M149" s="179"/>
      <c r="N149" s="102"/>
      <c r="O149" s="179"/>
      <c r="P149" s="102"/>
      <c r="Q149" s="179"/>
      <c r="R149" s="102"/>
      <c r="S149" s="91"/>
      <c r="T149" s="102"/>
    </row>
    <row r="150" spans="2:23" ht="9" hidden="1" customHeight="1" x14ac:dyDescent="0.25">
      <c r="B150" s="216"/>
      <c r="C150" s="130"/>
      <c r="D150" s="102"/>
      <c r="E150" s="91"/>
      <c r="F150" s="103"/>
      <c r="G150" s="75"/>
      <c r="H150" s="100"/>
      <c r="I150" s="91"/>
      <c r="J150" s="184"/>
      <c r="K150" s="173"/>
      <c r="L150" s="102"/>
      <c r="M150" s="179"/>
      <c r="N150" s="102"/>
      <c r="O150" s="179"/>
      <c r="P150" s="102"/>
      <c r="Q150" s="179"/>
      <c r="R150" s="102"/>
      <c r="S150" s="91"/>
      <c r="T150" s="102"/>
    </row>
    <row r="151" spans="2:23" ht="15" hidden="1" customHeight="1" x14ac:dyDescent="0.25">
      <c r="B151" s="216"/>
      <c r="C151" s="130"/>
      <c r="D151" s="102"/>
      <c r="E151" s="91"/>
      <c r="F151" s="103" t="s">
        <v>140</v>
      </c>
      <c r="G151" s="75"/>
      <c r="H151" s="97">
        <f>E23</f>
        <v>0</v>
      </c>
      <c r="I151" s="91"/>
      <c r="J151" s="184"/>
      <c r="K151" s="173"/>
      <c r="L151" s="102"/>
      <c r="M151" s="179"/>
      <c r="N151" s="102"/>
      <c r="O151" s="179"/>
      <c r="P151" s="102"/>
      <c r="Q151" s="179"/>
      <c r="R151" s="102"/>
      <c r="S151" s="91"/>
      <c r="T151" s="102"/>
    </row>
    <row r="152" spans="2:23" ht="15" hidden="1" customHeight="1" x14ac:dyDescent="0.25">
      <c r="B152" s="216"/>
      <c r="C152" s="130"/>
      <c r="D152" s="102"/>
      <c r="E152" s="91"/>
      <c r="F152" s="103"/>
      <c r="G152" s="75"/>
      <c r="H152" s="100"/>
      <c r="I152" s="91"/>
      <c r="J152" s="184"/>
      <c r="K152" s="173"/>
      <c r="L152" s="102"/>
      <c r="M152" s="179"/>
      <c r="N152" s="102"/>
      <c r="O152" s="179"/>
      <c r="P152" s="102"/>
      <c r="Q152" s="179"/>
      <c r="R152" s="102"/>
      <c r="S152" s="91"/>
      <c r="T152" s="102"/>
    </row>
    <row r="153" spans="2:23" ht="15" hidden="1" customHeight="1" x14ac:dyDescent="0.25">
      <c r="B153" s="216"/>
      <c r="C153" s="130"/>
      <c r="D153" s="102"/>
      <c r="E153" s="91"/>
      <c r="F153" s="103" t="s">
        <v>141</v>
      </c>
      <c r="G153" s="75"/>
      <c r="H153" s="97">
        <f ca="1">IF(N27="one (1) year",H149/(1+H112)^1,SUM(H149/2/(1+H112)^1,H149/2/(1+H112)^2))</f>
        <v>0</v>
      </c>
      <c r="I153" s="91"/>
      <c r="J153" s="183"/>
      <c r="K153" s="173"/>
      <c r="L153" s="102"/>
      <c r="M153" s="179"/>
      <c r="N153" s="102"/>
      <c r="O153" s="179"/>
      <c r="P153" s="102"/>
      <c r="Q153" s="179"/>
      <c r="R153" s="102"/>
      <c r="S153" s="91"/>
      <c r="T153" s="102"/>
    </row>
    <row r="154" spans="2:23" ht="15" hidden="1" customHeight="1" x14ac:dyDescent="0.25">
      <c r="B154" s="216"/>
      <c r="C154" s="130"/>
      <c r="D154" s="102"/>
      <c r="E154" s="91"/>
      <c r="F154" s="103"/>
      <c r="G154" s="75"/>
      <c r="H154" s="100"/>
      <c r="I154" s="91"/>
      <c r="J154" s="184"/>
      <c r="K154" s="173"/>
      <c r="L154" s="102"/>
      <c r="M154" s="179"/>
      <c r="N154" s="102"/>
      <c r="O154" s="179"/>
      <c r="P154" s="102"/>
      <c r="Q154" s="179"/>
      <c r="R154" s="102"/>
      <c r="S154" s="91"/>
      <c r="T154" s="102"/>
    </row>
    <row r="155" spans="2:23" ht="15" hidden="1" customHeight="1" x14ac:dyDescent="0.25">
      <c r="B155" s="216"/>
      <c r="C155" s="130"/>
      <c r="D155" s="102"/>
      <c r="E155" s="91"/>
      <c r="F155" s="103" t="s">
        <v>142</v>
      </c>
      <c r="G155" s="75"/>
      <c r="H155" s="97">
        <f>IFERROR(SUM(BE11:BE14),0)</f>
        <v>0</v>
      </c>
      <c r="I155" s="91"/>
      <c r="J155" s="183"/>
      <c r="K155" s="173"/>
      <c r="L155" s="102"/>
      <c r="M155" s="179"/>
      <c r="N155" s="102"/>
      <c r="O155" s="179"/>
      <c r="P155" s="102"/>
      <c r="Q155" s="179"/>
      <c r="R155" s="102"/>
      <c r="S155" s="91"/>
      <c r="T155" s="102"/>
    </row>
    <row r="156" spans="2:23" ht="9" hidden="1" customHeight="1" x14ac:dyDescent="0.25">
      <c r="B156" s="216"/>
      <c r="C156" s="130"/>
      <c r="D156" s="102"/>
      <c r="E156" s="91"/>
      <c r="F156" s="103"/>
      <c r="G156" s="75"/>
      <c r="H156" s="100"/>
      <c r="I156" s="91"/>
      <c r="J156" s="184"/>
      <c r="K156" s="173"/>
      <c r="L156" s="102"/>
      <c r="M156" s="179"/>
      <c r="N156" s="102"/>
      <c r="O156" s="179"/>
      <c r="P156" s="102"/>
      <c r="Q156" s="179"/>
      <c r="R156" s="102"/>
      <c r="S156" s="91"/>
      <c r="T156" s="102"/>
    </row>
    <row r="157" spans="2:23" ht="15" hidden="1" customHeight="1" x14ac:dyDescent="0.25">
      <c r="B157" s="216"/>
      <c r="C157" s="130"/>
      <c r="D157" s="102"/>
      <c r="E157" s="91"/>
      <c r="F157" s="118" t="s">
        <v>100</v>
      </c>
      <c r="G157" s="75"/>
      <c r="H157" s="99">
        <f ca="1">SUM(H153,H155)</f>
        <v>0</v>
      </c>
      <c r="I157" s="91"/>
      <c r="J157" s="184"/>
      <c r="K157" s="173"/>
      <c r="L157" s="102"/>
      <c r="M157" s="179"/>
      <c r="N157" s="102"/>
      <c r="O157" s="179"/>
      <c r="P157" s="102"/>
      <c r="Q157" s="179"/>
      <c r="R157" s="102"/>
      <c r="S157" s="91"/>
      <c r="T157" s="102"/>
    </row>
    <row r="158" spans="2:23" hidden="1" x14ac:dyDescent="0.25">
      <c r="B158" s="216"/>
      <c r="C158" s="130"/>
      <c r="D158" s="102"/>
      <c r="E158" s="91"/>
      <c r="F158" s="103"/>
      <c r="G158" s="75"/>
      <c r="H158" s="100"/>
      <c r="I158" s="91"/>
      <c r="J158" s="184"/>
      <c r="K158" s="173"/>
      <c r="L158" s="102"/>
      <c r="M158" s="179"/>
      <c r="N158" s="102"/>
      <c r="O158" s="179"/>
      <c r="P158" s="102"/>
      <c r="Q158" s="179"/>
      <c r="R158" s="102"/>
      <c r="S158" s="91"/>
      <c r="T158" s="102"/>
    </row>
    <row r="159" spans="2:23" ht="15" hidden="1" customHeight="1" x14ac:dyDescent="0.25">
      <c r="B159" s="216"/>
      <c r="C159" s="130"/>
      <c r="D159" s="102"/>
      <c r="E159" s="91"/>
      <c r="F159" s="118" t="s">
        <v>134</v>
      </c>
      <c r="G159" s="138"/>
      <c r="H159" s="181">
        <f ca="1">IFERROR(H147/H157,0)</f>
        <v>0</v>
      </c>
      <c r="I159" s="91"/>
      <c r="J159" s="183"/>
      <c r="K159" s="173"/>
      <c r="L159" s="102"/>
      <c r="M159" s="179"/>
      <c r="N159" s="102"/>
      <c r="O159" s="179"/>
      <c r="P159" s="102"/>
      <c r="Q159" s="179"/>
      <c r="R159" s="102"/>
      <c r="S159" s="91"/>
      <c r="T159" s="102"/>
    </row>
    <row r="160" spans="2:23" ht="15" hidden="1" customHeight="1" x14ac:dyDescent="0.25">
      <c r="B160" s="216"/>
      <c r="C160" s="130"/>
      <c r="D160" s="102"/>
      <c r="E160" s="91"/>
      <c r="F160" s="103"/>
      <c r="G160" s="75"/>
      <c r="H160" s="100"/>
      <c r="I160" s="91"/>
      <c r="J160" s="102"/>
      <c r="K160" s="91"/>
      <c r="L160" s="102"/>
      <c r="M160" s="91"/>
      <c r="N160" s="102"/>
      <c r="O160" s="91"/>
      <c r="P160" s="102"/>
      <c r="Q160" s="91"/>
      <c r="R160" s="102"/>
      <c r="S160" s="91"/>
      <c r="T160" s="102"/>
      <c r="W160" s="58">
        <f>ROW()</f>
        <v>160</v>
      </c>
    </row>
    <row r="161" spans="1:23" ht="15.75" x14ac:dyDescent="0.25">
      <c r="B161" s="216"/>
      <c r="C161" s="130"/>
      <c r="D161" s="102" t="s">
        <v>123</v>
      </c>
      <c r="E161" s="91"/>
      <c r="F161" s="91"/>
      <c r="G161" s="91"/>
      <c r="H161" s="102"/>
      <c r="I161" s="91"/>
      <c r="J161" s="102"/>
      <c r="K161" s="196">
        <f ca="1">H159</f>
        <v>0</v>
      </c>
      <c r="L161" s="196"/>
      <c r="M161" s="91"/>
      <c r="N161" s="102"/>
      <c r="O161" s="91"/>
      <c r="P161" s="102"/>
      <c r="Q161" s="91"/>
      <c r="R161" s="102"/>
      <c r="S161" s="91"/>
      <c r="T161" s="102"/>
    </row>
    <row r="162" spans="1:23" s="68" customFormat="1" ht="15.75" thickBot="1" x14ac:dyDescent="0.3">
      <c r="A162" s="57"/>
      <c r="B162" s="217"/>
      <c r="C162" s="153"/>
      <c r="D162" s="147"/>
      <c r="E162" s="148"/>
      <c r="F162" s="148"/>
      <c r="G162" s="148"/>
      <c r="H162" s="147"/>
      <c r="I162" s="148"/>
      <c r="J162" s="147"/>
      <c r="K162" s="148"/>
      <c r="L162" s="147"/>
      <c r="M162" s="148"/>
      <c r="N162" s="147"/>
      <c r="O162" s="148"/>
      <c r="P162" s="147"/>
      <c r="Q162" s="148"/>
      <c r="R162" s="147"/>
      <c r="S162" s="148"/>
      <c r="T162" s="147"/>
      <c r="U162" s="57"/>
      <c r="V162" s="129"/>
      <c r="W162" s="129"/>
    </row>
    <row r="163" spans="1:23" ht="6" customHeight="1" x14ac:dyDescent="0.25">
      <c r="B163" s="206" t="s">
        <v>155</v>
      </c>
      <c r="C163" s="149"/>
      <c r="D163" s="122"/>
      <c r="E163" s="70"/>
      <c r="F163" s="123"/>
      <c r="G163" s="123"/>
      <c r="H163" s="122"/>
      <c r="I163" s="123"/>
      <c r="J163" s="122"/>
      <c r="K163" s="123"/>
      <c r="L163" s="122"/>
      <c r="M163" s="123"/>
      <c r="N163" s="122"/>
      <c r="O163" s="123"/>
      <c r="P163" s="122"/>
      <c r="Q163" s="123"/>
      <c r="R163" s="122"/>
      <c r="S163" s="123"/>
      <c r="T163" s="122"/>
    </row>
    <row r="164" spans="1:23" s="56" customFormat="1" ht="33.75" customHeight="1" x14ac:dyDescent="0.25">
      <c r="A164" s="63"/>
      <c r="B164" s="207"/>
      <c r="C164" s="150"/>
      <c r="D164" s="209" t="s">
        <v>154</v>
      </c>
      <c r="E164" s="209"/>
      <c r="F164" s="209"/>
      <c r="G164" s="209"/>
      <c r="H164" s="209"/>
      <c r="I164" s="209"/>
      <c r="J164" s="209"/>
      <c r="K164" s="209"/>
      <c r="L164" s="209"/>
      <c r="M164" s="209"/>
      <c r="N164" s="209"/>
      <c r="O164" s="209"/>
      <c r="P164" s="209"/>
      <c r="Q164" s="209"/>
      <c r="R164" s="209"/>
      <c r="S164" s="209"/>
      <c r="T164" s="209"/>
      <c r="U164" s="63"/>
      <c r="V164" s="151"/>
      <c r="W164" s="151"/>
    </row>
    <row r="165" spans="1:23" ht="18.75" customHeight="1" x14ac:dyDescent="0.25">
      <c r="B165" s="207"/>
      <c r="C165" s="130"/>
      <c r="D165" s="210" t="s">
        <v>158</v>
      </c>
      <c r="E165" s="210"/>
      <c r="F165" s="210"/>
      <c r="G165" s="210"/>
      <c r="H165" s="210"/>
      <c r="I165" s="210"/>
      <c r="J165" s="210"/>
      <c r="K165" s="210"/>
      <c r="L165" s="210"/>
      <c r="M165" s="210"/>
      <c r="N165" s="210"/>
      <c r="O165" s="210"/>
      <c r="P165" s="210"/>
      <c r="Q165" s="210"/>
      <c r="R165" s="210"/>
      <c r="S165" s="210"/>
      <c r="T165" s="210"/>
    </row>
    <row r="166" spans="1:23" x14ac:dyDescent="0.25">
      <c r="B166" s="207"/>
      <c r="C166" s="130"/>
      <c r="D166" s="102"/>
      <c r="E166" s="91"/>
      <c r="F166" s="103" t="s">
        <v>72</v>
      </c>
      <c r="G166" s="75"/>
      <c r="H166" s="100">
        <f>H60</f>
        <v>1820600</v>
      </c>
      <c r="I166" s="91"/>
      <c r="J166" s="102"/>
      <c r="K166" s="91"/>
      <c r="L166" s="102"/>
      <c r="M166" s="91"/>
      <c r="N166" s="102"/>
      <c r="O166" s="91"/>
      <c r="P166" s="102"/>
      <c r="Q166" s="91"/>
      <c r="R166" s="102"/>
      <c r="S166" s="91"/>
      <c r="T166" s="102"/>
    </row>
    <row r="167" spans="1:23" ht="6" customHeight="1" x14ac:dyDescent="0.25">
      <c r="B167" s="207"/>
      <c r="C167" s="130"/>
      <c r="D167" s="102"/>
      <c r="E167" s="162"/>
      <c r="F167" s="162"/>
      <c r="G167" s="162"/>
      <c r="H167" s="102"/>
      <c r="I167" s="162"/>
      <c r="J167" s="102"/>
      <c r="K167" s="162"/>
      <c r="L167" s="102"/>
      <c r="M167" s="162"/>
      <c r="N167" s="102"/>
      <c r="O167" s="162"/>
      <c r="P167" s="102"/>
      <c r="Q167" s="162"/>
      <c r="R167" s="102"/>
      <c r="S167" s="162"/>
      <c r="T167" s="102"/>
    </row>
    <row r="168" spans="1:23" x14ac:dyDescent="0.25">
      <c r="B168" s="207"/>
      <c r="C168" s="130"/>
      <c r="D168" s="102"/>
      <c r="E168" s="91"/>
      <c r="F168" s="103" t="s">
        <v>73</v>
      </c>
      <c r="G168" s="75"/>
      <c r="H168" s="100">
        <f>H62</f>
        <v>101800</v>
      </c>
      <c r="I168" s="91"/>
      <c r="J168" s="102"/>
      <c r="K168" s="91"/>
      <c r="L168" s="102"/>
      <c r="M168" s="91"/>
      <c r="N168" s="102"/>
      <c r="O168" s="91"/>
      <c r="P168" s="102"/>
      <c r="Q168" s="91"/>
      <c r="R168" s="102"/>
      <c r="S168" s="91"/>
      <c r="T168" s="102"/>
    </row>
    <row r="169" spans="1:23" ht="6" customHeight="1" x14ac:dyDescent="0.25">
      <c r="B169" s="207"/>
      <c r="C169" s="130"/>
      <c r="D169" s="102"/>
      <c r="E169" s="162"/>
      <c r="F169" s="162"/>
      <c r="G169" s="162"/>
      <c r="H169" s="102"/>
      <c r="I169" s="162"/>
      <c r="J169" s="102"/>
      <c r="K169" s="162"/>
      <c r="L169" s="102"/>
      <c r="M169" s="162"/>
      <c r="N169" s="102"/>
      <c r="O169" s="162"/>
      <c r="P169" s="102"/>
      <c r="Q169" s="162"/>
      <c r="R169" s="102"/>
      <c r="S169" s="162"/>
      <c r="T169" s="102"/>
    </row>
    <row r="170" spans="1:23" x14ac:dyDescent="0.25">
      <c r="B170" s="207"/>
      <c r="C170" s="130"/>
      <c r="D170" s="102"/>
      <c r="E170" s="91"/>
      <c r="F170" s="103" t="s">
        <v>74</v>
      </c>
      <c r="G170" s="75"/>
      <c r="H170" s="100">
        <f>H64</f>
        <v>11100</v>
      </c>
      <c r="I170" s="91"/>
      <c r="J170" s="102"/>
      <c r="K170" s="91"/>
      <c r="L170" s="102"/>
      <c r="M170" s="91"/>
      <c r="N170" s="102"/>
      <c r="O170" s="91"/>
      <c r="P170" s="102"/>
      <c r="Q170" s="91"/>
      <c r="R170" s="102"/>
      <c r="S170" s="91"/>
      <c r="T170" s="102"/>
    </row>
    <row r="171" spans="1:23" ht="6" customHeight="1" x14ac:dyDescent="0.25">
      <c r="B171" s="207"/>
      <c r="C171" s="130"/>
      <c r="D171" s="102"/>
      <c r="E171" s="91"/>
      <c r="F171" s="91"/>
      <c r="G171" s="91"/>
      <c r="H171" s="102"/>
      <c r="I171" s="91"/>
      <c r="J171" s="102"/>
      <c r="K171" s="91"/>
      <c r="L171" s="102"/>
      <c r="M171" s="91"/>
      <c r="N171" s="102"/>
      <c r="O171" s="91"/>
      <c r="P171" s="102"/>
      <c r="Q171" s="91"/>
      <c r="R171" s="102"/>
      <c r="S171" s="91"/>
      <c r="T171" s="102"/>
    </row>
    <row r="172" spans="1:23" s="105" customFormat="1" ht="18.75" customHeight="1" x14ac:dyDescent="0.25">
      <c r="A172" s="104"/>
      <c r="B172" s="207"/>
      <c r="C172" s="155"/>
      <c r="D172" s="210" t="s">
        <v>75</v>
      </c>
      <c r="E172" s="210"/>
      <c r="F172" s="210"/>
      <c r="G172" s="210"/>
      <c r="H172" s="210"/>
      <c r="I172" s="210"/>
      <c r="J172" s="210"/>
      <c r="K172" s="210"/>
      <c r="L172" s="210"/>
      <c r="M172" s="210"/>
      <c r="N172" s="210"/>
      <c r="O172" s="210"/>
      <c r="P172" s="210"/>
      <c r="Q172" s="210"/>
      <c r="R172" s="210"/>
      <c r="S172" s="210"/>
      <c r="T172" s="210"/>
      <c r="U172" s="104"/>
      <c r="V172" s="156"/>
      <c r="W172" s="156"/>
    </row>
    <row r="173" spans="1:23" x14ac:dyDescent="0.25">
      <c r="B173" s="207"/>
      <c r="C173" s="130"/>
      <c r="D173" s="102"/>
      <c r="E173" s="91"/>
      <c r="F173" s="103" t="str">
        <f>"Value of "&amp;F46</f>
        <v>Value of Deer</v>
      </c>
      <c r="G173" s="75"/>
      <c r="H173" s="100">
        <f>H102</f>
        <v>2178</v>
      </c>
      <c r="I173" s="91"/>
      <c r="J173" s="102"/>
      <c r="K173" s="91"/>
      <c r="L173" s="102"/>
      <c r="M173" s="91"/>
      <c r="N173" s="102"/>
      <c r="O173" s="91"/>
      <c r="P173" s="102"/>
      <c r="Q173" s="91"/>
      <c r="R173" s="102"/>
      <c r="S173" s="91"/>
      <c r="T173" s="102"/>
    </row>
    <row r="174" spans="1:23" ht="6" customHeight="1" x14ac:dyDescent="0.25">
      <c r="B174" s="207"/>
      <c r="C174" s="130"/>
      <c r="D174" s="102"/>
      <c r="E174" s="162"/>
      <c r="F174" s="162"/>
      <c r="G174" s="162"/>
      <c r="H174" s="102"/>
      <c r="I174" s="162"/>
      <c r="J174" s="102"/>
      <c r="K174" s="162"/>
      <c r="L174" s="102"/>
      <c r="M174" s="162"/>
      <c r="N174" s="102"/>
      <c r="O174" s="162"/>
      <c r="P174" s="102"/>
      <c r="Q174" s="162"/>
      <c r="R174" s="102"/>
      <c r="S174" s="162"/>
      <c r="T174" s="102"/>
    </row>
    <row r="175" spans="1:23" x14ac:dyDescent="0.25">
      <c r="B175" s="207"/>
      <c r="C175" s="130"/>
      <c r="D175" s="102"/>
      <c r="E175" s="91"/>
      <c r="F175" s="103" t="str">
        <f>"Value of "&amp;F48</f>
        <v>Value of Elk</v>
      </c>
      <c r="G175" s="75"/>
      <c r="H175" s="100">
        <f>H104</f>
        <v>2537</v>
      </c>
      <c r="I175" s="91"/>
      <c r="J175" s="102"/>
      <c r="K175" s="91"/>
      <c r="L175" s="102"/>
      <c r="M175" s="91"/>
      <c r="N175" s="102"/>
      <c r="O175" s="91"/>
      <c r="P175" s="102"/>
      <c r="Q175" s="91"/>
      <c r="R175" s="102"/>
      <c r="S175" s="91"/>
      <c r="T175" s="102"/>
    </row>
    <row r="176" spans="1:23" ht="6" customHeight="1" x14ac:dyDescent="0.25">
      <c r="B176" s="207"/>
      <c r="C176" s="130"/>
      <c r="D176" s="102"/>
      <c r="E176" s="179"/>
      <c r="F176" s="179"/>
      <c r="G176" s="179"/>
      <c r="H176" s="102"/>
      <c r="I176" s="179"/>
      <c r="J176" s="102"/>
      <c r="K176" s="179"/>
      <c r="L176" s="102"/>
      <c r="M176" s="179"/>
      <c r="N176" s="102"/>
      <c r="O176" s="179"/>
      <c r="P176" s="102"/>
      <c r="Q176" s="179"/>
      <c r="R176" s="102"/>
      <c r="S176" s="179"/>
      <c r="T176" s="102"/>
      <c r="W176" s="52"/>
    </row>
    <row r="177" spans="1:23" x14ac:dyDescent="0.25">
      <c r="B177" s="207"/>
      <c r="C177" s="130"/>
      <c r="D177" s="102"/>
      <c r="E177" s="186"/>
      <c r="F177" s="103" t="str">
        <f>"Value of "&amp;F50</f>
        <v>Value of Pronghorn</v>
      </c>
      <c r="G177" s="75"/>
      <c r="H177" s="100">
        <f>H106</f>
        <v>2106</v>
      </c>
      <c r="I177" s="186"/>
      <c r="J177" s="102"/>
      <c r="K177" s="186"/>
      <c r="L177" s="102"/>
      <c r="M177" s="186"/>
      <c r="N177" s="102"/>
      <c r="O177" s="186"/>
      <c r="P177" s="102"/>
      <c r="Q177" s="186"/>
      <c r="R177" s="102"/>
      <c r="S177" s="186"/>
      <c r="T177" s="102"/>
    </row>
    <row r="178" spans="1:23" ht="6" customHeight="1" x14ac:dyDescent="0.25">
      <c r="B178" s="207"/>
      <c r="C178" s="130"/>
      <c r="D178" s="102"/>
      <c r="E178" s="186"/>
      <c r="F178" s="186"/>
      <c r="G178" s="186"/>
      <c r="H178" s="102"/>
      <c r="I178" s="186"/>
      <c r="J178" s="102"/>
      <c r="K178" s="186"/>
      <c r="L178" s="102"/>
      <c r="M178" s="186"/>
      <c r="N178" s="102"/>
      <c r="O178" s="186"/>
      <c r="P178" s="102"/>
      <c r="Q178" s="186"/>
      <c r="R178" s="102"/>
      <c r="S178" s="186"/>
      <c r="T178" s="102"/>
      <c r="W178" s="52"/>
    </row>
    <row r="179" spans="1:23" x14ac:dyDescent="0.25">
      <c r="B179" s="207"/>
      <c r="C179" s="130"/>
      <c r="D179" s="102"/>
      <c r="E179" s="186"/>
      <c r="F179" s="103" t="str">
        <f>"Value of "&amp;F52</f>
        <v>Value of Bighorn Sheep</v>
      </c>
      <c r="G179" s="75"/>
      <c r="H179" s="100">
        <f>H108</f>
        <v>7533</v>
      </c>
      <c r="I179" s="186"/>
      <c r="J179" s="102"/>
      <c r="K179" s="186"/>
      <c r="L179" s="102"/>
      <c r="M179" s="186"/>
      <c r="N179" s="102"/>
      <c r="O179" s="186"/>
      <c r="P179" s="102"/>
      <c r="Q179" s="186"/>
      <c r="R179" s="102"/>
      <c r="S179" s="186"/>
      <c r="T179" s="102"/>
    </row>
    <row r="180" spans="1:23" ht="6" customHeight="1" x14ac:dyDescent="0.25">
      <c r="B180" s="207"/>
      <c r="C180" s="130"/>
      <c r="D180" s="102"/>
      <c r="E180" s="186"/>
      <c r="F180" s="186"/>
      <c r="G180" s="186"/>
      <c r="H180" s="102"/>
      <c r="I180" s="186"/>
      <c r="J180" s="102"/>
      <c r="K180" s="186"/>
      <c r="L180" s="102"/>
      <c r="M180" s="186"/>
      <c r="N180" s="102"/>
      <c r="O180" s="186"/>
      <c r="P180" s="102"/>
      <c r="Q180" s="186"/>
      <c r="R180" s="102"/>
      <c r="S180" s="186"/>
      <c r="T180" s="102"/>
      <c r="W180" s="52"/>
    </row>
    <row r="181" spans="1:23" ht="6" customHeight="1" x14ac:dyDescent="0.25">
      <c r="B181" s="207"/>
      <c r="C181" s="130"/>
      <c r="D181" s="102"/>
      <c r="E181" s="179"/>
      <c r="F181" s="179"/>
      <c r="G181" s="179"/>
      <c r="H181" s="102"/>
      <c r="I181" s="179"/>
      <c r="J181" s="102"/>
      <c r="K181" s="179"/>
      <c r="L181" s="102"/>
      <c r="M181" s="179"/>
      <c r="N181" s="102"/>
      <c r="O181" s="179"/>
      <c r="P181" s="102"/>
      <c r="Q181" s="179"/>
      <c r="R181" s="102"/>
      <c r="S181" s="179"/>
      <c r="T181" s="102"/>
      <c r="W181" s="58">
        <f>ROW()</f>
        <v>181</v>
      </c>
    </row>
    <row r="182" spans="1:23" ht="21" customHeight="1" x14ac:dyDescent="0.25">
      <c r="B182" s="207"/>
      <c r="C182" s="130"/>
      <c r="D182" s="102"/>
      <c r="E182" s="103"/>
      <c r="F182" s="100"/>
      <c r="G182" s="91"/>
      <c r="H182" s="102"/>
      <c r="I182" s="91"/>
      <c r="J182" s="102"/>
      <c r="K182" s="91"/>
      <c r="L182" s="102"/>
      <c r="M182" s="91"/>
      <c r="N182" s="102"/>
      <c r="O182" s="91"/>
      <c r="P182" s="102"/>
      <c r="Q182" s="91"/>
      <c r="R182" s="102"/>
      <c r="S182" s="91"/>
      <c r="T182" s="102"/>
      <c r="W182" s="52"/>
    </row>
    <row r="183" spans="1:23" s="119" customFormat="1" ht="15" hidden="1" customHeight="1" x14ac:dyDescent="0.25">
      <c r="A183" s="126"/>
      <c r="B183" s="207"/>
      <c r="C183" s="130"/>
      <c r="D183" s="138"/>
      <c r="E183" s="138"/>
      <c r="F183" s="103" t="s">
        <v>135</v>
      </c>
      <c r="G183" s="138"/>
      <c r="H183" s="93">
        <v>0.05</v>
      </c>
      <c r="I183" s="91"/>
      <c r="J183" s="113"/>
      <c r="K183" s="75"/>
      <c r="L183" s="76"/>
      <c r="M183" s="91"/>
      <c r="N183" s="102"/>
      <c r="O183" s="91"/>
      <c r="P183" s="102"/>
      <c r="Q183" s="91"/>
      <c r="R183" s="102"/>
      <c r="S183" s="91"/>
      <c r="T183" s="102"/>
      <c r="U183" s="126"/>
      <c r="V183" s="58"/>
      <c r="W183" s="58">
        <f>ROW()</f>
        <v>183</v>
      </c>
    </row>
    <row r="184" spans="1:23" s="119" customFormat="1" ht="6" hidden="1" customHeight="1" x14ac:dyDescent="0.25">
      <c r="A184" s="126"/>
      <c r="B184" s="207"/>
      <c r="C184" s="130"/>
      <c r="D184" s="138"/>
      <c r="E184" s="138"/>
      <c r="F184" s="106"/>
      <c r="G184" s="138"/>
      <c r="H184" s="67"/>
      <c r="I184" s="91"/>
      <c r="J184" s="113"/>
      <c r="K184" s="75"/>
      <c r="L184" s="76"/>
      <c r="M184" s="91"/>
      <c r="N184" s="102"/>
      <c r="O184" s="91"/>
      <c r="P184" s="102"/>
      <c r="Q184" s="91"/>
      <c r="R184" s="102"/>
      <c r="S184" s="91"/>
      <c r="T184" s="129"/>
      <c r="U184" s="126"/>
      <c r="V184" s="58"/>
      <c r="W184" s="58"/>
    </row>
    <row r="185" spans="1:23" s="119" customFormat="1" ht="15" hidden="1" customHeight="1" x14ac:dyDescent="0.25">
      <c r="A185" s="126"/>
      <c r="B185" s="207"/>
      <c r="C185" s="130"/>
      <c r="D185" s="138"/>
      <c r="E185" s="138"/>
      <c r="F185" s="103" t="s">
        <v>126</v>
      </c>
      <c r="G185" s="138"/>
      <c r="H185" s="94">
        <v>1.2E-2</v>
      </c>
      <c r="I185" s="91"/>
      <c r="J185" s="113"/>
      <c r="K185" s="75"/>
      <c r="L185" s="76"/>
      <c r="M185" s="91"/>
      <c r="N185" s="102"/>
      <c r="O185" s="91"/>
      <c r="P185" s="102"/>
      <c r="Q185" s="91"/>
      <c r="R185" s="102"/>
      <c r="S185" s="91"/>
      <c r="T185" s="129"/>
      <c r="U185" s="126"/>
      <c r="V185" s="58"/>
      <c r="W185" s="58"/>
    </row>
    <row r="186" spans="1:23" s="119" customFormat="1" ht="9" hidden="1" customHeight="1" x14ac:dyDescent="0.25">
      <c r="A186" s="126"/>
      <c r="B186" s="207"/>
      <c r="C186" s="130"/>
      <c r="D186" s="138"/>
      <c r="E186" s="138"/>
      <c r="F186" s="138"/>
      <c r="G186" s="138"/>
      <c r="H186" s="180"/>
      <c r="I186" s="179"/>
      <c r="J186" s="164"/>
      <c r="K186" s="172"/>
      <c r="L186" s="76"/>
      <c r="M186" s="179"/>
      <c r="N186" s="102"/>
      <c r="O186" s="179"/>
      <c r="P186" s="102"/>
      <c r="Q186" s="179"/>
      <c r="R186" s="102"/>
      <c r="S186" s="179"/>
      <c r="T186" s="180"/>
      <c r="U186" s="126"/>
      <c r="V186" s="58"/>
      <c r="W186" s="58"/>
    </row>
    <row r="187" spans="1:23" ht="15" hidden="1" customHeight="1" x14ac:dyDescent="0.25">
      <c r="B187" s="207"/>
      <c r="C187" s="130"/>
      <c r="D187" s="102"/>
      <c r="E187" s="91"/>
      <c r="F187" s="103" t="s">
        <v>127</v>
      </c>
      <c r="G187" s="138"/>
      <c r="H187" s="95">
        <f ca="1">IFERROR(IF(SUMPRODUCT($J$9:$J$14,$N$9:$N$14)/SUM($N$9:$N$14)&gt;30,30,SUMPRODUCT($J$9:$J$14,$N$9:$N$14)/SUM($N$9:$N$14)),0)</f>
        <v>0</v>
      </c>
      <c r="I187" s="91"/>
      <c r="J187" s="164"/>
      <c r="K187" s="179"/>
      <c r="L187" s="174" t="s">
        <v>147</v>
      </c>
      <c r="M187" s="179"/>
      <c r="N187" s="102"/>
      <c r="O187" s="91"/>
      <c r="P187" s="102"/>
      <c r="Q187" s="91"/>
      <c r="R187" s="102"/>
      <c r="S187" s="91"/>
      <c r="T187" s="102"/>
      <c r="W187" s="52"/>
    </row>
    <row r="188" spans="1:23" s="119" customFormat="1" ht="9" hidden="1" customHeight="1" x14ac:dyDescent="0.25">
      <c r="A188" s="126"/>
      <c r="B188" s="207"/>
      <c r="C188" s="130"/>
      <c r="D188" s="138"/>
      <c r="E188" s="138"/>
      <c r="F188" s="138"/>
      <c r="G188" s="138"/>
      <c r="H188" s="180"/>
      <c r="I188" s="179"/>
      <c r="J188" s="164"/>
      <c r="K188" s="172"/>
      <c r="L188" s="76"/>
      <c r="M188" s="179"/>
      <c r="N188" s="102"/>
      <c r="O188" s="179"/>
      <c r="P188" s="102"/>
      <c r="Q188" s="179"/>
      <c r="R188" s="102"/>
      <c r="S188" s="179"/>
      <c r="T188" s="180"/>
      <c r="U188" s="126"/>
      <c r="V188" s="58"/>
      <c r="W188" s="58"/>
    </row>
    <row r="189" spans="1:23" s="119" customFormat="1" ht="15" hidden="1" customHeight="1" x14ac:dyDescent="0.25">
      <c r="A189" s="126"/>
      <c r="B189" s="207"/>
      <c r="C189" s="130"/>
      <c r="D189" s="138"/>
      <c r="E189" s="138"/>
      <c r="F189" s="103" t="s">
        <v>128</v>
      </c>
      <c r="G189" s="138"/>
      <c r="H189" s="95">
        <f>YEARFRAC(I37,L37,1)</f>
        <v>0</v>
      </c>
      <c r="I189" s="91"/>
      <c r="J189" s="113" t="s">
        <v>87</v>
      </c>
      <c r="K189" s="75"/>
      <c r="L189" s="76"/>
      <c r="M189" s="91"/>
      <c r="N189" s="102"/>
      <c r="O189" s="91"/>
      <c r="P189" s="102"/>
      <c r="Q189" s="91"/>
      <c r="R189" s="102"/>
      <c r="S189" s="91"/>
      <c r="T189" s="129"/>
      <c r="U189" s="126"/>
      <c r="V189" s="58"/>
      <c r="W189" s="58"/>
    </row>
    <row r="190" spans="1:23" s="119" customFormat="1" hidden="1" x14ac:dyDescent="0.25">
      <c r="A190" s="126"/>
      <c r="B190" s="207"/>
      <c r="C190" s="130"/>
      <c r="D190" s="138"/>
      <c r="E190" s="138"/>
      <c r="F190" s="138"/>
      <c r="G190" s="138"/>
      <c r="H190" s="129"/>
      <c r="I190" s="91"/>
      <c r="J190" s="113"/>
      <c r="K190" s="75"/>
      <c r="L190" s="76"/>
      <c r="M190" s="91"/>
      <c r="N190" s="102"/>
      <c r="O190" s="91"/>
      <c r="P190" s="102"/>
      <c r="Q190" s="91"/>
      <c r="R190" s="102"/>
      <c r="S190" s="91"/>
      <c r="T190" s="129"/>
      <c r="U190" s="126"/>
      <c r="V190" s="58"/>
      <c r="W190" s="58"/>
    </row>
    <row r="191" spans="1:23" s="119" customFormat="1" ht="15" hidden="1" customHeight="1" x14ac:dyDescent="0.25">
      <c r="A191" s="126"/>
      <c r="B191" s="207"/>
      <c r="C191" s="130"/>
      <c r="D191" s="138"/>
      <c r="E191" s="138" t="s">
        <v>136</v>
      </c>
      <c r="F191" s="138"/>
      <c r="G191" s="138"/>
      <c r="H191" s="129"/>
      <c r="I191" s="91"/>
      <c r="J191" s="113"/>
      <c r="K191" s="75"/>
      <c r="L191" s="76"/>
      <c r="M191" s="91"/>
      <c r="N191" s="102"/>
      <c r="O191" s="91"/>
      <c r="P191" s="102"/>
      <c r="Q191" s="91"/>
      <c r="R191" s="102"/>
      <c r="S191" s="91"/>
      <c r="T191" s="129"/>
      <c r="U191" s="126"/>
      <c r="V191" s="58"/>
      <c r="W191" s="58"/>
    </row>
    <row r="192" spans="1:23" s="119" customFormat="1" ht="6" hidden="1" customHeight="1" x14ac:dyDescent="0.25">
      <c r="A192" s="126"/>
      <c r="B192" s="207"/>
      <c r="C192" s="130"/>
      <c r="D192" s="138"/>
      <c r="E192" s="138"/>
      <c r="F192" s="138"/>
      <c r="G192" s="138"/>
      <c r="H192" s="129"/>
      <c r="I192" s="91"/>
      <c r="J192" s="113"/>
      <c r="K192" s="75"/>
      <c r="L192" s="76"/>
      <c r="M192" s="91"/>
      <c r="N192" s="102"/>
      <c r="O192" s="91"/>
      <c r="P192" s="102"/>
      <c r="Q192" s="91"/>
      <c r="R192" s="102"/>
      <c r="S192" s="91"/>
      <c r="T192" s="129"/>
      <c r="U192" s="126"/>
      <c r="V192" s="58"/>
      <c r="W192" s="58"/>
    </row>
    <row r="193" spans="1:56" s="119" customFormat="1" ht="15" hidden="1" customHeight="1" x14ac:dyDescent="0.25">
      <c r="A193" s="126"/>
      <c r="B193" s="207"/>
      <c r="C193" s="130"/>
      <c r="D193" s="138"/>
      <c r="E193" s="138"/>
      <c r="F193" s="103" t="str">
        <f>"Predicted Fatal Crash Counts"&amp;IF($N$27&lt;&gt;""," in "&amp;IF($N$27="one (1) year",$I$27+1,$I$27+2),"")&amp;" (F):"</f>
        <v>Predicted Fatal Crash Counts (F):</v>
      </c>
      <c r="G193" s="138"/>
      <c r="H193" s="96">
        <f>IFERROR(($H$40*(1+H185)^(IF($N$27="one (1) year",$I$27+1,$I$27+2)-YEAR($L$37))),0)</f>
        <v>0</v>
      </c>
      <c r="I193" s="91"/>
      <c r="J193" s="182"/>
      <c r="K193" s="172"/>
      <c r="L193" s="76"/>
      <c r="M193" s="179"/>
      <c r="N193" s="102"/>
      <c r="O193" s="179"/>
      <c r="P193" s="152"/>
      <c r="Q193" s="179"/>
      <c r="R193" s="102"/>
      <c r="S193" s="91"/>
      <c r="T193" s="129"/>
      <c r="U193" s="126"/>
      <c r="V193" s="58"/>
      <c r="W193" s="58"/>
    </row>
    <row r="194" spans="1:56" s="119" customFormat="1" ht="15" hidden="1" customHeight="1" x14ac:dyDescent="0.25">
      <c r="A194" s="126"/>
      <c r="B194" s="207"/>
      <c r="C194" s="130"/>
      <c r="D194" s="138"/>
      <c r="E194" s="138"/>
      <c r="F194" s="103"/>
      <c r="G194" s="138"/>
      <c r="H194" s="154"/>
      <c r="I194" s="91"/>
      <c r="J194" s="164"/>
      <c r="K194" s="172"/>
      <c r="L194" s="76"/>
      <c r="M194" s="179"/>
      <c r="N194" s="102"/>
      <c r="O194" s="179"/>
      <c r="P194" s="102"/>
      <c r="Q194" s="179"/>
      <c r="R194" s="102"/>
      <c r="S194" s="91"/>
      <c r="T194" s="129"/>
      <c r="U194" s="126"/>
      <c r="V194" s="58"/>
      <c r="W194" s="58"/>
    </row>
    <row r="195" spans="1:56" s="119" customFormat="1" ht="15" hidden="1" customHeight="1" x14ac:dyDescent="0.25">
      <c r="A195" s="126"/>
      <c r="B195" s="207"/>
      <c r="C195" s="130"/>
      <c r="D195" s="138"/>
      <c r="E195" s="138"/>
      <c r="F195" s="103" t="str">
        <f>"Predicted Injury Crash Counts"&amp;IF($N$27&lt;&gt;""," in "&amp;IF($N$27="one (1) year",$I$27+1,$I$27+2),"")&amp;" (I):"</f>
        <v>Predicted Injury Crash Counts (I):</v>
      </c>
      <c r="G195" s="138"/>
      <c r="H195" s="96">
        <f>IFERROR(($H$42*(1+H185)^(IF($N$27="one (1) year",$I$27+1,$I$27+2)-YEAR($L$37))),0)</f>
        <v>0</v>
      </c>
      <c r="I195" s="91"/>
      <c r="J195" s="183"/>
      <c r="K195" s="172"/>
      <c r="L195" s="76"/>
      <c r="M195" s="179"/>
      <c r="N195" s="102"/>
      <c r="O195" s="179"/>
      <c r="P195" s="102"/>
      <c r="Q195" s="179"/>
      <c r="R195" s="102"/>
      <c r="S195" s="91"/>
      <c r="T195" s="129"/>
      <c r="U195" s="126"/>
      <c r="V195" s="58"/>
      <c r="W195" s="58"/>
    </row>
    <row r="196" spans="1:56" s="119" customFormat="1" ht="15" hidden="1" customHeight="1" x14ac:dyDescent="0.25">
      <c r="A196" s="126"/>
      <c r="B196" s="207"/>
      <c r="C196" s="130"/>
      <c r="D196" s="138"/>
      <c r="E196" s="138"/>
      <c r="F196" s="103"/>
      <c r="G196" s="138"/>
      <c r="H196" s="154"/>
      <c r="I196" s="91"/>
      <c r="J196" s="164"/>
      <c r="K196" s="172"/>
      <c r="L196" s="76"/>
      <c r="M196" s="179"/>
      <c r="N196" s="102"/>
      <c r="O196" s="179"/>
      <c r="P196" s="102"/>
      <c r="Q196" s="179"/>
      <c r="R196" s="102"/>
      <c r="S196" s="91"/>
      <c r="T196" s="129"/>
      <c r="U196" s="126"/>
      <c r="V196" s="58"/>
      <c r="W196" s="58"/>
    </row>
    <row r="197" spans="1:56" s="119" customFormat="1" ht="15" hidden="1" customHeight="1" x14ac:dyDescent="0.25">
      <c r="A197" s="126"/>
      <c r="B197" s="207"/>
      <c r="C197" s="130"/>
      <c r="D197" s="138"/>
      <c r="E197" s="138"/>
      <c r="F197" s="103" t="str">
        <f>"Predicted PDO Crash Counts"&amp;IF($N$27&lt;&gt;""," in "&amp;IF($N$27="one (1) year",$I$27+1,$I$27+2),"")&amp;" (P):"</f>
        <v>Predicted PDO Crash Counts (P):</v>
      </c>
      <c r="G197" s="138"/>
      <c r="H197" s="96">
        <f>IFERROR(($H$44*(1+H185)^(IF($N$27="one (1) year",$I$27+1,$I$27+2)-YEAR($L$37))),0)</f>
        <v>0</v>
      </c>
      <c r="I197" s="91"/>
      <c r="J197" s="183"/>
      <c r="K197" s="172"/>
      <c r="L197" s="76"/>
      <c r="M197" s="179"/>
      <c r="N197" s="102"/>
      <c r="O197" s="179"/>
      <c r="P197" s="102"/>
      <c r="Q197" s="179"/>
      <c r="R197" s="102"/>
      <c r="S197" s="91"/>
      <c r="T197" s="129"/>
      <c r="U197" s="126"/>
      <c r="V197" s="58"/>
      <c r="W197" s="58"/>
    </row>
    <row r="198" spans="1:56" s="119" customFormat="1" ht="15" hidden="1" customHeight="1" x14ac:dyDescent="0.25">
      <c r="A198" s="126"/>
      <c r="B198" s="207"/>
      <c r="C198" s="130"/>
      <c r="D198" s="138"/>
      <c r="E198" s="138"/>
      <c r="F198" s="103"/>
      <c r="G198" s="138"/>
      <c r="H198" s="129"/>
      <c r="I198" s="91"/>
      <c r="J198" s="184"/>
      <c r="K198" s="173"/>
      <c r="L198" s="102"/>
      <c r="M198" s="179"/>
      <c r="N198" s="102"/>
      <c r="O198" s="179"/>
      <c r="P198" s="102"/>
      <c r="Q198" s="179"/>
      <c r="R198" s="102"/>
      <c r="S198" s="91"/>
      <c r="T198" s="129"/>
      <c r="U198" s="126"/>
      <c r="V198" s="58"/>
      <c r="W198" s="58"/>
    </row>
    <row r="199" spans="1:56" s="119" customFormat="1" ht="15" hidden="1" customHeight="1" x14ac:dyDescent="0.25">
      <c r="A199" s="126"/>
      <c r="B199" s="207"/>
      <c r="C199" s="130"/>
      <c r="D199" s="138"/>
      <c r="E199" s="138"/>
      <c r="F199" s="103" t="str">
        <f>"Predicted "&amp;F46&amp;" Deaths"&amp;IF($N$27&lt;&gt;""," in "&amp;IF($N$27="one (1) year",$I$27+1,$I$27+2),"")&amp;" (W"&amp;V46&amp;"):"</f>
        <v>Predicted Deer Deaths (W1):</v>
      </c>
      <c r="G199" s="138"/>
      <c r="H199" s="96">
        <f>IFERROR(($H46*(1+$H$185)^(IF($N$27="one (1) year",$I$27+1,$I$27+2)-YEAR($L$37))),0)</f>
        <v>0</v>
      </c>
      <c r="I199" s="91"/>
      <c r="J199" s="183"/>
      <c r="K199" s="173"/>
      <c r="L199" s="102"/>
      <c r="M199" s="179"/>
      <c r="N199" s="102"/>
      <c r="O199" s="179"/>
      <c r="P199" s="102"/>
      <c r="Q199" s="179"/>
      <c r="R199" s="102"/>
      <c r="S199" s="91"/>
      <c r="T199" s="129"/>
      <c r="U199" s="126"/>
      <c r="V199" s="58"/>
      <c r="W199" s="58"/>
    </row>
    <row r="200" spans="1:56" s="119" customFormat="1" ht="15" hidden="1" customHeight="1" x14ac:dyDescent="0.25">
      <c r="A200" s="126"/>
      <c r="B200" s="207"/>
      <c r="C200" s="130"/>
      <c r="D200" s="138"/>
      <c r="E200" s="138"/>
      <c r="F200" s="103"/>
      <c r="G200" s="138"/>
      <c r="H200" s="129"/>
      <c r="I200" s="91"/>
      <c r="J200" s="184"/>
      <c r="K200" s="173"/>
      <c r="L200" s="102"/>
      <c r="M200" s="179"/>
      <c r="N200" s="102"/>
      <c r="O200" s="179"/>
      <c r="P200" s="102"/>
      <c r="Q200" s="179"/>
      <c r="R200" s="102"/>
      <c r="S200" s="91"/>
      <c r="T200" s="129"/>
      <c r="U200" s="126"/>
      <c r="V200" s="58"/>
      <c r="W200" s="58"/>
    </row>
    <row r="201" spans="1:56" s="119" customFormat="1" ht="15" hidden="1" customHeight="1" x14ac:dyDescent="0.25">
      <c r="A201" s="126"/>
      <c r="B201" s="207"/>
      <c r="C201" s="130"/>
      <c r="D201" s="138"/>
      <c r="E201" s="138"/>
      <c r="F201" s="103" t="str">
        <f>"Predicted "&amp;F48&amp;" Deaths"&amp;IF($N$27&lt;&gt;""," in "&amp;IF($N$27="one (1) year",$I$27+1,$I$27+2),"")&amp;" (W"&amp;V48&amp;"):"</f>
        <v>Predicted Elk Deaths (W2):</v>
      </c>
      <c r="G201" s="138"/>
      <c r="H201" s="96">
        <f>IFERROR(($H48*(1+$H$185)^(IF($N$27="one (1) year",$I$27+1,$I$27+2)-YEAR($L$37))),0)</f>
        <v>0</v>
      </c>
      <c r="I201" s="91"/>
      <c r="J201" s="183"/>
      <c r="K201" s="173"/>
      <c r="L201" s="102"/>
      <c r="M201" s="179"/>
      <c r="N201" s="102"/>
      <c r="O201" s="179"/>
      <c r="P201" s="102"/>
      <c r="Q201" s="179"/>
      <c r="R201" s="102"/>
      <c r="S201" s="91"/>
      <c r="T201" s="129"/>
      <c r="U201" s="126"/>
      <c r="V201" s="58"/>
      <c r="W201" s="58"/>
    </row>
    <row r="202" spans="1:56" s="119" customFormat="1" hidden="1" x14ac:dyDescent="0.25">
      <c r="A202" s="126"/>
      <c r="B202" s="207"/>
      <c r="C202" s="130"/>
      <c r="D202" s="138"/>
      <c r="E202" s="138"/>
      <c r="F202" s="103"/>
      <c r="G202" s="138"/>
      <c r="H202" s="129"/>
      <c r="I202" s="91"/>
      <c r="J202" s="184"/>
      <c r="K202" s="173"/>
      <c r="L202" s="102"/>
      <c r="M202" s="179"/>
      <c r="N202" s="102"/>
      <c r="O202" s="179"/>
      <c r="P202" s="102"/>
      <c r="Q202" s="179"/>
      <c r="R202" s="102"/>
      <c r="S202" s="91"/>
      <c r="T202" s="129"/>
      <c r="U202" s="126"/>
      <c r="V202" s="58"/>
    </row>
    <row r="203" spans="1:56" s="119" customFormat="1" ht="15" hidden="1" customHeight="1" x14ac:dyDescent="0.25">
      <c r="A203" s="126"/>
      <c r="B203" s="207"/>
      <c r="C203" s="130"/>
      <c r="D203" s="138"/>
      <c r="E203" s="138"/>
      <c r="F203" s="103" t="str">
        <f>"Predicted "&amp;F50&amp;" Deaths"&amp;IF($N$27&lt;&gt;""," in "&amp;IF($N$27="one (1) year",$I$27+1,$I$27+2),"")&amp;" (W"&amp;V50&amp;"):"</f>
        <v>Predicted Pronghorn Deaths (W3):</v>
      </c>
      <c r="G203" s="138"/>
      <c r="H203" s="96">
        <f>IFERROR(($H50*(1+$H$185)^(IF($N$27="one (1) year",$I$27+1,$I$27+2)-YEAR($L$37))),0)</f>
        <v>0</v>
      </c>
      <c r="I203" s="186"/>
      <c r="J203" s="183"/>
      <c r="K203" s="173"/>
      <c r="L203" s="102"/>
      <c r="M203" s="186"/>
      <c r="N203" s="102"/>
      <c r="O203" s="186"/>
      <c r="P203" s="102"/>
      <c r="Q203" s="186"/>
      <c r="R203" s="102"/>
      <c r="S203" s="186"/>
      <c r="T203" s="187"/>
      <c r="U203" s="126"/>
      <c r="V203" s="58"/>
      <c r="W203" s="58"/>
    </row>
    <row r="204" spans="1:56" s="119" customFormat="1" hidden="1" x14ac:dyDescent="0.25">
      <c r="A204" s="126"/>
      <c r="B204" s="207"/>
      <c r="C204" s="130"/>
      <c r="D204" s="138"/>
      <c r="E204" s="138"/>
      <c r="F204" s="103"/>
      <c r="G204" s="138"/>
      <c r="H204" s="187"/>
      <c r="I204" s="186"/>
      <c r="J204" s="184"/>
      <c r="K204" s="173"/>
      <c r="L204" s="102"/>
      <c r="M204" s="186"/>
      <c r="N204" s="102"/>
      <c r="O204" s="186"/>
      <c r="P204" s="102"/>
      <c r="Q204" s="186"/>
      <c r="R204" s="102"/>
      <c r="S204" s="186"/>
      <c r="T204" s="187"/>
      <c r="U204" s="126"/>
      <c r="V204" s="58"/>
    </row>
    <row r="205" spans="1:56" s="119" customFormat="1" ht="15" hidden="1" customHeight="1" x14ac:dyDescent="0.25">
      <c r="A205" s="126"/>
      <c r="B205" s="207"/>
      <c r="C205" s="130"/>
      <c r="D205" s="138"/>
      <c r="E205" s="138"/>
      <c r="F205" s="103" t="str">
        <f>"Predicted "&amp;F52&amp;" Deaths"&amp;IF($N$27&lt;&gt;""," in "&amp;IF($N$27="one (1) year",$I$27+1,$I$27+2),"")&amp;" (W"&amp;V52&amp;"):"</f>
        <v>Predicted Bighorn Sheep Deaths (W4):</v>
      </c>
      <c r="G205" s="138"/>
      <c r="H205" s="96">
        <f>IFERROR(($H52*(1+$H$185)^(IF($N$27="one (1) year",$I$27+1,$I$27+2)-YEAR($L$37))),0)</f>
        <v>0</v>
      </c>
      <c r="I205" s="186"/>
      <c r="J205" s="183"/>
      <c r="K205" s="173"/>
      <c r="L205" s="102"/>
      <c r="M205" s="186"/>
      <c r="N205" s="102"/>
      <c r="O205" s="186"/>
      <c r="P205" s="102"/>
      <c r="Q205" s="186"/>
      <c r="R205" s="102"/>
      <c r="S205" s="186"/>
      <c r="T205" s="187"/>
      <c r="U205" s="126"/>
      <c r="V205" s="58"/>
      <c r="W205" s="58"/>
    </row>
    <row r="206" spans="1:56" s="119" customFormat="1" hidden="1" x14ac:dyDescent="0.25">
      <c r="A206" s="126"/>
      <c r="B206" s="207"/>
      <c r="C206" s="130"/>
      <c r="D206" s="138"/>
      <c r="E206" s="138"/>
      <c r="F206" s="103"/>
      <c r="G206" s="138"/>
      <c r="H206" s="187"/>
      <c r="I206" s="186"/>
      <c r="J206" s="184"/>
      <c r="K206" s="173"/>
      <c r="L206" s="102"/>
      <c r="M206" s="186"/>
      <c r="N206" s="102"/>
      <c r="O206" s="186"/>
      <c r="P206" s="102"/>
      <c r="Q206" s="186"/>
      <c r="R206" s="102"/>
      <c r="S206" s="186"/>
      <c r="T206" s="187"/>
      <c r="U206" s="126"/>
      <c r="V206" s="58"/>
    </row>
    <row r="207" spans="1:56" s="119" customFormat="1" hidden="1" x14ac:dyDescent="0.25">
      <c r="A207" s="126"/>
      <c r="B207" s="207"/>
      <c r="C207" s="130"/>
      <c r="D207" s="138"/>
      <c r="E207" s="138"/>
      <c r="F207" s="103"/>
      <c r="G207" s="138"/>
      <c r="H207" s="180"/>
      <c r="I207" s="179"/>
      <c r="J207" s="184"/>
      <c r="K207" s="173"/>
      <c r="L207" s="102"/>
      <c r="M207" s="179"/>
      <c r="N207" s="102"/>
      <c r="O207" s="179"/>
      <c r="P207" s="102"/>
      <c r="Q207" s="179"/>
      <c r="R207" s="102"/>
      <c r="S207" s="179"/>
      <c r="T207" s="180"/>
      <c r="U207" s="126"/>
      <c r="V207" s="58"/>
      <c r="W207" s="58">
        <f>ROW()</f>
        <v>207</v>
      </c>
    </row>
    <row r="208" spans="1:56" ht="15" hidden="1" customHeight="1" x14ac:dyDescent="0.25">
      <c r="B208" s="207"/>
      <c r="C208" s="130"/>
      <c r="D208" s="102"/>
      <c r="E208" s="91"/>
      <c r="F208" s="103" t="s">
        <v>137</v>
      </c>
      <c r="G208" s="75"/>
      <c r="H208" s="97">
        <f ca="1">IFERROR(((1+H185)^H187-1)/H185*SUM(H193*H166*$H$34,H195*H168*$J$34,H197*H170*$L$34)/H189,0)</f>
        <v>0</v>
      </c>
      <c r="I208" s="91"/>
      <c r="J208" s="184"/>
      <c r="K208" s="173"/>
      <c r="L208" s="102"/>
      <c r="M208" s="179"/>
      <c r="N208" s="102"/>
      <c r="O208" s="179"/>
      <c r="P208" s="102"/>
      <c r="Q208" s="179"/>
      <c r="R208" s="102"/>
      <c r="S208" s="91"/>
      <c r="T208" s="102"/>
      <c r="W208" s="52"/>
      <c r="X208" s="52" t="s">
        <v>88</v>
      </c>
      <c r="Y208" s="124">
        <v>0</v>
      </c>
      <c r="Z208" s="124"/>
      <c r="AA208" s="124">
        <v>1</v>
      </c>
      <c r="AB208" s="124">
        <v>2</v>
      </c>
      <c r="AC208" s="124">
        <v>3</v>
      </c>
      <c r="AD208" s="124">
        <v>4</v>
      </c>
      <c r="AE208" s="124">
        <v>5</v>
      </c>
      <c r="AF208" s="124">
        <v>6</v>
      </c>
      <c r="AG208" s="124">
        <v>7</v>
      </c>
      <c r="AH208" s="124">
        <v>8</v>
      </c>
      <c r="AI208" s="124">
        <v>9</v>
      </c>
      <c r="AJ208" s="124">
        <v>10</v>
      </c>
      <c r="AK208" s="124">
        <v>11</v>
      </c>
      <c r="AL208" s="124">
        <v>12</v>
      </c>
      <c r="AM208" s="124">
        <v>13</v>
      </c>
      <c r="AN208" s="124">
        <v>14</v>
      </c>
      <c r="AO208" s="124">
        <v>15</v>
      </c>
      <c r="AP208" s="124">
        <v>16</v>
      </c>
      <c r="AQ208" s="124">
        <v>17</v>
      </c>
      <c r="AR208" s="124">
        <v>18</v>
      </c>
      <c r="AS208" s="124">
        <v>19</v>
      </c>
      <c r="AT208" s="124">
        <v>20</v>
      </c>
      <c r="AU208" s="124">
        <v>21</v>
      </c>
      <c r="AV208" s="124">
        <v>22</v>
      </c>
      <c r="AW208" s="124">
        <v>23</v>
      </c>
      <c r="AX208" s="124">
        <v>24</v>
      </c>
      <c r="AY208" s="124">
        <v>25</v>
      </c>
      <c r="AZ208" s="124">
        <v>26</v>
      </c>
      <c r="BA208" s="124">
        <v>27</v>
      </c>
      <c r="BB208" s="124">
        <v>28</v>
      </c>
      <c r="BC208" s="124">
        <v>29</v>
      </c>
      <c r="BD208" s="124">
        <v>30</v>
      </c>
    </row>
    <row r="209" spans="1:56" s="119" customFormat="1" ht="15" hidden="1" customHeight="1" x14ac:dyDescent="0.25">
      <c r="A209" s="126"/>
      <c r="B209" s="207"/>
      <c r="C209" s="130"/>
      <c r="D209" s="138"/>
      <c r="E209" s="138"/>
      <c r="F209" s="103"/>
      <c r="G209" s="138"/>
      <c r="H209" s="129"/>
      <c r="I209" s="91"/>
      <c r="J209" s="184"/>
      <c r="K209" s="173"/>
      <c r="L209" s="102"/>
      <c r="M209" s="179"/>
      <c r="N209" s="102"/>
      <c r="O209" s="179"/>
      <c r="P209" s="102"/>
      <c r="Q209" s="179"/>
      <c r="R209" s="102"/>
      <c r="S209" s="91"/>
      <c r="T209" s="129"/>
      <c r="U209" s="126"/>
      <c r="V209" s="58"/>
      <c r="W209" s="58"/>
      <c r="X209" s="177" t="s">
        <v>93</v>
      </c>
      <c r="Y209" s="175">
        <v>2019</v>
      </c>
      <c r="Z209" s="175"/>
      <c r="AA209" s="175">
        <v>2020</v>
      </c>
      <c r="AB209" s="175">
        <v>2021</v>
      </c>
      <c r="AC209" s="175">
        <v>2022</v>
      </c>
      <c r="AD209" s="175">
        <v>2023</v>
      </c>
      <c r="AE209" s="175">
        <v>2024</v>
      </c>
      <c r="AF209" s="175">
        <v>2025</v>
      </c>
      <c r="AG209" s="175">
        <v>2026</v>
      </c>
      <c r="AH209" s="175">
        <v>2027</v>
      </c>
      <c r="AI209" s="175">
        <v>2028</v>
      </c>
      <c r="AJ209" s="175">
        <v>2029</v>
      </c>
      <c r="AK209" s="175">
        <v>2030</v>
      </c>
      <c r="AL209" s="175">
        <v>2031</v>
      </c>
      <c r="AM209" s="175">
        <v>2032</v>
      </c>
      <c r="AN209" s="175">
        <v>2033</v>
      </c>
      <c r="AO209" s="175">
        <v>2034</v>
      </c>
      <c r="AP209" s="175">
        <v>2035</v>
      </c>
      <c r="AQ209" s="175">
        <v>2036</v>
      </c>
      <c r="AR209" s="175">
        <v>2037</v>
      </c>
      <c r="AS209" s="175">
        <v>2038</v>
      </c>
      <c r="AT209" s="175">
        <v>2039</v>
      </c>
      <c r="AU209" s="175">
        <v>2040</v>
      </c>
      <c r="AV209" s="175">
        <v>2041</v>
      </c>
      <c r="AW209" s="175">
        <v>2042</v>
      </c>
      <c r="AX209" s="175">
        <v>2043</v>
      </c>
      <c r="AY209" s="175">
        <v>2044</v>
      </c>
      <c r="AZ209" s="175">
        <v>2045</v>
      </c>
      <c r="BA209" s="175">
        <v>2046</v>
      </c>
      <c r="BB209" s="175">
        <v>2047</v>
      </c>
      <c r="BC209" s="175">
        <v>2048</v>
      </c>
      <c r="BD209" s="175">
        <v>2049</v>
      </c>
    </row>
    <row r="210" spans="1:56" s="119" customFormat="1" ht="15" hidden="1" customHeight="1" x14ac:dyDescent="0.25">
      <c r="A210" s="126"/>
      <c r="B210" s="207"/>
      <c r="C210" s="130"/>
      <c r="D210" s="138"/>
      <c r="E210" s="138"/>
      <c r="F210" s="103" t="s">
        <v>150</v>
      </c>
      <c r="G210" s="138"/>
      <c r="H210" s="97">
        <f ca="1">IFERROR(((1+H185)^H187-1)/H185*SUMPRODUCT(H199:H207,H173:H181)*$L$34/H189,0)</f>
        <v>0</v>
      </c>
      <c r="I210" s="91"/>
      <c r="J210" s="184"/>
      <c r="K210" s="173"/>
      <c r="L210" s="102"/>
      <c r="M210" s="179"/>
      <c r="N210" s="102"/>
      <c r="O210" s="179"/>
      <c r="P210" s="102"/>
      <c r="Q210" s="179"/>
      <c r="R210" s="102"/>
      <c r="S210" s="91"/>
      <c r="T210" s="129"/>
      <c r="U210" s="126"/>
      <c r="V210" s="58"/>
      <c r="W210" s="58"/>
      <c r="X210" s="178"/>
      <c r="Y210" s="176"/>
      <c r="Z210" s="176"/>
      <c r="AA210" s="176"/>
      <c r="AB210" s="176"/>
      <c r="AC210" s="176"/>
      <c r="AD210" s="176"/>
      <c r="AE210" s="176"/>
      <c r="AF210" s="176"/>
      <c r="AG210" s="176"/>
      <c r="AH210" s="176"/>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row>
    <row r="211" spans="1:56" ht="15" hidden="1" customHeight="1" x14ac:dyDescent="0.25">
      <c r="A211" s="126"/>
      <c r="B211" s="207"/>
      <c r="C211" s="130"/>
      <c r="D211" s="138"/>
      <c r="E211" s="138"/>
      <c r="F211" s="103"/>
      <c r="G211" s="138"/>
      <c r="H211" s="129"/>
      <c r="I211" s="91"/>
      <c r="J211" s="184"/>
      <c r="K211" s="173"/>
      <c r="L211" s="102"/>
      <c r="M211" s="179"/>
      <c r="N211" s="102"/>
      <c r="O211" s="179"/>
      <c r="P211" s="102"/>
      <c r="Q211" s="179"/>
      <c r="R211" s="102"/>
      <c r="S211" s="91"/>
      <c r="T211" s="129"/>
      <c r="U211" s="126"/>
      <c r="X211" s="52" t="s">
        <v>94</v>
      </c>
      <c r="Y211" s="65">
        <v>0</v>
      </c>
      <c r="Z211" s="65"/>
      <c r="AA211" s="65">
        <f t="shared" ref="AA211:BD211" ca="1" si="17">IF(AA208&lt;=$H$187,SUM($H$166*$H$193,$H$168*$H$195,$H$170*$H$197),0)</f>
        <v>0</v>
      </c>
      <c r="AB211" s="65">
        <f t="shared" ca="1" si="17"/>
        <v>0</v>
      </c>
      <c r="AC211" s="65">
        <f t="shared" ca="1" si="17"/>
        <v>0</v>
      </c>
      <c r="AD211" s="65">
        <f t="shared" ca="1" si="17"/>
        <v>0</v>
      </c>
      <c r="AE211" s="65">
        <f t="shared" ca="1" si="17"/>
        <v>0</v>
      </c>
      <c r="AF211" s="65">
        <f t="shared" ca="1" si="17"/>
        <v>0</v>
      </c>
      <c r="AG211" s="65">
        <f t="shared" ca="1" si="17"/>
        <v>0</v>
      </c>
      <c r="AH211" s="65">
        <f t="shared" ca="1" si="17"/>
        <v>0</v>
      </c>
      <c r="AI211" s="65">
        <f t="shared" ca="1" si="17"/>
        <v>0</v>
      </c>
      <c r="AJ211" s="65">
        <f t="shared" ca="1" si="17"/>
        <v>0</v>
      </c>
      <c r="AK211" s="65">
        <f t="shared" ca="1" si="17"/>
        <v>0</v>
      </c>
      <c r="AL211" s="65">
        <f t="shared" ca="1" si="17"/>
        <v>0</v>
      </c>
      <c r="AM211" s="65">
        <f t="shared" ca="1" si="17"/>
        <v>0</v>
      </c>
      <c r="AN211" s="65">
        <f t="shared" ca="1" si="17"/>
        <v>0</v>
      </c>
      <c r="AO211" s="65">
        <f t="shared" ca="1" si="17"/>
        <v>0</v>
      </c>
      <c r="AP211" s="65">
        <f t="shared" ca="1" si="17"/>
        <v>0</v>
      </c>
      <c r="AQ211" s="65">
        <f t="shared" ca="1" si="17"/>
        <v>0</v>
      </c>
      <c r="AR211" s="65">
        <f t="shared" ca="1" si="17"/>
        <v>0</v>
      </c>
      <c r="AS211" s="65">
        <f t="shared" ca="1" si="17"/>
        <v>0</v>
      </c>
      <c r="AT211" s="65">
        <f t="shared" ca="1" si="17"/>
        <v>0</v>
      </c>
      <c r="AU211" s="65">
        <f t="shared" ca="1" si="17"/>
        <v>0</v>
      </c>
      <c r="AV211" s="65">
        <f t="shared" ca="1" si="17"/>
        <v>0</v>
      </c>
      <c r="AW211" s="65">
        <f t="shared" ca="1" si="17"/>
        <v>0</v>
      </c>
      <c r="AX211" s="65">
        <f t="shared" ca="1" si="17"/>
        <v>0</v>
      </c>
      <c r="AY211" s="65">
        <f t="shared" ca="1" si="17"/>
        <v>0</v>
      </c>
      <c r="AZ211" s="65">
        <f t="shared" ca="1" si="17"/>
        <v>0</v>
      </c>
      <c r="BA211" s="65">
        <f t="shared" ca="1" si="17"/>
        <v>0</v>
      </c>
      <c r="BB211" s="65">
        <f t="shared" ca="1" si="17"/>
        <v>0</v>
      </c>
      <c r="BC211" s="65">
        <f t="shared" ca="1" si="17"/>
        <v>0</v>
      </c>
      <c r="BD211" s="65">
        <f t="shared" ca="1" si="17"/>
        <v>0</v>
      </c>
    </row>
    <row r="212" spans="1:56" ht="15" hidden="1" customHeight="1" x14ac:dyDescent="0.25">
      <c r="B212" s="207"/>
      <c r="C212" s="130"/>
      <c r="D212" s="102"/>
      <c r="E212" s="91"/>
      <c r="F212" s="103" t="s">
        <v>138</v>
      </c>
      <c r="G212" s="75"/>
      <c r="H212" s="98">
        <f ca="1">IFERROR(NPV(H183,Y211:BD211)/H189,0)</f>
        <v>0</v>
      </c>
      <c r="I212" s="91"/>
      <c r="J212" s="183"/>
      <c r="K212" s="173"/>
      <c r="L212" s="102"/>
      <c r="M212" s="179"/>
      <c r="N212" s="102"/>
      <c r="O212" s="179"/>
      <c r="P212" s="102"/>
      <c r="Q212" s="179"/>
      <c r="R212" s="102"/>
      <c r="S212" s="91"/>
      <c r="T212" s="102"/>
      <c r="X212" s="52" t="s">
        <v>95</v>
      </c>
      <c r="Y212" s="65">
        <v>0</v>
      </c>
      <c r="Z212" s="65"/>
      <c r="AA212" s="65">
        <f t="shared" ref="AA212:BD212" ca="1" si="18">IF(AA208&lt;=$H$187,SUM($H$173*$H$199,$H$175*$H$201),0)</f>
        <v>0</v>
      </c>
      <c r="AB212" s="65">
        <f t="shared" ca="1" si="18"/>
        <v>0</v>
      </c>
      <c r="AC212" s="65">
        <f t="shared" ca="1" si="18"/>
        <v>0</v>
      </c>
      <c r="AD212" s="65">
        <f t="shared" ca="1" si="18"/>
        <v>0</v>
      </c>
      <c r="AE212" s="65">
        <f t="shared" ca="1" si="18"/>
        <v>0</v>
      </c>
      <c r="AF212" s="65">
        <f t="shared" ca="1" si="18"/>
        <v>0</v>
      </c>
      <c r="AG212" s="65">
        <f t="shared" ca="1" si="18"/>
        <v>0</v>
      </c>
      <c r="AH212" s="65">
        <f t="shared" ca="1" si="18"/>
        <v>0</v>
      </c>
      <c r="AI212" s="65">
        <f t="shared" ca="1" si="18"/>
        <v>0</v>
      </c>
      <c r="AJ212" s="65">
        <f t="shared" ca="1" si="18"/>
        <v>0</v>
      </c>
      <c r="AK212" s="65">
        <f t="shared" ca="1" si="18"/>
        <v>0</v>
      </c>
      <c r="AL212" s="65">
        <f t="shared" ca="1" si="18"/>
        <v>0</v>
      </c>
      <c r="AM212" s="65">
        <f t="shared" ca="1" si="18"/>
        <v>0</v>
      </c>
      <c r="AN212" s="65">
        <f t="shared" ca="1" si="18"/>
        <v>0</v>
      </c>
      <c r="AO212" s="65">
        <f t="shared" ca="1" si="18"/>
        <v>0</v>
      </c>
      <c r="AP212" s="65">
        <f t="shared" ca="1" si="18"/>
        <v>0</v>
      </c>
      <c r="AQ212" s="65">
        <f t="shared" ca="1" si="18"/>
        <v>0</v>
      </c>
      <c r="AR212" s="65">
        <f t="shared" ca="1" si="18"/>
        <v>0</v>
      </c>
      <c r="AS212" s="65">
        <f t="shared" ca="1" si="18"/>
        <v>0</v>
      </c>
      <c r="AT212" s="65">
        <f t="shared" ca="1" si="18"/>
        <v>0</v>
      </c>
      <c r="AU212" s="65">
        <f t="shared" ca="1" si="18"/>
        <v>0</v>
      </c>
      <c r="AV212" s="65">
        <f t="shared" ca="1" si="18"/>
        <v>0</v>
      </c>
      <c r="AW212" s="65">
        <f t="shared" ca="1" si="18"/>
        <v>0</v>
      </c>
      <c r="AX212" s="65">
        <f t="shared" ca="1" si="18"/>
        <v>0</v>
      </c>
      <c r="AY212" s="65">
        <f t="shared" ca="1" si="18"/>
        <v>0</v>
      </c>
      <c r="AZ212" s="65">
        <f t="shared" ca="1" si="18"/>
        <v>0</v>
      </c>
      <c r="BA212" s="65">
        <f t="shared" ca="1" si="18"/>
        <v>0</v>
      </c>
      <c r="BB212" s="65">
        <f t="shared" ca="1" si="18"/>
        <v>0</v>
      </c>
      <c r="BC212" s="65">
        <f t="shared" ca="1" si="18"/>
        <v>0</v>
      </c>
      <c r="BD212" s="65">
        <f t="shared" ca="1" si="18"/>
        <v>0</v>
      </c>
    </row>
    <row r="213" spans="1:56" s="119" customFormat="1" ht="15" hidden="1" customHeight="1" x14ac:dyDescent="0.25">
      <c r="A213" s="126"/>
      <c r="B213" s="207"/>
      <c r="C213" s="130"/>
      <c r="D213" s="138"/>
      <c r="E213" s="138"/>
      <c r="F213" s="103"/>
      <c r="G213" s="138"/>
      <c r="H213" s="102"/>
      <c r="I213" s="91"/>
      <c r="J213" s="184"/>
      <c r="K213" s="173"/>
      <c r="L213" s="102"/>
      <c r="M213" s="179"/>
      <c r="N213" s="102"/>
      <c r="O213" s="179"/>
      <c r="P213" s="102"/>
      <c r="Q213" s="179"/>
      <c r="R213" s="102"/>
      <c r="S213" s="91"/>
      <c r="T213" s="129"/>
      <c r="U213" s="126"/>
      <c r="V213" s="58"/>
      <c r="W213" s="58"/>
    </row>
    <row r="214" spans="1:56" ht="15" hidden="1" customHeight="1" x14ac:dyDescent="0.25">
      <c r="B214" s="207"/>
      <c r="C214" s="130"/>
      <c r="D214" s="102"/>
      <c r="E214" s="91"/>
      <c r="F214" s="103" t="s">
        <v>151</v>
      </c>
      <c r="G214" s="75"/>
      <c r="H214" s="98">
        <f ca="1">IFERROR(NPV(H183,Y212:BD212)/H189,0)</f>
        <v>0</v>
      </c>
      <c r="I214" s="91"/>
      <c r="J214" s="183"/>
      <c r="K214" s="173"/>
      <c r="L214" s="102"/>
      <c r="M214" s="179"/>
      <c r="N214" s="102"/>
      <c r="O214" s="179"/>
      <c r="P214" s="102"/>
      <c r="Q214" s="179"/>
      <c r="R214" s="102"/>
      <c r="S214" s="91"/>
      <c r="T214" s="102"/>
    </row>
    <row r="215" spans="1:56" ht="9" hidden="1" customHeight="1" x14ac:dyDescent="0.25">
      <c r="B215" s="207"/>
      <c r="C215" s="130"/>
      <c r="D215" s="102"/>
      <c r="E215" s="91"/>
      <c r="F215" s="103"/>
      <c r="G215" s="75"/>
      <c r="H215" s="100"/>
      <c r="I215" s="91"/>
      <c r="J215" s="184"/>
      <c r="K215" s="173"/>
      <c r="L215" s="102"/>
      <c r="M215" s="179"/>
      <c r="N215" s="102"/>
      <c r="O215" s="179"/>
      <c r="P215" s="102"/>
      <c r="Q215" s="179"/>
      <c r="R215" s="102"/>
      <c r="S215" s="91"/>
      <c r="T215" s="102"/>
    </row>
    <row r="216" spans="1:56" ht="15" hidden="1" customHeight="1" x14ac:dyDescent="0.25">
      <c r="B216" s="207"/>
      <c r="C216" s="130"/>
      <c r="D216" s="102"/>
      <c r="E216" s="91"/>
      <c r="F216" s="103" t="s">
        <v>102</v>
      </c>
      <c r="G216" s="75"/>
      <c r="H216" s="98">
        <f ca="1">IFERROR(SUM(EA11:EA14),0)</f>
        <v>0</v>
      </c>
      <c r="I216" s="91"/>
      <c r="J216" s="185"/>
      <c r="K216" s="173"/>
      <c r="L216" s="102"/>
      <c r="M216" s="179"/>
      <c r="N216" s="102"/>
      <c r="O216" s="179"/>
      <c r="P216" s="102"/>
      <c r="Q216" s="179"/>
      <c r="R216" s="102"/>
      <c r="S216" s="91"/>
      <c r="T216" s="102"/>
    </row>
    <row r="217" spans="1:56" ht="9" hidden="1" customHeight="1" x14ac:dyDescent="0.25">
      <c r="B217" s="207"/>
      <c r="C217" s="130"/>
      <c r="D217" s="102"/>
      <c r="E217" s="91"/>
      <c r="F217" s="103"/>
      <c r="G217" s="75"/>
      <c r="H217" s="100"/>
      <c r="I217" s="91"/>
      <c r="J217" s="184"/>
      <c r="K217" s="173"/>
      <c r="L217" s="102"/>
      <c r="M217" s="179"/>
      <c r="N217" s="102"/>
      <c r="O217" s="179"/>
      <c r="P217" s="102"/>
      <c r="Q217" s="179"/>
      <c r="R217" s="102"/>
      <c r="S217" s="91"/>
      <c r="T217" s="102"/>
    </row>
    <row r="218" spans="1:56" ht="15" hidden="1" customHeight="1" x14ac:dyDescent="0.25">
      <c r="B218" s="207"/>
      <c r="C218" s="130"/>
      <c r="D218" s="102"/>
      <c r="E218" s="91"/>
      <c r="F218" s="118" t="s">
        <v>96</v>
      </c>
      <c r="G218" s="75"/>
      <c r="H218" s="99">
        <f ca="1">SUM(H212,H214,H216)</f>
        <v>0</v>
      </c>
      <c r="I218" s="91"/>
      <c r="J218" s="184"/>
      <c r="K218" s="173"/>
      <c r="L218" s="102"/>
      <c r="M218" s="179"/>
      <c r="N218" s="102"/>
      <c r="O218" s="179"/>
      <c r="P218" s="102"/>
      <c r="Q218" s="179"/>
      <c r="R218" s="102"/>
      <c r="S218" s="91"/>
      <c r="T218" s="102"/>
    </row>
    <row r="219" spans="1:56" ht="9" hidden="1" customHeight="1" x14ac:dyDescent="0.25">
      <c r="B219" s="207"/>
      <c r="C219" s="130"/>
      <c r="D219" s="102"/>
      <c r="E219" s="91"/>
      <c r="F219" s="103"/>
      <c r="G219" s="75"/>
      <c r="H219" s="100"/>
      <c r="I219" s="91"/>
      <c r="J219" s="184"/>
      <c r="K219" s="173"/>
      <c r="L219" s="102"/>
      <c r="M219" s="179"/>
      <c r="N219" s="102"/>
      <c r="O219" s="179"/>
      <c r="P219" s="102"/>
      <c r="Q219" s="179"/>
      <c r="R219" s="102"/>
      <c r="S219" s="91"/>
      <c r="T219" s="102"/>
    </row>
    <row r="220" spans="1:56" ht="15" hidden="1" customHeight="1" x14ac:dyDescent="0.25">
      <c r="B220" s="207"/>
      <c r="C220" s="130"/>
      <c r="D220" s="102"/>
      <c r="E220" s="91"/>
      <c r="F220" s="103" t="s">
        <v>139</v>
      </c>
      <c r="G220" s="75"/>
      <c r="H220" s="97">
        <f ca="1">E21</f>
        <v>0</v>
      </c>
      <c r="I220" s="91"/>
      <c r="J220" s="184"/>
      <c r="K220" s="173"/>
      <c r="L220" s="102"/>
      <c r="M220" s="179"/>
      <c r="N220" s="102"/>
      <c r="O220" s="179"/>
      <c r="P220" s="102"/>
      <c r="Q220" s="179"/>
      <c r="R220" s="102"/>
      <c r="S220" s="91"/>
      <c r="T220" s="102"/>
    </row>
    <row r="221" spans="1:56" ht="9" hidden="1" customHeight="1" x14ac:dyDescent="0.25">
      <c r="B221" s="207"/>
      <c r="C221" s="130"/>
      <c r="D221" s="102"/>
      <c r="E221" s="91"/>
      <c r="F221" s="103"/>
      <c r="G221" s="75"/>
      <c r="H221" s="100"/>
      <c r="I221" s="91"/>
      <c r="J221" s="184"/>
      <c r="K221" s="173"/>
      <c r="L221" s="102"/>
      <c r="M221" s="179"/>
      <c r="N221" s="102"/>
      <c r="O221" s="179"/>
      <c r="P221" s="102"/>
      <c r="Q221" s="179"/>
      <c r="R221" s="102"/>
      <c r="S221" s="91"/>
      <c r="T221" s="102"/>
    </row>
    <row r="222" spans="1:56" ht="15" hidden="1" customHeight="1" x14ac:dyDescent="0.25">
      <c r="B222" s="207"/>
      <c r="C222" s="130"/>
      <c r="D222" s="102"/>
      <c r="E222" s="91"/>
      <c r="F222" s="103" t="s">
        <v>140</v>
      </c>
      <c r="G222" s="75"/>
      <c r="H222" s="97">
        <f>E23</f>
        <v>0</v>
      </c>
      <c r="I222" s="91"/>
      <c r="J222" s="184"/>
      <c r="K222" s="173"/>
      <c r="L222" s="102"/>
      <c r="M222" s="179"/>
      <c r="N222" s="102"/>
      <c r="O222" s="179"/>
      <c r="P222" s="102"/>
      <c r="Q222" s="179"/>
      <c r="R222" s="102"/>
      <c r="S222" s="91"/>
      <c r="T222" s="102"/>
    </row>
    <row r="223" spans="1:56" ht="9" hidden="1" customHeight="1" x14ac:dyDescent="0.25">
      <c r="B223" s="207"/>
      <c r="C223" s="130"/>
      <c r="D223" s="102"/>
      <c r="E223" s="91"/>
      <c r="F223" s="103"/>
      <c r="G223" s="75"/>
      <c r="H223" s="100"/>
      <c r="I223" s="91"/>
      <c r="J223" s="184"/>
      <c r="K223" s="173"/>
      <c r="L223" s="102"/>
      <c r="M223" s="179"/>
      <c r="N223" s="102"/>
      <c r="O223" s="179"/>
      <c r="P223" s="102"/>
      <c r="Q223" s="179"/>
      <c r="R223" s="102"/>
      <c r="S223" s="91"/>
      <c r="T223" s="102"/>
    </row>
    <row r="224" spans="1:56" ht="15" hidden="1" customHeight="1" x14ac:dyDescent="0.25">
      <c r="B224" s="207"/>
      <c r="C224" s="130"/>
      <c r="D224" s="102"/>
      <c r="E224" s="91"/>
      <c r="F224" s="103" t="s">
        <v>141</v>
      </c>
      <c r="G224" s="75"/>
      <c r="H224" s="97">
        <f ca="1">IF(N27="one (1) year",H220/(1+H183)^1,SUM(H220/2/(1+H183)^1,H220/2/(1+H183)^2))</f>
        <v>0</v>
      </c>
      <c r="I224" s="91"/>
      <c r="J224" s="183"/>
      <c r="K224" s="173"/>
      <c r="L224" s="102"/>
      <c r="M224" s="179"/>
      <c r="N224" s="102"/>
      <c r="O224" s="179"/>
      <c r="P224" s="102"/>
      <c r="Q224" s="179"/>
      <c r="R224" s="102"/>
      <c r="S224" s="91"/>
      <c r="T224" s="102"/>
    </row>
    <row r="225" spans="1:23" ht="15" hidden="1" customHeight="1" x14ac:dyDescent="0.25">
      <c r="B225" s="207"/>
      <c r="C225" s="130"/>
      <c r="D225" s="102"/>
      <c r="E225" s="91"/>
      <c r="F225" s="103"/>
      <c r="G225" s="75"/>
      <c r="H225" s="100"/>
      <c r="I225" s="91"/>
      <c r="J225" s="184"/>
      <c r="K225" s="173"/>
      <c r="L225" s="102"/>
      <c r="M225" s="179"/>
      <c r="N225" s="102"/>
      <c r="O225" s="179"/>
      <c r="P225" s="102"/>
      <c r="Q225" s="179"/>
      <c r="R225" s="102"/>
      <c r="S225" s="91"/>
      <c r="T225" s="102"/>
    </row>
    <row r="226" spans="1:23" ht="15" hidden="1" customHeight="1" x14ac:dyDescent="0.25">
      <c r="B226" s="207"/>
      <c r="C226" s="130"/>
      <c r="D226" s="102"/>
      <c r="E226" s="91"/>
      <c r="F226" s="103" t="s">
        <v>142</v>
      </c>
      <c r="G226" s="75"/>
      <c r="H226" s="97">
        <f>IFERROR(SUM(BF11:BF14),0)</f>
        <v>0</v>
      </c>
      <c r="I226" s="91"/>
      <c r="J226" s="183"/>
      <c r="K226" s="173"/>
      <c r="L226" s="102"/>
      <c r="M226" s="179"/>
      <c r="N226" s="102"/>
      <c r="O226" s="179"/>
      <c r="P226" s="102"/>
      <c r="Q226" s="179"/>
      <c r="R226" s="102"/>
      <c r="S226" s="91"/>
      <c r="T226" s="102"/>
    </row>
    <row r="227" spans="1:23" ht="9" hidden="1" customHeight="1" x14ac:dyDescent="0.25">
      <c r="B227" s="207"/>
      <c r="C227" s="130"/>
      <c r="D227" s="102"/>
      <c r="E227" s="91"/>
      <c r="F227" s="103"/>
      <c r="G227" s="75"/>
      <c r="H227" s="100"/>
      <c r="I227" s="91"/>
      <c r="J227" s="184"/>
      <c r="K227" s="173"/>
      <c r="L227" s="102"/>
      <c r="M227" s="179"/>
      <c r="N227" s="102"/>
      <c r="O227" s="179"/>
      <c r="P227" s="102"/>
      <c r="Q227" s="179"/>
      <c r="R227" s="102"/>
      <c r="S227" s="91"/>
      <c r="T227" s="102"/>
    </row>
    <row r="228" spans="1:23" ht="15" hidden="1" customHeight="1" x14ac:dyDescent="0.25">
      <c r="B228" s="207"/>
      <c r="C228" s="130"/>
      <c r="D228" s="102"/>
      <c r="E228" s="91"/>
      <c r="F228" s="118" t="s">
        <v>100</v>
      </c>
      <c r="G228" s="75"/>
      <c r="H228" s="99">
        <f ca="1">SUM(H224,H226)</f>
        <v>0</v>
      </c>
      <c r="I228" s="91"/>
      <c r="J228" s="184"/>
      <c r="K228" s="173"/>
      <c r="L228" s="102"/>
      <c r="M228" s="179"/>
      <c r="N228" s="102"/>
      <c r="O228" s="179"/>
      <c r="P228" s="102"/>
      <c r="Q228" s="179"/>
      <c r="R228" s="102"/>
      <c r="S228" s="91"/>
      <c r="T228" s="102"/>
    </row>
    <row r="229" spans="1:23" ht="9" hidden="1" customHeight="1" x14ac:dyDescent="0.25">
      <c r="B229" s="207"/>
      <c r="C229" s="130"/>
      <c r="D229" s="102"/>
      <c r="E229" s="91"/>
      <c r="F229" s="103"/>
      <c r="G229" s="75"/>
      <c r="H229" s="100"/>
      <c r="I229" s="91"/>
      <c r="J229" s="184"/>
      <c r="K229" s="173"/>
      <c r="L229" s="102"/>
      <c r="M229" s="179"/>
      <c r="N229" s="102"/>
      <c r="O229" s="179"/>
      <c r="P229" s="102"/>
      <c r="Q229" s="179"/>
      <c r="R229" s="102"/>
      <c r="S229" s="91"/>
      <c r="T229" s="102"/>
    </row>
    <row r="230" spans="1:23" ht="15" hidden="1" customHeight="1" x14ac:dyDescent="0.25">
      <c r="B230" s="207"/>
      <c r="C230" s="130"/>
      <c r="D230" s="102"/>
      <c r="E230" s="91"/>
      <c r="F230" s="118" t="s">
        <v>134</v>
      </c>
      <c r="G230" s="138"/>
      <c r="H230" s="181">
        <f ca="1">IFERROR(H218/H228,0)</f>
        <v>0</v>
      </c>
      <c r="I230" s="91"/>
      <c r="J230" s="183"/>
      <c r="K230" s="173"/>
      <c r="L230" s="102"/>
      <c r="M230" s="179"/>
      <c r="N230" s="102"/>
      <c r="O230" s="179"/>
      <c r="P230" s="102"/>
      <c r="Q230" s="179"/>
      <c r="R230" s="102"/>
      <c r="S230" s="91"/>
      <c r="T230" s="102"/>
    </row>
    <row r="231" spans="1:23" ht="15" hidden="1" customHeight="1" x14ac:dyDescent="0.25">
      <c r="B231" s="207"/>
      <c r="C231" s="130"/>
      <c r="D231" s="102"/>
      <c r="E231" s="91"/>
      <c r="F231" s="103"/>
      <c r="G231" s="75"/>
      <c r="H231" s="100"/>
      <c r="I231" s="91"/>
      <c r="J231" s="102"/>
      <c r="K231" s="91"/>
      <c r="L231" s="102"/>
      <c r="M231" s="91"/>
      <c r="N231" s="102"/>
      <c r="O231" s="91"/>
      <c r="P231" s="102"/>
      <c r="Q231" s="91"/>
      <c r="R231" s="102"/>
      <c r="S231" s="91"/>
      <c r="T231" s="102"/>
      <c r="W231" s="58">
        <f>ROW()</f>
        <v>231</v>
      </c>
    </row>
    <row r="232" spans="1:23" ht="15.75" x14ac:dyDescent="0.25">
      <c r="B232" s="207"/>
      <c r="C232" s="130"/>
      <c r="D232" s="102" t="s">
        <v>76</v>
      </c>
      <c r="E232" s="91"/>
      <c r="F232" s="91"/>
      <c r="G232" s="91"/>
      <c r="H232" s="102"/>
      <c r="I232" s="91"/>
      <c r="J232" s="102"/>
      <c r="K232" s="196">
        <f ca="1">H230</f>
        <v>0</v>
      </c>
      <c r="L232" s="196"/>
      <c r="M232" s="91"/>
      <c r="N232" s="102"/>
      <c r="O232" s="91"/>
      <c r="P232" s="102"/>
      <c r="Q232" s="91"/>
      <c r="R232" s="102"/>
      <c r="S232" s="91"/>
      <c r="T232" s="102"/>
    </row>
    <row r="233" spans="1:23" s="68" customFormat="1" ht="15.75" thickBot="1" x14ac:dyDescent="0.3">
      <c r="A233" s="57"/>
      <c r="B233" s="208"/>
      <c r="C233" s="153"/>
      <c r="D233" s="147"/>
      <c r="E233" s="148"/>
      <c r="F233" s="148"/>
      <c r="G233" s="148"/>
      <c r="H233" s="147"/>
      <c r="I233" s="148"/>
      <c r="J233" s="147"/>
      <c r="K233" s="148"/>
      <c r="L233" s="147"/>
      <c r="M233" s="148"/>
      <c r="N233" s="147"/>
      <c r="O233" s="148"/>
      <c r="P233" s="147"/>
      <c r="Q233" s="148"/>
      <c r="R233" s="147"/>
      <c r="S233" s="148"/>
      <c r="T233" s="147"/>
      <c r="U233" s="57"/>
      <c r="V233" s="129"/>
      <c r="W233" s="129"/>
    </row>
    <row r="234" spans="1:23" x14ac:dyDescent="0.25"/>
    <row r="235" spans="1:23" hidden="1" x14ac:dyDescent="0.25">
      <c r="W235" s="58">
        <f>ROW()</f>
        <v>235</v>
      </c>
    </row>
  </sheetData>
  <sheetProtection algorithmName="SHA-512" hashValue="v2H/uJjN4SEy+Tch0U559108F4/Rr1L6LuN3+TeHYqocwv8OelpkGm8q7CbTZH0Re53TWz6vBMI8HiLZFz8h2Q==" saltValue="7dLqIEBAyTEJ7ANCblwLyw==" spinCount="100000" sheet="1" objects="1" scenarios="1" selectLockedCells="1"/>
  <mergeCells count="142">
    <mergeCell ref="AY9:AY10"/>
    <mergeCell ref="AZ9:AZ10"/>
    <mergeCell ref="BA9:BA10"/>
    <mergeCell ref="BB9:BB10"/>
    <mergeCell ref="AS9:AS10"/>
    <mergeCell ref="AT9:AT10"/>
    <mergeCell ref="AU9:AU10"/>
    <mergeCell ref="AV9:AV10"/>
    <mergeCell ref="AW9:AW10"/>
    <mergeCell ref="AR9:AR10"/>
    <mergeCell ref="AX9:AX10"/>
    <mergeCell ref="AL9:AL10"/>
    <mergeCell ref="AM9:AM10"/>
    <mergeCell ref="AN9:AN10"/>
    <mergeCell ref="AO9:AO10"/>
    <mergeCell ref="AP9:AP10"/>
    <mergeCell ref="X9:X10"/>
    <mergeCell ref="Y9:Y10"/>
    <mergeCell ref="AA9:AA10"/>
    <mergeCell ref="AB9:AB10"/>
    <mergeCell ref="AC9:AC10"/>
    <mergeCell ref="AD9:AD10"/>
    <mergeCell ref="AE9:AE10"/>
    <mergeCell ref="AF9:AF10"/>
    <mergeCell ref="AG9:AG10"/>
    <mergeCell ref="AH9:AH10"/>
    <mergeCell ref="AI9:AI10"/>
    <mergeCell ref="AJ9:AJ10"/>
    <mergeCell ref="AK9:AK10"/>
    <mergeCell ref="Z9:Z10"/>
    <mergeCell ref="B3:T3"/>
    <mergeCell ref="E6:I6"/>
    <mergeCell ref="E11:F11"/>
    <mergeCell ref="E12:F12"/>
    <mergeCell ref="K6:M6"/>
    <mergeCell ref="O6:Q6"/>
    <mergeCell ref="O32:T32"/>
    <mergeCell ref="L37:M37"/>
    <mergeCell ref="AQ9:AQ10"/>
    <mergeCell ref="I37:J37"/>
    <mergeCell ref="E37:H37"/>
    <mergeCell ref="E34:G34"/>
    <mergeCell ref="K88:L88"/>
    <mergeCell ref="B4:B54"/>
    <mergeCell ref="F19:J19"/>
    <mergeCell ref="F17:H17"/>
    <mergeCell ref="K27:M27"/>
    <mergeCell ref="I27:J27"/>
    <mergeCell ref="I28:J28"/>
    <mergeCell ref="I58:J58"/>
    <mergeCell ref="B163:B233"/>
    <mergeCell ref="D164:T164"/>
    <mergeCell ref="D172:T172"/>
    <mergeCell ref="D165:T165"/>
    <mergeCell ref="K232:L232"/>
    <mergeCell ref="B55:B89"/>
    <mergeCell ref="D66:T66"/>
    <mergeCell ref="B90:B162"/>
    <mergeCell ref="D88:J88"/>
    <mergeCell ref="D93:T93"/>
    <mergeCell ref="D91:T91"/>
    <mergeCell ref="D56:T56"/>
    <mergeCell ref="K161:L161"/>
    <mergeCell ref="D101:T101"/>
    <mergeCell ref="BI9:BI10"/>
    <mergeCell ref="BJ9:BJ10"/>
    <mergeCell ref="BK9:BK10"/>
    <mergeCell ref="BL9:BL10"/>
    <mergeCell ref="BM9:BM10"/>
    <mergeCell ref="BG9:BG10"/>
    <mergeCell ref="BH9:BH10"/>
    <mergeCell ref="BC9:BC10"/>
    <mergeCell ref="BD9:BD10"/>
    <mergeCell ref="BE9:BE10"/>
    <mergeCell ref="BF9:BF10"/>
    <mergeCell ref="BS9:BS10"/>
    <mergeCell ref="BT9:BT10"/>
    <mergeCell ref="BU9:BU10"/>
    <mergeCell ref="BV9:BV10"/>
    <mergeCell ref="BW9:BW10"/>
    <mergeCell ref="BN9:BN10"/>
    <mergeCell ref="BO9:BO10"/>
    <mergeCell ref="BP9:BP10"/>
    <mergeCell ref="BQ9:BQ10"/>
    <mergeCell ref="BR9:BR10"/>
    <mergeCell ref="CK9:CK10"/>
    <mergeCell ref="CL9:CL10"/>
    <mergeCell ref="CC9:CC10"/>
    <mergeCell ref="CD9:CD10"/>
    <mergeCell ref="CE9:CE10"/>
    <mergeCell ref="CF9:CF10"/>
    <mergeCell ref="CG9:CG10"/>
    <mergeCell ref="BX9:BX10"/>
    <mergeCell ref="BY9:BY10"/>
    <mergeCell ref="BZ9:BZ10"/>
    <mergeCell ref="CA9:CA10"/>
    <mergeCell ref="CB9:CB10"/>
    <mergeCell ref="DV9:DV10"/>
    <mergeCell ref="DW9:DW10"/>
    <mergeCell ref="DX9:DX10"/>
    <mergeCell ref="DY9:DY10"/>
    <mergeCell ref="EA9:EA10"/>
    <mergeCell ref="DQ9:DQ10"/>
    <mergeCell ref="DR9:DR10"/>
    <mergeCell ref="DS9:DS10"/>
    <mergeCell ref="DT9:DT10"/>
    <mergeCell ref="DU9:DU10"/>
    <mergeCell ref="DZ9:DZ10"/>
    <mergeCell ref="DL9:DL10"/>
    <mergeCell ref="DM9:DM10"/>
    <mergeCell ref="DN9:DN10"/>
    <mergeCell ref="DO9:DO10"/>
    <mergeCell ref="DP9:DP10"/>
    <mergeCell ref="DG9:DG10"/>
    <mergeCell ref="DH9:DH10"/>
    <mergeCell ref="DI9:DI10"/>
    <mergeCell ref="DJ9:DJ10"/>
    <mergeCell ref="DK9:DK10"/>
    <mergeCell ref="B1:R2"/>
    <mergeCell ref="DD9:DD10"/>
    <mergeCell ref="DE9:DE10"/>
    <mergeCell ref="DF9:DF10"/>
    <mergeCell ref="CW9:CW10"/>
    <mergeCell ref="CX9:CX10"/>
    <mergeCell ref="CY9:CY10"/>
    <mergeCell ref="CZ9:CZ10"/>
    <mergeCell ref="DA9:DA10"/>
    <mergeCell ref="CR9:CR10"/>
    <mergeCell ref="CS9:CS10"/>
    <mergeCell ref="CT9:CT10"/>
    <mergeCell ref="CU9:CU10"/>
    <mergeCell ref="CV9:CV10"/>
    <mergeCell ref="DB9:DB10"/>
    <mergeCell ref="DC9:DC10"/>
    <mergeCell ref="CM9:CM10"/>
    <mergeCell ref="CN9:CN10"/>
    <mergeCell ref="CO9:CO10"/>
    <mergeCell ref="CP9:CP10"/>
    <mergeCell ref="CQ9:CQ10"/>
    <mergeCell ref="CH9:CH10"/>
    <mergeCell ref="CI9:CI10"/>
    <mergeCell ref="CJ9:CJ10"/>
  </mergeCells>
  <conditionalFormatting sqref="J11:L11">
    <cfRule type="expression" dxfId="0" priority="7">
      <formula>$R11="Estimated Cost Overrode by User"</formula>
    </cfRule>
  </conditionalFormatting>
  <dataValidations count="9">
    <dataValidation type="list" allowBlank="1" showInputMessage="1" showErrorMessage="1" sqref="N27" xr:uid="{00000000-0002-0000-0000-000000000000}">
      <formula1>"one (1) year, two (2) years"</formula1>
    </dataValidation>
    <dataValidation type="whole" allowBlank="1" showInputMessage="1" showErrorMessage="1" prompt="Enter a value between 2018 and 3018 (i.e. 2019)." sqref="I27:J27" xr:uid="{00000000-0002-0000-0000-000001000000}">
      <formula1>2018</formula1>
      <formula2>3018</formula2>
    </dataValidation>
    <dataValidation allowBlank="1" showInputMessage="1" showErrorMessage="1" prompt="For structures, enter the dimension with an 'x' separating the span from the width. For fencing, enter the length without units. For all other, enter the count as an integer value." sqref="H11" xr:uid="{00000000-0002-0000-0000-000002000000}"/>
    <dataValidation type="whole" allowBlank="1" showInputMessage="1" showErrorMessage="1" promptTitle="Enter Year" prompt="Please enter a year between 2000 and 3000." sqref="H92" xr:uid="{00000000-0002-0000-0000-000003000000}">
      <formula1>2000</formula1>
      <formula2>3000</formula2>
    </dataValidation>
    <dataValidation type="whole" allowBlank="1" showInputMessage="1" showErrorMessage="1" prompt="Enter the number of people killed in vehicle collisions with wild animals." sqref="H40" xr:uid="{CEE6A49B-BF16-4D4E-BE42-F6754724FFFA}">
      <formula1>0</formula1>
      <formula2>999999</formula2>
    </dataValidation>
    <dataValidation type="whole" allowBlank="1" showInputMessage="1" showErrorMessage="1" prompt="Enter the number of people injured in vehicle collisions with wild animals." sqref="H42" xr:uid="{817EEBB1-90A3-42E7-9E37-BFD51F419C62}">
      <formula1>0</formula1>
      <formula2>999999</formula2>
    </dataValidation>
    <dataValidation type="whole" allowBlank="1" showInputMessage="1" showErrorMessage="1" prompt="Enter the number of property damange only vehicle collisions with wild animals." sqref="H44" xr:uid="{0B1D4D8A-F7E1-4330-8BBC-184513AB421A}">
      <formula1>0</formula1>
      <formula2>999999</formula2>
    </dataValidation>
    <dataValidation type="whole" allowBlank="1" showInputMessage="1" showErrorMessage="1" prompt="Enter the number of reference type of wild animals killed in collisions with vehicles." sqref="H46 H48 H50 H52" xr:uid="{3202BFDE-6CE6-4EDE-97AE-81BEBE79F145}">
      <formula1>0</formula1>
      <formula2>999999</formula2>
    </dataValidation>
    <dataValidation allowBlank="1" showInputMessage="1" showErrorMessage="1" prompt="Enter the type of wild animal (e.g. Deer)." sqref="F46 F48 F50 F52" xr:uid="{A383C0BB-7F9D-48C5-A114-B55C359C925B}"/>
  </dataValidations>
  <pageMargins left="0.7" right="0.7" top="0.75" bottom="0.75" header="0.3" footer="0.3"/>
  <pageSetup scale="49" orientation="portrait" horizontalDpi="1200" verticalDpi="1200" r:id="rId1"/>
  <drawing r:id="rId2"/>
  <legacyDrawing r:id="rId3"/>
  <oleObjects>
    <mc:AlternateContent xmlns:mc="http://schemas.openxmlformats.org/markup-compatibility/2006">
      <mc:Choice Requires="x14">
        <oleObject progId="Acrobat Document" dvAspect="DVASPECT_ICON" shapeId="1096" r:id="rId4">
          <objectPr locked="0" defaultSize="0" autoPict="0" r:id="rId5">
            <anchor moveWithCells="1" sizeWithCells="1">
              <from>
                <xdr:col>9</xdr:col>
                <xdr:colOff>85725</xdr:colOff>
                <xdr:row>144</xdr:row>
                <xdr:rowOff>9525</xdr:rowOff>
              </from>
              <to>
                <xdr:col>9</xdr:col>
                <xdr:colOff>1000125</xdr:colOff>
                <xdr:row>148</xdr:row>
                <xdr:rowOff>95250</xdr:rowOff>
              </to>
            </anchor>
          </objectPr>
        </oleObject>
      </mc:Choice>
      <mc:Fallback>
        <oleObject progId="Acrobat Document" dvAspect="DVASPECT_ICON" shapeId="1096" r:id="rId4"/>
      </mc:Fallback>
    </mc:AlternateContent>
    <mc:AlternateContent xmlns:mc="http://schemas.openxmlformats.org/markup-compatibility/2006">
      <mc:Choice Requires="x14">
        <oleObject progId="Acrobat Document" dvAspect="DVASPECT_ICON" shapeId="1097" r:id="rId6">
          <objectPr locked="0" defaultSize="0" autoPict="0" r:id="rId5">
            <anchor moveWithCells="1" sizeWithCells="1">
              <from>
                <xdr:col>9</xdr:col>
                <xdr:colOff>76200</xdr:colOff>
                <xdr:row>215</xdr:row>
                <xdr:rowOff>95250</xdr:rowOff>
              </from>
              <to>
                <xdr:col>9</xdr:col>
                <xdr:colOff>990600</xdr:colOff>
                <xdr:row>220</xdr:row>
                <xdr:rowOff>66675</xdr:rowOff>
              </to>
            </anchor>
          </objectPr>
        </oleObject>
      </mc:Choice>
      <mc:Fallback>
        <oleObject progId="Acrobat Document" dvAspect="DVASPECT_ICON" shapeId="1097" r:id="rId6"/>
      </mc:Fallback>
    </mc:AlternateContent>
  </oleObjects>
  <mc:AlternateContent xmlns:mc="http://schemas.openxmlformats.org/markup-compatibility/2006">
    <mc:Choice Requires="x14">
      <controls>
        <mc:AlternateContent xmlns:mc="http://schemas.openxmlformats.org/markup-compatibility/2006">
          <mc:Choice Requires="x14">
            <control shapeId="1099" r:id="rId7" name="Check Box 75">
              <controlPr defaultSize="0" autoFill="0" autoLine="0" autoPict="0" macro="[0]!ManualCRF">
                <anchor moveWithCells="1">
                  <from>
                    <xdr:col>7</xdr:col>
                    <xdr:colOff>400050</xdr:colOff>
                    <xdr:row>29</xdr:row>
                    <xdr:rowOff>19050</xdr:rowOff>
                  </from>
                  <to>
                    <xdr:col>9</xdr:col>
                    <xdr:colOff>228600</xdr:colOff>
                    <xdr:row>29</xdr:row>
                    <xdr:rowOff>209550</xdr:rowOff>
                  </to>
                </anchor>
              </controlPr>
            </control>
          </mc:Choice>
        </mc:AlternateContent>
        <mc:AlternateContent xmlns:mc="http://schemas.openxmlformats.org/markup-compatibility/2006">
          <mc:Choice Requires="x14">
            <control shapeId="1101" r:id="rId8" name="Check Box 77">
              <controlPr defaultSize="0" autoFill="0" autoLine="0" autoPict="0" macro="[0]!ManualCosts">
                <anchor moveWithCells="1">
                  <from>
                    <xdr:col>7</xdr:col>
                    <xdr:colOff>504825</xdr:colOff>
                    <xdr:row>7</xdr:row>
                    <xdr:rowOff>180975</xdr:rowOff>
                  </from>
                  <to>
                    <xdr:col>9</xdr:col>
                    <xdr:colOff>942975</xdr:colOff>
                    <xdr:row>8</xdr:row>
                    <xdr:rowOff>228600</xdr:rowOff>
                  </to>
                </anchor>
              </controlPr>
            </control>
          </mc:Choice>
        </mc:AlternateContent>
        <mc:AlternateContent xmlns:mc="http://schemas.openxmlformats.org/markup-compatibility/2006">
          <mc:Choice Requires="x14">
            <control shapeId="1102" r:id="rId9" name="Check Box 78">
              <controlPr defaultSize="0" autoFill="0" autoLine="0" autoPict="0" macro="[0]!TSCalcs">
                <anchor moveWithCells="1">
                  <from>
                    <xdr:col>2</xdr:col>
                    <xdr:colOff>85725</xdr:colOff>
                    <xdr:row>64</xdr:row>
                    <xdr:rowOff>47625</xdr:rowOff>
                  </from>
                  <to>
                    <xdr:col>4</xdr:col>
                    <xdr:colOff>866775</xdr:colOff>
                    <xdr:row>64</xdr:row>
                    <xdr:rowOff>238125</xdr:rowOff>
                  </to>
                </anchor>
              </controlPr>
            </control>
          </mc:Choice>
        </mc:AlternateContent>
        <mc:AlternateContent xmlns:mc="http://schemas.openxmlformats.org/markup-compatibility/2006">
          <mc:Choice Requires="x14">
            <control shapeId="1103" r:id="rId10" name="Check Box 79">
              <controlPr defaultSize="0" autoFill="0" autoLine="0" autoPict="0" macro="[0]!DTDCalcs">
                <anchor moveWithCells="1">
                  <from>
                    <xdr:col>2</xdr:col>
                    <xdr:colOff>85725</xdr:colOff>
                    <xdr:row>110</xdr:row>
                    <xdr:rowOff>47625</xdr:rowOff>
                  </from>
                  <to>
                    <xdr:col>4</xdr:col>
                    <xdr:colOff>857250</xdr:colOff>
                    <xdr:row>110</xdr:row>
                    <xdr:rowOff>257175</xdr:rowOff>
                  </to>
                </anchor>
              </controlPr>
            </control>
          </mc:Choice>
        </mc:AlternateContent>
        <mc:AlternateContent xmlns:mc="http://schemas.openxmlformats.org/markup-compatibility/2006">
          <mc:Choice Requires="x14">
            <control shapeId="1104" r:id="rId11" name="Check Box 80">
              <controlPr defaultSize="0" autoFill="0" autoLine="0" autoPict="0" macro="[0]!WVCCalcs">
                <anchor moveWithCells="1">
                  <from>
                    <xdr:col>2</xdr:col>
                    <xdr:colOff>85725</xdr:colOff>
                    <xdr:row>181</xdr:row>
                    <xdr:rowOff>47625</xdr:rowOff>
                  </from>
                  <to>
                    <xdr:col>4</xdr:col>
                    <xdr:colOff>847725</xdr:colOff>
                    <xdr:row>181</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4000000}">
          <x14:formula1>
            <xm:f>'Effectiveness (CRF)'!$B$7:$B$9</xm:f>
          </x14:formula1>
          <xm:sqref>O32</xm:sqref>
        </x14:dataValidation>
        <x14:dataValidation type="list" allowBlank="1" showInputMessage="1" showErrorMessage="1" xr:uid="{00000000-0002-0000-0000-000005000000}">
          <x14:formula1>
            <xm:f>MISC!$B$3:$B$20</xm:f>
          </x14:formula1>
          <xm:sqref>E11:F11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Q29"/>
  <sheetViews>
    <sheetView showGridLines="0" workbookViewId="0">
      <pane ySplit="5" topLeftCell="A6" activePane="bottomLeft" state="frozen"/>
      <selection pane="bottomLeft" activeCell="C7" sqref="C7"/>
    </sheetView>
  </sheetViews>
  <sheetFormatPr defaultColWidth="0" defaultRowHeight="15" zeroHeight="1" x14ac:dyDescent="0.25"/>
  <cols>
    <col min="1" max="1" width="3.5703125" style="6" customWidth="1"/>
    <col min="2" max="2" width="32.7109375" style="5" customWidth="1"/>
    <col min="3" max="3" width="23.7109375" style="13" customWidth="1"/>
    <col min="4" max="4" width="25" style="13" customWidth="1"/>
    <col min="5" max="6" width="16.28515625" style="9" customWidth="1"/>
    <col min="7" max="7" width="23.7109375" style="13" customWidth="1"/>
    <col min="8" max="9" width="48.7109375" style="8" customWidth="1"/>
    <col min="10" max="10" width="3.5703125" style="6" customWidth="1"/>
    <col min="11" max="17" width="0" style="6" hidden="1" customWidth="1"/>
    <col min="18" max="16384" width="16.28515625" style="6" hidden="1"/>
  </cols>
  <sheetData>
    <row r="1" spans="2:9" customFormat="1" ht="23.25" x14ac:dyDescent="0.35">
      <c r="B1" s="1" t="s">
        <v>116</v>
      </c>
      <c r="C1" s="11"/>
      <c r="D1" s="12"/>
      <c r="E1" s="4"/>
      <c r="F1" s="4"/>
      <c r="G1" s="12"/>
      <c r="H1" s="7"/>
      <c r="I1" s="7"/>
    </row>
    <row r="2" spans="2:9" s="3" customFormat="1" ht="21.75" customHeight="1" x14ac:dyDescent="0.2">
      <c r="B2" s="233" t="s">
        <v>0</v>
      </c>
      <c r="C2" s="233"/>
      <c r="D2" s="233"/>
      <c r="E2" s="233"/>
      <c r="F2" s="233"/>
      <c r="G2" s="233"/>
      <c r="H2" s="233"/>
      <c r="I2" s="233"/>
    </row>
    <row r="3" spans="2:9" customFormat="1" ht="6" customHeight="1" thickBot="1" x14ac:dyDescent="0.3">
      <c r="B3" s="2"/>
      <c r="C3" s="12"/>
      <c r="D3" s="12"/>
      <c r="E3" s="4"/>
      <c r="F3" s="4"/>
      <c r="G3" s="12"/>
      <c r="H3" s="7"/>
      <c r="I3" s="7"/>
    </row>
    <row r="4" spans="2:9" s="7" customFormat="1" ht="30.75" customHeight="1" thickBot="1" x14ac:dyDescent="0.3">
      <c r="B4" s="10" t="s">
        <v>1</v>
      </c>
      <c r="C4" s="10" t="s">
        <v>2</v>
      </c>
      <c r="D4" s="10" t="s">
        <v>13</v>
      </c>
      <c r="E4" s="10" t="s">
        <v>3</v>
      </c>
      <c r="F4" s="10" t="s">
        <v>117</v>
      </c>
      <c r="G4" s="10" t="s">
        <v>11</v>
      </c>
      <c r="H4" s="10" t="s">
        <v>14</v>
      </c>
      <c r="I4" s="10" t="s">
        <v>4</v>
      </c>
    </row>
    <row r="5" spans="2:9" customFormat="1" ht="6" customHeight="1" x14ac:dyDescent="0.25">
      <c r="B5" s="2"/>
      <c r="C5" s="12"/>
      <c r="D5" s="12"/>
      <c r="E5" s="4"/>
      <c r="F5" s="4"/>
      <c r="G5" s="12"/>
      <c r="H5" s="7"/>
      <c r="I5" s="7"/>
    </row>
    <row r="6" spans="2:9" customFormat="1" ht="18.75" customHeight="1" x14ac:dyDescent="0.25">
      <c r="B6" s="226" t="s">
        <v>9</v>
      </c>
      <c r="C6" s="226"/>
      <c r="D6" s="226"/>
      <c r="E6" s="226"/>
      <c r="F6" s="226"/>
      <c r="G6" s="226"/>
      <c r="H6" s="226"/>
      <c r="I6" s="226"/>
    </row>
    <row r="7" spans="2:9" ht="60" x14ac:dyDescent="0.25">
      <c r="B7" s="14" t="s">
        <v>5</v>
      </c>
      <c r="C7" s="36">
        <v>225</v>
      </c>
      <c r="D7" s="37" t="s">
        <v>6</v>
      </c>
      <c r="E7" s="38">
        <v>2018</v>
      </c>
      <c r="F7" s="82">
        <v>75</v>
      </c>
      <c r="G7" s="15">
        <v>191</v>
      </c>
      <c r="H7" s="16" t="s">
        <v>15</v>
      </c>
      <c r="I7" s="16" t="s">
        <v>7</v>
      </c>
    </row>
    <row r="8" spans="2:9" customFormat="1" ht="18.75" customHeight="1" x14ac:dyDescent="0.25">
      <c r="B8" s="226" t="s">
        <v>8</v>
      </c>
      <c r="C8" s="226"/>
      <c r="D8" s="226"/>
      <c r="E8" s="226"/>
      <c r="F8" s="226"/>
      <c r="G8" s="226"/>
      <c r="H8" s="226"/>
      <c r="I8" s="226"/>
    </row>
    <row r="9" spans="2:9" ht="75" x14ac:dyDescent="0.25">
      <c r="B9" s="14" t="s">
        <v>10</v>
      </c>
      <c r="C9" s="36">
        <v>225</v>
      </c>
      <c r="D9" s="37" t="s">
        <v>6</v>
      </c>
      <c r="E9" s="38">
        <v>2018</v>
      </c>
      <c r="F9" s="82">
        <v>75</v>
      </c>
      <c r="G9" s="15">
        <v>194.52</v>
      </c>
      <c r="H9" s="16" t="s">
        <v>19</v>
      </c>
      <c r="I9" s="16" t="s">
        <v>20</v>
      </c>
    </row>
    <row r="10" spans="2:9" customFormat="1" ht="18.75" customHeight="1" x14ac:dyDescent="0.25">
      <c r="B10" s="226" t="s">
        <v>16</v>
      </c>
      <c r="C10" s="226"/>
      <c r="D10" s="226"/>
      <c r="E10" s="226"/>
      <c r="F10" s="226"/>
      <c r="G10" s="226"/>
      <c r="H10" s="226"/>
      <c r="I10" s="226"/>
    </row>
    <row r="11" spans="2:9" ht="15" customHeight="1" x14ac:dyDescent="0.25">
      <c r="B11" s="17" t="s">
        <v>77</v>
      </c>
      <c r="C11" s="39">
        <v>98900</v>
      </c>
      <c r="D11" s="227" t="s">
        <v>21</v>
      </c>
      <c r="E11" s="229">
        <v>2016</v>
      </c>
      <c r="F11" s="83">
        <v>20</v>
      </c>
      <c r="G11" s="18">
        <v>141334.72</v>
      </c>
      <c r="H11" s="231" t="s">
        <v>22</v>
      </c>
      <c r="I11" s="231" t="s">
        <v>23</v>
      </c>
    </row>
    <row r="12" spans="2:9" ht="31.5" customHeight="1" x14ac:dyDescent="0.25">
      <c r="B12" s="23" t="s">
        <v>78</v>
      </c>
      <c r="C12" s="40">
        <v>9.4</v>
      </c>
      <c r="D12" s="228"/>
      <c r="E12" s="230"/>
      <c r="F12" s="84">
        <v>20</v>
      </c>
      <c r="G12" s="24">
        <v>13.38</v>
      </c>
      <c r="H12" s="232"/>
      <c r="I12" s="232"/>
    </row>
    <row r="13" spans="2:9" ht="21.95" customHeight="1" x14ac:dyDescent="0.25">
      <c r="B13" s="19" t="s">
        <v>24</v>
      </c>
      <c r="C13" s="41">
        <v>1200</v>
      </c>
      <c r="D13" s="42" t="s">
        <v>25</v>
      </c>
      <c r="E13" s="43"/>
      <c r="F13" s="85">
        <v>20</v>
      </c>
      <c r="G13" s="21">
        <v>2050</v>
      </c>
      <c r="H13" s="22" t="s">
        <v>26</v>
      </c>
      <c r="I13" s="22"/>
    </row>
    <row r="14" spans="2:9" customFormat="1" ht="18.75" customHeight="1" x14ac:dyDescent="0.25">
      <c r="B14" s="226" t="s">
        <v>17</v>
      </c>
      <c r="C14" s="226"/>
      <c r="D14" s="226"/>
      <c r="E14" s="226"/>
      <c r="F14" s="226"/>
      <c r="G14" s="226"/>
      <c r="H14" s="226"/>
      <c r="I14" s="226"/>
    </row>
    <row r="15" spans="2:9" ht="21.75" customHeight="1" x14ac:dyDescent="0.25">
      <c r="B15" s="25" t="s">
        <v>27</v>
      </c>
      <c r="C15" s="44">
        <v>34000</v>
      </c>
      <c r="D15" s="45" t="s">
        <v>21</v>
      </c>
      <c r="E15" s="46">
        <v>2016</v>
      </c>
      <c r="F15" s="86">
        <v>20</v>
      </c>
      <c r="G15" s="26"/>
      <c r="H15" s="27"/>
      <c r="I15" s="27"/>
    </row>
    <row r="16" spans="2:9" ht="21.75" customHeight="1" x14ac:dyDescent="0.25">
      <c r="B16" s="28" t="s">
        <v>28</v>
      </c>
      <c r="C16" s="47">
        <v>40000</v>
      </c>
      <c r="D16" s="48" t="s">
        <v>21</v>
      </c>
      <c r="E16" s="49">
        <v>2016</v>
      </c>
      <c r="F16" s="87">
        <v>20</v>
      </c>
      <c r="G16" s="29"/>
      <c r="H16" s="30"/>
      <c r="I16" s="30"/>
    </row>
    <row r="17" spans="2:9" ht="30" x14ac:dyDescent="0.25">
      <c r="B17" s="28" t="s">
        <v>29</v>
      </c>
      <c r="C17" s="47">
        <v>45000</v>
      </c>
      <c r="D17" s="48" t="s">
        <v>21</v>
      </c>
      <c r="E17" s="49">
        <v>2016</v>
      </c>
      <c r="F17" s="87">
        <v>20</v>
      </c>
      <c r="G17" s="29">
        <v>35700</v>
      </c>
      <c r="H17" s="30" t="s">
        <v>41</v>
      </c>
      <c r="I17" s="30"/>
    </row>
    <row r="18" spans="2:9" ht="21.75" customHeight="1" x14ac:dyDescent="0.25">
      <c r="B18" s="28" t="s">
        <v>30</v>
      </c>
      <c r="C18" s="47">
        <v>50000</v>
      </c>
      <c r="D18" s="48" t="s">
        <v>21</v>
      </c>
      <c r="E18" s="49">
        <v>2016</v>
      </c>
      <c r="F18" s="87">
        <v>20</v>
      </c>
      <c r="G18" s="29"/>
      <c r="H18" s="30"/>
      <c r="I18" s="30"/>
    </row>
    <row r="19" spans="2:9" ht="21.75" customHeight="1" x14ac:dyDescent="0.25">
      <c r="B19" s="28" t="s">
        <v>31</v>
      </c>
      <c r="C19" s="47">
        <v>56000</v>
      </c>
      <c r="D19" s="48" t="s">
        <v>21</v>
      </c>
      <c r="E19" s="49">
        <v>2016</v>
      </c>
      <c r="F19" s="87">
        <v>20</v>
      </c>
      <c r="G19" s="29"/>
      <c r="H19" s="30"/>
      <c r="I19" s="30"/>
    </row>
    <row r="20" spans="2:9" ht="21.75" customHeight="1" x14ac:dyDescent="0.25">
      <c r="B20" s="28" t="s">
        <v>32</v>
      </c>
      <c r="C20" s="47">
        <v>68000</v>
      </c>
      <c r="D20" s="48" t="s">
        <v>21</v>
      </c>
      <c r="E20" s="49">
        <v>2016</v>
      </c>
      <c r="F20" s="87">
        <v>20</v>
      </c>
      <c r="G20" s="29"/>
      <c r="H20" s="30"/>
      <c r="I20" s="30"/>
    </row>
    <row r="21" spans="2:9" ht="21.75" customHeight="1" x14ac:dyDescent="0.25">
      <c r="B21" s="28" t="s">
        <v>33</v>
      </c>
      <c r="C21" s="47">
        <v>40000</v>
      </c>
      <c r="D21" s="48" t="s">
        <v>40</v>
      </c>
      <c r="E21" s="49">
        <v>2016</v>
      </c>
      <c r="F21" s="87">
        <v>20</v>
      </c>
      <c r="G21" s="29"/>
      <c r="H21" s="30"/>
      <c r="I21" s="30"/>
    </row>
    <row r="22" spans="2:9" ht="21.75" customHeight="1" x14ac:dyDescent="0.25">
      <c r="B22" s="28" t="s">
        <v>34</v>
      </c>
      <c r="C22" s="47">
        <v>46200</v>
      </c>
      <c r="D22" s="48" t="s">
        <v>21</v>
      </c>
      <c r="E22" s="49">
        <v>2016</v>
      </c>
      <c r="F22" s="87">
        <v>20</v>
      </c>
      <c r="G22" s="29"/>
      <c r="H22" s="30"/>
      <c r="I22" s="30"/>
    </row>
    <row r="23" spans="2:9" ht="21.75" customHeight="1" x14ac:dyDescent="0.25">
      <c r="B23" s="28" t="s">
        <v>35</v>
      </c>
      <c r="C23" s="47">
        <v>51000</v>
      </c>
      <c r="D23" s="48" t="s">
        <v>21</v>
      </c>
      <c r="E23" s="49">
        <v>2016</v>
      </c>
      <c r="F23" s="87">
        <v>20</v>
      </c>
      <c r="G23" s="29"/>
      <c r="H23" s="30"/>
      <c r="I23" s="30"/>
    </row>
    <row r="24" spans="2:9" ht="21.75" customHeight="1" x14ac:dyDescent="0.25">
      <c r="B24" s="28" t="s">
        <v>36</v>
      </c>
      <c r="C24" s="47">
        <v>55000</v>
      </c>
      <c r="D24" s="48" t="s">
        <v>21</v>
      </c>
      <c r="E24" s="49">
        <v>2016</v>
      </c>
      <c r="F24" s="87">
        <v>20</v>
      </c>
      <c r="G24" s="29"/>
      <c r="H24" s="30"/>
      <c r="I24" s="30"/>
    </row>
    <row r="25" spans="2:9" ht="21.75" customHeight="1" x14ac:dyDescent="0.25">
      <c r="B25" s="28" t="s">
        <v>37</v>
      </c>
      <c r="C25" s="47">
        <v>62000</v>
      </c>
      <c r="D25" s="48" t="s">
        <v>40</v>
      </c>
      <c r="E25" s="49">
        <v>2016</v>
      </c>
      <c r="F25" s="87">
        <v>20</v>
      </c>
      <c r="G25" s="29"/>
      <c r="H25" s="30"/>
      <c r="I25" s="30"/>
    </row>
    <row r="26" spans="2:9" ht="21.75" customHeight="1" x14ac:dyDescent="0.25">
      <c r="B26" s="19" t="s">
        <v>38</v>
      </c>
      <c r="C26" s="41">
        <v>74000</v>
      </c>
      <c r="D26" s="42" t="s">
        <v>40</v>
      </c>
      <c r="E26" s="43">
        <v>2016</v>
      </c>
      <c r="F26" s="85">
        <v>20</v>
      </c>
      <c r="G26" s="21"/>
      <c r="H26" s="22"/>
      <c r="I26" s="22"/>
    </row>
    <row r="27" spans="2:9" customFormat="1" ht="18.75" customHeight="1" x14ac:dyDescent="0.25">
      <c r="B27" s="226" t="s">
        <v>18</v>
      </c>
      <c r="C27" s="226"/>
      <c r="D27" s="226"/>
      <c r="E27" s="226"/>
      <c r="F27" s="226"/>
      <c r="G27" s="226"/>
      <c r="H27" s="226"/>
      <c r="I27" s="226"/>
    </row>
    <row r="28" spans="2:9" ht="30" x14ac:dyDescent="0.25">
      <c r="B28" s="14" t="s">
        <v>39</v>
      </c>
      <c r="C28" s="50">
        <v>13378</v>
      </c>
      <c r="D28" s="37" t="s">
        <v>21</v>
      </c>
      <c r="E28" s="38">
        <v>2016</v>
      </c>
      <c r="F28" s="82">
        <v>20</v>
      </c>
      <c r="G28" s="20">
        <v>8085.86</v>
      </c>
      <c r="H28" s="16" t="s">
        <v>42</v>
      </c>
      <c r="I28" s="16"/>
    </row>
    <row r="29" spans="2:9" x14ac:dyDescent="0.25"/>
  </sheetData>
  <sheetProtection algorithmName="SHA-512" hashValue="Yibsdlur2AyY7SlNGKLEYaTwfgDAGxSEDCB/eDuatbDo0D+7e+qq6xaIQJHRSG3Es5RElnusGwSJc1289psUsg==" saltValue="nGlobMPsdgty/9TzR7ficg==" spinCount="100000" sheet="1" objects="1" scenarios="1"/>
  <mergeCells count="10">
    <mergeCell ref="B2:I2"/>
    <mergeCell ref="B6:I6"/>
    <mergeCell ref="B8:I8"/>
    <mergeCell ref="B10:I10"/>
    <mergeCell ref="B14:I14"/>
    <mergeCell ref="B27:I27"/>
    <mergeCell ref="D11:D12"/>
    <mergeCell ref="E11:E12"/>
    <mergeCell ref="H11:H12"/>
    <mergeCell ref="I11:I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P10"/>
  <sheetViews>
    <sheetView showGridLines="0" workbookViewId="0">
      <pane ySplit="5" topLeftCell="A6" activePane="bottomLeft" state="frozen"/>
      <selection pane="bottomLeft" activeCell="B4" sqref="B4"/>
    </sheetView>
  </sheetViews>
  <sheetFormatPr defaultColWidth="0" defaultRowHeight="15" zeroHeight="1" x14ac:dyDescent="0.25"/>
  <cols>
    <col min="1" max="1" width="3.5703125" style="6" customWidth="1"/>
    <col min="2" max="2" width="32.7109375" style="5" customWidth="1"/>
    <col min="3" max="3" width="23.7109375" style="13" customWidth="1"/>
    <col min="4" max="5" width="48.7109375" style="8" customWidth="1"/>
    <col min="6" max="6" width="3.5703125" style="6" customWidth="1"/>
    <col min="7" max="16" width="0" style="6" hidden="1" customWidth="1"/>
    <col min="17" max="16384" width="16.28515625" style="6" hidden="1"/>
  </cols>
  <sheetData>
    <row r="1" spans="2:5" customFormat="1" ht="23.25" x14ac:dyDescent="0.35">
      <c r="B1" s="1" t="s">
        <v>45</v>
      </c>
      <c r="C1" s="11"/>
      <c r="D1" s="7"/>
      <c r="E1" s="7"/>
    </row>
    <row r="2" spans="2:5" s="3" customFormat="1" ht="35.25" customHeight="1" x14ac:dyDescent="0.2">
      <c r="B2" s="233" t="s">
        <v>46</v>
      </c>
      <c r="C2" s="233"/>
      <c r="D2" s="233"/>
      <c r="E2" s="233"/>
    </row>
    <row r="3" spans="2:5" customFormat="1" ht="6" customHeight="1" thickBot="1" x14ac:dyDescent="0.3">
      <c r="B3" s="2"/>
      <c r="C3" s="12"/>
      <c r="D3" s="7"/>
      <c r="E3" s="7"/>
    </row>
    <row r="4" spans="2:5" s="7" customFormat="1" ht="30.75" customHeight="1" thickBot="1" x14ac:dyDescent="0.3">
      <c r="B4" s="10" t="s">
        <v>43</v>
      </c>
      <c r="C4" s="10" t="s">
        <v>44</v>
      </c>
      <c r="D4" s="10" t="s">
        <v>12</v>
      </c>
      <c r="E4" s="10" t="s">
        <v>4</v>
      </c>
    </row>
    <row r="5" spans="2:5" customFormat="1" ht="6" customHeight="1" x14ac:dyDescent="0.25">
      <c r="B5" s="2"/>
      <c r="C5" s="12"/>
      <c r="D5" s="7"/>
      <c r="E5" s="7"/>
    </row>
    <row r="6" spans="2:5" customFormat="1" ht="18.75" customHeight="1" x14ac:dyDescent="0.25">
      <c r="B6" s="226" t="s">
        <v>47</v>
      </c>
      <c r="C6" s="226"/>
      <c r="D6" s="226"/>
      <c r="E6" s="226"/>
    </row>
    <row r="7" spans="2:5" ht="120" x14ac:dyDescent="0.25">
      <c r="B7" s="31" t="s">
        <v>51</v>
      </c>
      <c r="C7" s="188">
        <v>0.87</v>
      </c>
      <c r="D7" s="27" t="s">
        <v>159</v>
      </c>
      <c r="E7" s="27" t="s">
        <v>48</v>
      </c>
    </row>
    <row r="8" spans="2:5" ht="120" x14ac:dyDescent="0.25">
      <c r="B8" s="32" t="s">
        <v>52</v>
      </c>
      <c r="C8" s="189">
        <v>0.87</v>
      </c>
      <c r="D8" s="27" t="s">
        <v>159</v>
      </c>
      <c r="E8" s="30" t="s">
        <v>48</v>
      </c>
    </row>
    <row r="9" spans="2:5" ht="30" x14ac:dyDescent="0.25">
      <c r="B9" s="33" t="s">
        <v>53</v>
      </c>
      <c r="C9" s="190">
        <v>0.52700000000000002</v>
      </c>
      <c r="D9" s="34" t="s">
        <v>49</v>
      </c>
      <c r="E9" s="34" t="s">
        <v>50</v>
      </c>
    </row>
    <row r="10" spans="2:5" x14ac:dyDescent="0.25"/>
  </sheetData>
  <sheetProtection algorithmName="SHA-512" hashValue="5aCYi3bPVzSu1q8R9SQ0SaxOQ12WXieSneCreNicWOPJow+433otmFRfDSvc2tIahZYs59fxTVCd3v4jWFOVSw==" saltValue="cyVXxmofY8wgs95sZVK2hw==" spinCount="100000" sheet="1" objects="1" scenarios="1"/>
  <mergeCells count="2">
    <mergeCell ref="B2:E2"/>
    <mergeCell ref="B6:E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B20"/>
  <sheetViews>
    <sheetView workbookViewId="0">
      <selection activeCell="D13" sqref="D13"/>
    </sheetView>
  </sheetViews>
  <sheetFormatPr defaultRowHeight="15" x14ac:dyDescent="0.25"/>
  <cols>
    <col min="1" max="1" width="3" customWidth="1"/>
    <col min="2" max="2" width="34.5703125" customWidth="1"/>
  </cols>
  <sheetData>
    <row r="1" spans="2:2" ht="15.75" thickBot="1" x14ac:dyDescent="0.3"/>
    <row r="2" spans="2:2" s="7" customFormat="1" ht="15.75" thickBot="1" x14ac:dyDescent="0.3">
      <c r="B2" s="35" t="s">
        <v>82</v>
      </c>
    </row>
    <row r="3" spans="2:2" x14ac:dyDescent="0.25">
      <c r="B3" t="s">
        <v>5</v>
      </c>
    </row>
    <row r="4" spans="2:2" x14ac:dyDescent="0.25">
      <c r="B4" t="s">
        <v>10</v>
      </c>
    </row>
    <row r="5" spans="2:2" x14ac:dyDescent="0.25">
      <c r="B5" t="s">
        <v>77</v>
      </c>
    </row>
    <row r="6" spans="2:2" x14ac:dyDescent="0.25">
      <c r="B6" t="s">
        <v>78</v>
      </c>
    </row>
    <row r="7" spans="2:2" x14ac:dyDescent="0.25">
      <c r="B7" t="s">
        <v>24</v>
      </c>
    </row>
    <row r="8" spans="2:2" x14ac:dyDescent="0.25">
      <c r="B8" t="s">
        <v>27</v>
      </c>
    </row>
    <row r="9" spans="2:2" x14ac:dyDescent="0.25">
      <c r="B9" t="s">
        <v>28</v>
      </c>
    </row>
    <row r="10" spans="2:2" x14ac:dyDescent="0.25">
      <c r="B10" t="s">
        <v>29</v>
      </c>
    </row>
    <row r="11" spans="2:2" x14ac:dyDescent="0.25">
      <c r="B11" t="s">
        <v>30</v>
      </c>
    </row>
    <row r="12" spans="2:2" x14ac:dyDescent="0.25">
      <c r="B12" t="s">
        <v>31</v>
      </c>
    </row>
    <row r="13" spans="2:2" x14ac:dyDescent="0.25">
      <c r="B13" t="s">
        <v>32</v>
      </c>
    </row>
    <row r="14" spans="2:2" x14ac:dyDescent="0.25">
      <c r="B14" t="s">
        <v>33</v>
      </c>
    </row>
    <row r="15" spans="2:2" x14ac:dyDescent="0.25">
      <c r="B15" t="s">
        <v>34</v>
      </c>
    </row>
    <row r="16" spans="2:2" x14ac:dyDescent="0.25">
      <c r="B16" t="s">
        <v>35</v>
      </c>
    </row>
    <row r="17" spans="2:2" x14ac:dyDescent="0.25">
      <c r="B17" t="s">
        <v>36</v>
      </c>
    </row>
    <row r="18" spans="2:2" x14ac:dyDescent="0.25">
      <c r="B18" t="s">
        <v>37</v>
      </c>
    </row>
    <row r="19" spans="2:2" x14ac:dyDescent="0.25">
      <c r="B19" t="s">
        <v>38</v>
      </c>
    </row>
    <row r="20" spans="2:2" x14ac:dyDescent="0.25">
      <c r="B20" t="s">
        <v>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22</vt:i4>
      </vt:variant>
    </vt:vector>
  </HeadingPairs>
  <TitlesOfParts>
    <vt:vector size="26" baseType="lpstr">
      <vt:lpstr>Summary</vt:lpstr>
      <vt:lpstr>Costs &amp; Service Life</vt:lpstr>
      <vt:lpstr>Effectiveness (CRF)</vt:lpstr>
      <vt:lpstr>MISC</vt:lpstr>
      <vt:lpstr>costequation</vt:lpstr>
      <vt:lpstr>CRFRow</vt:lpstr>
      <vt:lpstr>DTDCalcEnd</vt:lpstr>
      <vt:lpstr>DTDCalcStart</vt:lpstr>
      <vt:lpstr>EndofForm</vt:lpstr>
      <vt:lpstr>equation</vt:lpstr>
      <vt:lpstr>FenceAddRow</vt:lpstr>
      <vt:lpstr>FenceCount</vt:lpstr>
      <vt:lpstr>FenceRow</vt:lpstr>
      <vt:lpstr>LocationAddRow</vt:lpstr>
      <vt:lpstr>LocationCount</vt:lpstr>
      <vt:lpstr>LocationRow</vt:lpstr>
      <vt:lpstr>TSCalcEnd</vt:lpstr>
      <vt:lpstr>TSCalcStart</vt:lpstr>
      <vt:lpstr>wildanimal1</vt:lpstr>
      <vt:lpstr>wildanimal2</vt:lpstr>
      <vt:lpstr>wildanimal3</vt:lpstr>
      <vt:lpstr>wildanimal4</vt:lpstr>
      <vt:lpstr>wildanimal5</vt:lpstr>
      <vt:lpstr>wildanimalcount</vt:lpstr>
      <vt:lpstr>WVCCalcEnd</vt:lpstr>
      <vt:lpstr>WVCCalcStart</vt:lpstr>
    </vt:vector>
  </TitlesOfParts>
  <Company>CDOT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Vu, Anthony K</dc:creator>
  <cp:lastModifiedBy>Vu, Anthony K</cp:lastModifiedBy>
  <dcterms:created xsi:type="dcterms:W3CDTF">2018-10-29T19:16:52Z</dcterms:created>
  <dcterms:modified xsi:type="dcterms:W3CDTF">2021-12-16T18:18:06Z</dcterms:modified>
</cp:coreProperties>
</file>